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12390" activeTab="0"/>
  </bookViews>
  <sheets>
    <sheet name="Intro" sheetId="1" r:id="rId1"/>
    <sheet name="Component Calculator" sheetId="2" r:id="rId2"/>
    <sheet name="Std R values" sheetId="3" r:id="rId3"/>
    <sheet name="Efficiency Estimator" sheetId="4" r:id="rId4"/>
  </sheets>
  <definedNames>
    <definedName name="_xlnm.Print_Area" localSheetId="1">'Component Calculator'!$A$1:$E$54</definedName>
  </definedNames>
  <calcPr fullCalcOnLoad="1" iterate="1" iterateCount="100" iterateDelta="0.001"/>
</workbook>
</file>

<file path=xl/comments2.xml><?xml version="1.0" encoding="utf-8"?>
<comments xmlns="http://schemas.openxmlformats.org/spreadsheetml/2006/main">
  <authors>
    <author>ptod</author>
  </authors>
  <commentList>
    <comment ref="D31" authorId="0">
      <text>
        <r>
          <rPr>
            <sz val="10"/>
            <rFont val="Tahoma"/>
            <family val="0"/>
          </rPr>
          <t xml:space="preserve">The minimum inductor current rating is the average LED current plus halve the peak current with a 20% margin added. 
</t>
        </r>
      </text>
    </comment>
  </commentList>
</comments>
</file>

<file path=xl/comments4.xml><?xml version="1.0" encoding="utf-8"?>
<comments xmlns="http://schemas.openxmlformats.org/spreadsheetml/2006/main">
  <authors>
    <author>ptod</author>
  </authors>
  <commentList>
    <comment ref="B30" authorId="0">
      <text>
        <r>
          <rPr>
            <b/>
            <sz val="10"/>
            <rFont val="Tahoma"/>
            <family val="2"/>
          </rPr>
          <t xml:space="preserve">
(VBB/2)*Iout*(off time / period)*0.6</t>
        </r>
        <r>
          <rPr>
            <sz val="10"/>
            <rFont val="Tahoma"/>
            <family val="2"/>
          </rPr>
          <t xml:space="preserve">
</t>
        </r>
      </text>
    </comment>
    <comment ref="D30" authorId="0">
      <text>
        <r>
          <rPr>
            <b/>
            <sz val="10"/>
            <rFont val="Tahoma"/>
            <family val="2"/>
          </rPr>
          <t xml:space="preserve">
(VBB/2)*Iout*(off time / period)*0.4</t>
        </r>
        <r>
          <rPr>
            <sz val="10"/>
            <rFont val="Tahoma"/>
            <family val="2"/>
          </rPr>
          <t xml:space="preserve">
This portion of loss is not dissipated on 4403
</t>
        </r>
      </text>
    </comment>
  </commentList>
</comments>
</file>

<file path=xl/sharedStrings.xml><?xml version="1.0" encoding="utf-8"?>
<sst xmlns="http://schemas.openxmlformats.org/spreadsheetml/2006/main" count="137" uniqueCount="103">
  <si>
    <t>Description</t>
  </si>
  <si>
    <t>Unit</t>
  </si>
  <si>
    <t>Enter</t>
  </si>
  <si>
    <t>V</t>
  </si>
  <si>
    <t>mA</t>
  </si>
  <si>
    <t>mV</t>
  </si>
  <si>
    <t>Select switching frequency</t>
  </si>
  <si>
    <t>Forward voltage drop of schottky diode</t>
  </si>
  <si>
    <t>MHz</t>
  </si>
  <si>
    <t>Maximum possible switching frequency</t>
  </si>
  <si>
    <t>uH</t>
  </si>
  <si>
    <t>kOhm</t>
  </si>
  <si>
    <t>mOhm</t>
  </si>
  <si>
    <t>Actual Ivalley</t>
  </si>
  <si>
    <r>
      <t xml:space="preserve">Enter preferred resistor value, </t>
    </r>
    <r>
      <rPr>
        <b/>
        <sz val="10"/>
        <color indexed="12"/>
        <rFont val="Arial"/>
        <family val="2"/>
      </rPr>
      <t>R2</t>
    </r>
  </si>
  <si>
    <r>
      <t xml:space="preserve">Enter preferred resistor value, </t>
    </r>
    <r>
      <rPr>
        <b/>
        <sz val="10"/>
        <color indexed="12"/>
        <rFont val="Arial"/>
        <family val="2"/>
      </rPr>
      <t>R1</t>
    </r>
  </si>
  <si>
    <r>
      <t xml:space="preserve">Enter preferred inductor value, </t>
    </r>
    <r>
      <rPr>
        <b/>
        <sz val="10"/>
        <color indexed="12"/>
        <rFont val="Arial"/>
        <family val="2"/>
      </rPr>
      <t>L</t>
    </r>
  </si>
  <si>
    <t>Switching frequency</t>
  </si>
  <si>
    <t>Performance summary with preferred values</t>
  </si>
  <si>
    <t>Ripple voltage</t>
  </si>
  <si>
    <t>Notes:</t>
  </si>
  <si>
    <t>Ripple current as a percentage of average current</t>
  </si>
  <si>
    <t>%</t>
  </si>
  <si>
    <t>LED ripple current</t>
  </si>
  <si>
    <t>Average LED current</t>
  </si>
  <si>
    <t>Total LED span voltage</t>
  </si>
  <si>
    <t>1. Enter system data into grey cells.</t>
  </si>
  <si>
    <t>2. After component values are calculated, then enter preferred values into blue cells.</t>
  </si>
  <si>
    <t>A6210 Efficiency Estimator</t>
  </si>
  <si>
    <t>Bias</t>
  </si>
  <si>
    <t>Switch off</t>
  </si>
  <si>
    <t>Rsense</t>
  </si>
  <si>
    <t>Rect Diode</t>
  </si>
  <si>
    <t>Note</t>
  </si>
  <si>
    <t>Ohm</t>
  </si>
  <si>
    <t>kHz</t>
  </si>
  <si>
    <t>Duty Cycle</t>
  </si>
  <si>
    <t>Diode body capacitance</t>
  </si>
  <si>
    <t>pF</t>
  </si>
  <si>
    <t>Based on 1.5A schottky</t>
  </si>
  <si>
    <t>On time</t>
  </si>
  <si>
    <t>ns</t>
  </si>
  <si>
    <t>Off time</t>
  </si>
  <si>
    <t>Bias loss</t>
  </si>
  <si>
    <t>W</t>
  </si>
  <si>
    <t>Gate charge loss</t>
  </si>
  <si>
    <t>Conduction loss</t>
  </si>
  <si>
    <t>Switch off loss</t>
  </si>
  <si>
    <t>Switch on loss</t>
  </si>
  <si>
    <t xml:space="preserve">Switch on capacitive loss </t>
  </si>
  <si>
    <t>A6210 power dissipation</t>
  </si>
  <si>
    <t>Ambient temperature</t>
  </si>
  <si>
    <t>C</t>
  </si>
  <si>
    <t>Rtheta junction to ambient</t>
  </si>
  <si>
    <t>C/W</t>
  </si>
  <si>
    <t>Junction temperature</t>
  </si>
  <si>
    <t>Texptab</t>
  </si>
  <si>
    <t>Total Converter Power Losses</t>
  </si>
  <si>
    <t>Overall Converter Efficiency</t>
  </si>
  <si>
    <t>Notes</t>
  </si>
  <si>
    <t>Loss calculator assumes no localised heating effects from external components or other sources</t>
  </si>
  <si>
    <t>Switch turn off (partly), Rsense, Rect Diode and Inductor Rds has no effect on the A6210 temperature</t>
  </si>
  <si>
    <t xml:space="preserve">A6210 External Component Value Calculator </t>
  </si>
  <si>
    <t>Standard Resistor Values</t>
  </si>
  <si>
    <t>Component Calculator</t>
  </si>
  <si>
    <t>Efficiency Estimator</t>
  </si>
  <si>
    <t>Vin (supply voltage)</t>
  </si>
  <si>
    <t>Vout (LED span voltage)</t>
  </si>
  <si>
    <t>Iout (LED current)</t>
  </si>
  <si>
    <t>Value</t>
  </si>
  <si>
    <t>Switching period</t>
  </si>
  <si>
    <t>µs</t>
  </si>
  <si>
    <t>Diode + Sense Resistor drop</t>
  </si>
  <si>
    <t>Depends on board layout</t>
  </si>
  <si>
    <t>Valley voltage (typ. 183 mV)</t>
  </si>
  <si>
    <t>1% (E-96) standard resistor values</t>
  </si>
  <si>
    <t>5% (E-24) standard resistor values</t>
  </si>
  <si>
    <t>Per IEC standard 60063, Preferred Number Series for Resistors and Capacitors</t>
  </si>
  <si>
    <t>Given the supply voltage, LED string voltage, output current, desired switching frequency and other parameters, this spreadsheet calculates required values for the external timing resistor, current sense resistor, and inductor.</t>
  </si>
  <si>
    <t>This table lists standard 1% and 5% values per the IEC E-24 and E-96 preferred number series.</t>
  </si>
  <si>
    <t>Input supply voltage</t>
  </si>
  <si>
    <t xml:space="preserve">Ivalley </t>
  </si>
  <si>
    <r>
      <t xml:space="preserve">Calculated sense resistor, </t>
    </r>
    <r>
      <rPr>
        <b/>
        <sz val="10"/>
        <rFont val="Arial"/>
        <family val="2"/>
      </rPr>
      <t>R2</t>
    </r>
  </si>
  <si>
    <t>Ripple voltage (design for &gt;20 mV)</t>
  </si>
  <si>
    <r>
      <t xml:space="preserve">Calculated Ton resistor, </t>
    </r>
    <r>
      <rPr>
        <b/>
        <sz val="10"/>
        <rFont val="Arial"/>
        <family val="2"/>
      </rPr>
      <t>R1</t>
    </r>
  </si>
  <si>
    <r>
      <t xml:space="preserve">Calculated inductor value, </t>
    </r>
    <r>
      <rPr>
        <b/>
        <sz val="10"/>
        <rFont val="Arial"/>
        <family val="2"/>
      </rPr>
      <t>L</t>
    </r>
  </si>
  <si>
    <t>3. A performance summary is then generated (green cells).</t>
  </si>
  <si>
    <t xml:space="preserve">1. Data in grey cells comes from Component Calculator.  </t>
  </si>
  <si>
    <t>2. System data has to be entered into the blue cells.</t>
  </si>
  <si>
    <t>4. To force resolution of circular references, check the Iteration checkbox in Excel's Tools / Options / Calculation tab</t>
  </si>
  <si>
    <t>Minimum inductor current rating</t>
  </si>
  <si>
    <t>A6210 3 A, 2 MHz Buck-Regulating LED Driver</t>
  </si>
  <si>
    <t>Design Aid Spreadsheets</t>
  </si>
  <si>
    <t>Given the supply voltage, LED string voltage, output current, desired switching frequency (from the Component Calculator) and other parameters, this spreadsheet estimates the efficiency of the A6210 circuit.</t>
  </si>
  <si>
    <t>3. The spreadsheet calculates the values in the green cells.</t>
  </si>
  <si>
    <t>FET Rds @ 25C</t>
  </si>
  <si>
    <t>FET Rds @ Tj</t>
  </si>
  <si>
    <t>Exposed pad temperature</t>
  </si>
  <si>
    <r>
      <t>mV</t>
    </r>
    <r>
      <rPr>
        <sz val="8"/>
        <rFont val="Arial"/>
        <family val="2"/>
      </rPr>
      <t>pk-pk</t>
    </r>
  </si>
  <si>
    <r>
      <t>mA</t>
    </r>
    <r>
      <rPr>
        <sz val="8"/>
        <rFont val="Arial"/>
        <family val="2"/>
      </rPr>
      <t>pk-pk</t>
    </r>
  </si>
  <si>
    <t>Target LED ripple current</t>
  </si>
  <si>
    <t>Inductor DCR</t>
  </si>
  <si>
    <t>Revised: 20th January 2009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</si>
</sst>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00"/>
    <numFmt numFmtId="173" formatCode="0.0"/>
    <numFmt numFmtId="174" formatCode="0.000E+00"/>
    <numFmt numFmtId="175" formatCode="0.0E+00"/>
    <numFmt numFmtId="176" formatCode="0E+00"/>
    <numFmt numFmtId="177" formatCode="0.00000"/>
    <numFmt numFmtId="178" formatCode="0.0000"/>
    <numFmt numFmtId="179" formatCode="0.000000"/>
    <numFmt numFmtId="180" formatCode="0.00000000"/>
    <numFmt numFmtId="181" formatCode="0.0000000"/>
    <numFmt numFmtId="182" formatCode="0;[Red]0"/>
    <numFmt numFmtId="183" formatCode="0.0;[Red]0.0"/>
    <numFmt numFmtId="184" formatCode="0.00;[Red]0.00"/>
    <numFmt numFmtId="185" formatCode="0.000;[Red]0.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%"/>
    <numFmt numFmtId="191" formatCode="0.000000000"/>
    <numFmt numFmtId="192" formatCode="0.0000000000"/>
  </numFmts>
  <fonts count="16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7"/>
      <color indexed="8"/>
      <name val="Times New Roman"/>
      <family val="0"/>
    </font>
    <font>
      <sz val="9"/>
      <color indexed="8"/>
      <name val="Times New Roman"/>
      <family val="0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7"/>
      <color indexed="12"/>
      <name val="Times New Roman"/>
      <family val="1"/>
    </font>
    <font>
      <b/>
      <sz val="10"/>
      <color indexed="61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sz val="9"/>
      <name val="Arial"/>
      <family val="0"/>
    </font>
    <font>
      <sz val="8"/>
      <name val="Arial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172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2" borderId="0" xfId="0" applyFill="1" applyAlignment="1">
      <alignment/>
    </xf>
    <xf numFmtId="2" fontId="3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Fill="1" applyAlignment="1">
      <alignment/>
    </xf>
    <xf numFmtId="184" fontId="0" fillId="0" borderId="0" xfId="0" applyNumberFormat="1" applyAlignment="1">
      <alignment/>
    </xf>
    <xf numFmtId="1" fontId="2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2" fontId="0" fillId="2" borderId="0" xfId="0" applyNumberFormat="1" applyFill="1" applyAlignment="1">
      <alignment/>
    </xf>
    <xf numFmtId="0" fontId="0" fillId="0" borderId="0" xfId="0" applyFont="1" applyAlignment="1">
      <alignment horizontal="left"/>
    </xf>
    <xf numFmtId="1" fontId="0" fillId="0" borderId="0" xfId="0" applyNumberFormat="1" applyAlignment="1">
      <alignment horizontal="right"/>
    </xf>
    <xf numFmtId="1" fontId="0" fillId="3" borderId="0" xfId="0" applyNumberFormat="1" applyFill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2" fontId="2" fillId="0" borderId="0" xfId="0" applyNumberFormat="1" applyFont="1" applyAlignment="1">
      <alignment/>
    </xf>
    <xf numFmtId="1" fontId="8" fillId="0" borderId="0" xfId="0" applyNumberFormat="1" applyFont="1" applyAlignment="1">
      <alignment horizontal="center"/>
    </xf>
    <xf numFmtId="1" fontId="0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173" fontId="8" fillId="4" borderId="0" xfId="0" applyNumberFormat="1" applyFont="1" applyFill="1" applyAlignment="1">
      <alignment horizontal="right"/>
    </xf>
    <xf numFmtId="1" fontId="8" fillId="4" borderId="0" xfId="0" applyNumberFormat="1" applyFont="1" applyFill="1" applyAlignment="1">
      <alignment/>
    </xf>
    <xf numFmtId="173" fontId="8" fillId="4" borderId="0" xfId="0" applyNumberFormat="1" applyFont="1" applyFill="1" applyAlignment="1">
      <alignment/>
    </xf>
    <xf numFmtId="0" fontId="1" fillId="0" borderId="0" xfId="0" applyFont="1" applyFill="1" applyAlignment="1">
      <alignment horizontal="left"/>
    </xf>
    <xf numFmtId="0" fontId="0" fillId="0" borderId="0" xfId="0" applyAlignment="1">
      <alignment horizontal="center"/>
    </xf>
    <xf numFmtId="172" fontId="0" fillId="0" borderId="0" xfId="0" applyNumberFormat="1" applyAlignment="1">
      <alignment horizontal="center"/>
    </xf>
    <xf numFmtId="0" fontId="2" fillId="0" borderId="1" xfId="0" applyFont="1" applyBorder="1" applyAlignment="1">
      <alignment horizontal="center"/>
    </xf>
    <xf numFmtId="172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/>
    </xf>
    <xf numFmtId="0" fontId="2" fillId="0" borderId="1" xfId="0" applyFont="1" applyFill="1" applyBorder="1" applyAlignment="1">
      <alignment horizontal="center"/>
    </xf>
    <xf numFmtId="0" fontId="0" fillId="0" borderId="0" xfId="0" applyAlignment="1">
      <alignment horizontal="right"/>
    </xf>
    <xf numFmtId="172" fontId="0" fillId="0" borderId="0" xfId="0" applyNumberForma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left"/>
    </xf>
    <xf numFmtId="0" fontId="0" fillId="0" borderId="1" xfId="0" applyBorder="1" applyAlignment="1">
      <alignment horizontal="right"/>
    </xf>
    <xf numFmtId="172" fontId="0" fillId="0" borderId="1" xfId="0" applyNumberFormat="1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1" xfId="0" applyBorder="1" applyAlignment="1">
      <alignment/>
    </xf>
    <xf numFmtId="172" fontId="0" fillId="0" borderId="0" xfId="0" applyNumberFormat="1" applyFill="1" applyAlignment="1">
      <alignment horizontal="center"/>
    </xf>
    <xf numFmtId="2" fontId="0" fillId="0" borderId="0" xfId="0" applyNumberFormat="1" applyFill="1" applyBorder="1" applyAlignment="1">
      <alignment vertical="top" wrapText="1"/>
    </xf>
    <xf numFmtId="0" fontId="0" fillId="0" borderId="0" xfId="0" applyFill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Border="1" applyAlignment="1">
      <alignment horizontal="right"/>
    </xf>
    <xf numFmtId="2" fontId="0" fillId="0" borderId="0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 horizontal="left"/>
    </xf>
    <xf numFmtId="0" fontId="0" fillId="0" borderId="0" xfId="0" applyFont="1" applyFill="1" applyBorder="1" applyAlignment="1">
      <alignment horizontal="right"/>
    </xf>
    <xf numFmtId="0" fontId="0" fillId="0" borderId="2" xfId="0" applyBorder="1" applyAlignment="1">
      <alignment horizontal="right"/>
    </xf>
    <xf numFmtId="172" fontId="0" fillId="0" borderId="2" xfId="0" applyNumberFormat="1" applyFill="1" applyBorder="1" applyAlignment="1">
      <alignment horizontal="left"/>
    </xf>
    <xf numFmtId="172" fontId="0" fillId="0" borderId="2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172" fontId="0" fillId="0" borderId="0" xfId="0" applyNumberFormat="1" applyFont="1" applyAlignment="1">
      <alignment horizontal="left"/>
    </xf>
    <xf numFmtId="172" fontId="0" fillId="0" borderId="0" xfId="0" applyNumberFormat="1" applyFill="1" applyAlignment="1">
      <alignment horizontal="right"/>
    </xf>
    <xf numFmtId="172" fontId="0" fillId="0" borderId="0" xfId="0" applyNumberFormat="1" applyAlignment="1">
      <alignment horizontal="right"/>
    </xf>
    <xf numFmtId="172" fontId="0" fillId="0" borderId="0" xfId="0" applyNumberFormat="1" applyAlignment="1">
      <alignment horizontal="left"/>
    </xf>
    <xf numFmtId="172" fontId="0" fillId="0" borderId="0" xfId="0" applyNumberFormat="1" applyFill="1" applyBorder="1" applyAlignment="1">
      <alignment horizontal="center"/>
    </xf>
    <xf numFmtId="172" fontId="0" fillId="0" borderId="0" xfId="0" applyNumberFormat="1" applyAlignment="1">
      <alignment/>
    </xf>
    <xf numFmtId="0" fontId="0" fillId="0" borderId="0" xfId="0" applyFill="1" applyBorder="1" applyAlignment="1">
      <alignment horizontal="left"/>
    </xf>
    <xf numFmtId="1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/>
    </xf>
    <xf numFmtId="190" fontId="0" fillId="0" borderId="0" xfId="19" applyNumberFormat="1" applyFill="1" applyBorder="1" applyAlignment="1">
      <alignment horizontal="center"/>
    </xf>
    <xf numFmtId="190" fontId="0" fillId="0" borderId="0" xfId="19" applyNumberFormat="1" applyFont="1" applyFill="1" applyBorder="1" applyAlignment="1">
      <alignment horizontal="center"/>
    </xf>
    <xf numFmtId="172" fontId="0" fillId="0" borderId="0" xfId="0" applyNumberFormat="1" applyFill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0" fillId="0" borderId="2" xfId="0" applyBorder="1" applyAlignment="1">
      <alignment horizontal="right" vertical="top" wrapText="1"/>
    </xf>
    <xf numFmtId="2" fontId="0" fillId="0" borderId="0" xfId="0" applyNumberFormat="1" applyAlignment="1">
      <alignment horizontal="center"/>
    </xf>
    <xf numFmtId="2" fontId="0" fillId="0" borderId="0" xfId="0" applyNumberFormat="1" applyFont="1" applyFill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2" fontId="0" fillId="2" borderId="0" xfId="0" applyNumberFormat="1" applyFill="1" applyAlignment="1">
      <alignment horizontal="center"/>
    </xf>
    <xf numFmtId="2" fontId="0" fillId="0" borderId="0" xfId="0" applyNumberForma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0" fillId="5" borderId="1" xfId="19" applyNumberFormat="1" applyFill="1" applyBorder="1" applyAlignment="1">
      <alignment horizontal="center"/>
    </xf>
    <xf numFmtId="2" fontId="0" fillId="5" borderId="0" xfId="0" applyNumberFormat="1" applyFill="1" applyBorder="1" applyAlignment="1">
      <alignment horizontal="center"/>
    </xf>
    <xf numFmtId="2" fontId="0" fillId="0" borderId="0" xfId="19" applyNumberFormat="1" applyFill="1" applyBorder="1" applyAlignment="1">
      <alignment horizontal="center"/>
    </xf>
    <xf numFmtId="2" fontId="10" fillId="0" borderId="0" xfId="0" applyNumberFormat="1" applyFont="1" applyFill="1" applyBorder="1" applyAlignment="1">
      <alignment horizontal="center"/>
    </xf>
    <xf numFmtId="2" fontId="0" fillId="0" borderId="0" xfId="0" applyNumberFormat="1" applyFill="1" applyAlignment="1">
      <alignment/>
    </xf>
    <xf numFmtId="2" fontId="0" fillId="0" borderId="0" xfId="0" applyNumberFormat="1" applyFill="1" applyBorder="1" applyAlignment="1">
      <alignment/>
    </xf>
    <xf numFmtId="2" fontId="0" fillId="5" borderId="2" xfId="0" applyNumberFormat="1" applyFill="1" applyBorder="1" applyAlignment="1" applyProtection="1">
      <alignment horizontal="center"/>
      <protection/>
    </xf>
    <xf numFmtId="2" fontId="0" fillId="5" borderId="0" xfId="0" applyNumberFormat="1" applyFont="1" applyFill="1" applyAlignment="1">
      <alignment horizontal="center"/>
    </xf>
    <xf numFmtId="2" fontId="10" fillId="0" borderId="0" xfId="0" applyNumberFormat="1" applyFont="1" applyAlignment="1">
      <alignment horizontal="center"/>
    </xf>
    <xf numFmtId="2" fontId="2" fillId="5" borderId="0" xfId="0" applyNumberFormat="1" applyFont="1" applyFill="1" applyAlignment="1">
      <alignment horizontal="center"/>
    </xf>
    <xf numFmtId="172" fontId="0" fillId="0" borderId="0" xfId="0" applyNumberFormat="1" applyFont="1" applyFill="1" applyAlignment="1">
      <alignment/>
    </xf>
    <xf numFmtId="172" fontId="0" fillId="0" borderId="0" xfId="0" applyNumberFormat="1" applyFill="1" applyAlignment="1">
      <alignment/>
    </xf>
    <xf numFmtId="2" fontId="0" fillId="0" borderId="1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0" borderId="1" xfId="0" applyFill="1" applyBorder="1" applyAlignment="1">
      <alignment/>
    </xf>
    <xf numFmtId="172" fontId="0" fillId="0" borderId="2" xfId="0" applyNumberFormat="1" applyFill="1" applyBorder="1" applyAlignment="1">
      <alignment/>
    </xf>
    <xf numFmtId="172" fontId="10" fillId="0" borderId="0" xfId="0" applyNumberFormat="1" applyFont="1" applyAlignment="1">
      <alignment/>
    </xf>
    <xf numFmtId="0" fontId="0" fillId="0" borderId="0" xfId="0" applyAlignment="1">
      <alignment/>
    </xf>
    <xf numFmtId="172" fontId="0" fillId="0" borderId="0" xfId="0" applyNumberFormat="1" applyFill="1" applyBorder="1" applyAlignment="1">
      <alignment/>
    </xf>
    <xf numFmtId="1" fontId="0" fillId="0" borderId="0" xfId="0" applyNumberFormat="1" applyFill="1" applyBorder="1" applyAlignment="1">
      <alignment/>
    </xf>
    <xf numFmtId="190" fontId="0" fillId="0" borderId="0" xfId="19" applyNumberFormat="1" applyFill="1" applyBorder="1" applyAlignment="1">
      <alignment/>
    </xf>
    <xf numFmtId="172" fontId="10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72" fontId="0" fillId="0" borderId="0" xfId="0" applyNumberFormat="1" applyAlignment="1">
      <alignment horizontal="left" vertical="top" wrapText="1"/>
    </xf>
    <xf numFmtId="0" fontId="0" fillId="0" borderId="0" xfId="0" applyAlignment="1">
      <alignment horizontal="right" vertical="top"/>
    </xf>
    <xf numFmtId="172" fontId="0" fillId="0" borderId="0" xfId="0" applyNumberFormat="1" applyFill="1" applyAlignment="1">
      <alignment vertical="top"/>
    </xf>
    <xf numFmtId="172" fontId="0" fillId="0" borderId="0" xfId="0" applyNumberFormat="1" applyFill="1" applyAlignment="1">
      <alignment horizontal="center" vertical="top"/>
    </xf>
    <xf numFmtId="172" fontId="0" fillId="0" borderId="0" xfId="0" applyNumberFormat="1" applyAlignment="1">
      <alignment horizontal="center" vertical="top"/>
    </xf>
    <xf numFmtId="172" fontId="0" fillId="0" borderId="0" xfId="0" applyNumberFormat="1" applyFill="1" applyAlignment="1">
      <alignment horizontal="left" vertical="top"/>
    </xf>
    <xf numFmtId="0" fontId="0" fillId="0" borderId="0" xfId="0" applyFill="1" applyAlignment="1">
      <alignment vertical="top"/>
    </xf>
    <xf numFmtId="0" fontId="0" fillId="0" borderId="0" xfId="0" applyFill="1" applyAlignment="1">
      <alignment horizontal="center" vertical="top"/>
    </xf>
    <xf numFmtId="0" fontId="0" fillId="0" borderId="0" xfId="0" applyAlignment="1">
      <alignment vertical="top"/>
    </xf>
    <xf numFmtId="0" fontId="1" fillId="0" borderId="0" xfId="0" applyFont="1" applyAlignment="1">
      <alignment horizontal="center" vertical="top" wrapText="1"/>
    </xf>
    <xf numFmtId="0" fontId="13" fillId="0" borderId="0" xfId="0" applyFont="1" applyAlignment="1">
      <alignment vertical="top" wrapText="1"/>
    </xf>
    <xf numFmtId="173" fontId="0" fillId="0" borderId="0" xfId="0" applyNumberFormat="1" applyAlignment="1">
      <alignment/>
    </xf>
    <xf numFmtId="190" fontId="0" fillId="0" borderId="0" xfId="19" applyNumberFormat="1" applyAlignment="1">
      <alignment/>
    </xf>
    <xf numFmtId="0" fontId="0" fillId="0" borderId="0" xfId="0" applyAlignment="1" quotePrefix="1">
      <alignment horizontal="right"/>
    </xf>
    <xf numFmtId="173" fontId="0" fillId="0" borderId="0" xfId="0" applyNumberFormat="1" applyFont="1" applyAlignment="1">
      <alignment/>
    </xf>
    <xf numFmtId="1" fontId="0" fillId="2" borderId="0" xfId="0" applyNumberFormat="1" applyFill="1" applyAlignment="1">
      <alignment horizontal="center"/>
    </xf>
    <xf numFmtId="0" fontId="3" fillId="0" borderId="0" xfId="0" applyFont="1" applyFill="1" applyAlignment="1">
      <alignment/>
    </xf>
    <xf numFmtId="1" fontId="0" fillId="2" borderId="1" xfId="0" applyNumberFormat="1" applyFill="1" applyBorder="1" applyAlignment="1">
      <alignment horizontal="center"/>
    </xf>
    <xf numFmtId="1" fontId="2" fillId="5" borderId="0" xfId="0" applyNumberFormat="1" applyFont="1" applyFill="1" applyAlignment="1">
      <alignment/>
    </xf>
    <xf numFmtId="1" fontId="2" fillId="5" borderId="0" xfId="0" applyNumberFormat="1" applyFont="1" applyFill="1" applyAlignment="1">
      <alignment horizontal="right"/>
    </xf>
    <xf numFmtId="2" fontId="2" fillId="5" borderId="0" xfId="0" applyNumberFormat="1" applyFont="1" applyFill="1" applyAlignment="1">
      <alignment/>
    </xf>
    <xf numFmtId="2" fontId="0" fillId="4" borderId="0" xfId="0" applyNumberFormat="1" applyFill="1" applyBorder="1" applyAlignment="1">
      <alignment horizontal="center" vertical="top" wrapText="1"/>
    </xf>
    <xf numFmtId="2" fontId="0" fillId="4" borderId="0" xfId="0" applyNumberFormat="1" applyFill="1" applyAlignment="1">
      <alignment horizontal="center"/>
    </xf>
    <xf numFmtId="2" fontId="0" fillId="4" borderId="0" xfId="0" applyNumberFormat="1" applyFill="1" applyAlignment="1">
      <alignment horizontal="center" vertical="top"/>
    </xf>
    <xf numFmtId="0" fontId="0" fillId="2" borderId="0" xfId="0" applyFill="1" applyAlignment="1">
      <alignment horizontal="left"/>
    </xf>
    <xf numFmtId="170" fontId="0" fillId="0" borderId="0" xfId="17" applyFont="1" applyFill="1" applyAlignment="1">
      <alignment/>
    </xf>
    <xf numFmtId="170" fontId="3" fillId="0" borderId="0" xfId="17" applyFont="1" applyFill="1" applyAlignment="1">
      <alignment/>
    </xf>
    <xf numFmtId="1" fontId="0" fillId="0" borderId="0" xfId="0" applyNumberForma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4" borderId="0" xfId="0" applyFont="1" applyFill="1" applyAlignment="1">
      <alignment horizontal="left"/>
    </xf>
    <xf numFmtId="0" fontId="0" fillId="0" borderId="0" xfId="0" applyFill="1" applyAlignment="1">
      <alignment horizontal="righ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2457450</xdr:colOff>
      <xdr:row>3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57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51</xdr:row>
      <xdr:rowOff>85725</xdr:rowOff>
    </xdr:from>
    <xdr:to>
      <xdr:col>1</xdr:col>
      <xdr:colOff>114300</xdr:colOff>
      <xdr:row>53</xdr:row>
      <xdr:rowOff>57150</xdr:rowOff>
    </xdr:to>
    <xdr:sp>
      <xdr:nvSpPr>
        <xdr:cNvPr id="1" name="AutoShape 218"/>
        <xdr:cNvSpPr>
          <a:spLocks/>
        </xdr:cNvSpPr>
      </xdr:nvSpPr>
      <xdr:spPr>
        <a:xfrm flipV="1">
          <a:off x="1609725" y="8496300"/>
          <a:ext cx="314325" cy="2952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581025</xdr:colOff>
      <xdr:row>43</xdr:row>
      <xdr:rowOff>85725</xdr:rowOff>
    </xdr:from>
    <xdr:to>
      <xdr:col>3</xdr:col>
      <xdr:colOff>1066800</xdr:colOff>
      <xdr:row>43</xdr:row>
      <xdr:rowOff>152400</xdr:rowOff>
    </xdr:to>
    <xdr:grpSp>
      <xdr:nvGrpSpPr>
        <xdr:cNvPr id="2" name="Group 295"/>
        <xdr:cNvGrpSpPr>
          <a:grpSpLocks noChangeAspect="1"/>
        </xdr:cNvGrpSpPr>
      </xdr:nvGrpSpPr>
      <xdr:grpSpPr>
        <a:xfrm>
          <a:off x="3486150" y="7200900"/>
          <a:ext cx="485775" cy="66675"/>
          <a:chOff x="8028" y="2996"/>
          <a:chExt cx="694" cy="88"/>
        </a:xfrm>
        <a:solidFill>
          <a:srgbClr val="FFFFFF"/>
        </a:solidFill>
      </xdr:grpSpPr>
      <xdr:sp>
        <xdr:nvSpPr>
          <xdr:cNvPr id="3" name="AutoShape 296"/>
          <xdr:cNvSpPr>
            <a:spLocks noChangeAspect="1"/>
          </xdr:cNvSpPr>
        </xdr:nvSpPr>
        <xdr:spPr>
          <a:xfrm>
            <a:off x="8193" y="2996"/>
            <a:ext cx="93" cy="87"/>
          </a:xfrm>
          <a:prstGeom prst="arc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AutoShape 297"/>
          <xdr:cNvSpPr>
            <a:spLocks noChangeAspect="1"/>
          </xdr:cNvSpPr>
        </xdr:nvSpPr>
        <xdr:spPr>
          <a:xfrm flipH="1">
            <a:off x="8105" y="2996"/>
            <a:ext cx="93" cy="87"/>
          </a:xfrm>
          <a:prstGeom prst="arc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AutoShape 298"/>
          <xdr:cNvSpPr>
            <a:spLocks noChangeAspect="1"/>
          </xdr:cNvSpPr>
        </xdr:nvSpPr>
        <xdr:spPr>
          <a:xfrm>
            <a:off x="8377" y="2996"/>
            <a:ext cx="93" cy="87"/>
          </a:xfrm>
          <a:prstGeom prst="arc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AutoShape 299"/>
          <xdr:cNvSpPr>
            <a:spLocks noChangeAspect="1"/>
          </xdr:cNvSpPr>
        </xdr:nvSpPr>
        <xdr:spPr>
          <a:xfrm flipH="1">
            <a:off x="8289" y="2996"/>
            <a:ext cx="93" cy="87"/>
          </a:xfrm>
          <a:prstGeom prst="arc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AutoShape 300"/>
          <xdr:cNvSpPr>
            <a:spLocks noChangeAspect="1"/>
          </xdr:cNvSpPr>
        </xdr:nvSpPr>
        <xdr:spPr>
          <a:xfrm>
            <a:off x="8559" y="2997"/>
            <a:ext cx="93" cy="87"/>
          </a:xfrm>
          <a:prstGeom prst="arc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AutoShape 301"/>
          <xdr:cNvSpPr>
            <a:spLocks noChangeAspect="1"/>
          </xdr:cNvSpPr>
        </xdr:nvSpPr>
        <xdr:spPr>
          <a:xfrm flipH="1">
            <a:off x="8471" y="2997"/>
            <a:ext cx="93" cy="87"/>
          </a:xfrm>
          <a:prstGeom prst="arc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AutoShape 302"/>
          <xdr:cNvSpPr>
            <a:spLocks noChangeAspect="1"/>
          </xdr:cNvSpPr>
        </xdr:nvSpPr>
        <xdr:spPr>
          <a:xfrm flipH="1">
            <a:off x="8028" y="3084"/>
            <a:ext cx="7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AutoShape 303"/>
          <xdr:cNvSpPr>
            <a:spLocks noChangeAspect="1"/>
          </xdr:cNvSpPr>
        </xdr:nvSpPr>
        <xdr:spPr>
          <a:xfrm>
            <a:off x="8650" y="3084"/>
            <a:ext cx="7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304800</xdr:colOff>
      <xdr:row>46</xdr:row>
      <xdr:rowOff>47625</xdr:rowOff>
    </xdr:from>
    <xdr:to>
      <xdr:col>3</xdr:col>
      <xdr:colOff>400050</xdr:colOff>
      <xdr:row>49</xdr:row>
      <xdr:rowOff>76200</xdr:rowOff>
    </xdr:to>
    <xdr:grpSp>
      <xdr:nvGrpSpPr>
        <xdr:cNvPr id="11" name="Group 304"/>
        <xdr:cNvGrpSpPr>
          <a:grpSpLocks noChangeAspect="1"/>
        </xdr:cNvGrpSpPr>
      </xdr:nvGrpSpPr>
      <xdr:grpSpPr>
        <a:xfrm>
          <a:off x="3209925" y="7648575"/>
          <a:ext cx="95250" cy="514350"/>
          <a:chOff x="7376" y="4890"/>
          <a:chExt cx="135" cy="703"/>
        </a:xfrm>
        <a:solidFill>
          <a:srgbClr val="FFFFFF"/>
        </a:solidFill>
      </xdr:grpSpPr>
      <xdr:sp>
        <xdr:nvSpPr>
          <xdr:cNvPr id="12" name="AutoShape 305"/>
          <xdr:cNvSpPr>
            <a:spLocks noChangeAspect="1"/>
          </xdr:cNvSpPr>
        </xdr:nvSpPr>
        <xdr:spPr>
          <a:xfrm flipV="1">
            <a:off x="7445" y="4890"/>
            <a:ext cx="2" cy="15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AutoShape 306"/>
          <xdr:cNvSpPr>
            <a:spLocks noChangeAspect="1"/>
          </xdr:cNvSpPr>
        </xdr:nvSpPr>
        <xdr:spPr>
          <a:xfrm>
            <a:off x="7376" y="5053"/>
            <a:ext cx="135" cy="39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AutoShape 307"/>
          <xdr:cNvSpPr>
            <a:spLocks noChangeAspect="1"/>
          </xdr:cNvSpPr>
        </xdr:nvSpPr>
        <xdr:spPr>
          <a:xfrm>
            <a:off x="7444" y="5445"/>
            <a:ext cx="0" cy="14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295275</xdr:colOff>
      <xdr:row>50</xdr:row>
      <xdr:rowOff>19050</xdr:rowOff>
    </xdr:from>
    <xdr:to>
      <xdr:col>3</xdr:col>
      <xdr:colOff>352425</xdr:colOff>
      <xdr:row>50</xdr:row>
      <xdr:rowOff>66675</xdr:rowOff>
    </xdr:to>
    <xdr:sp>
      <xdr:nvSpPr>
        <xdr:cNvPr id="15" name="AutoShape 308"/>
        <xdr:cNvSpPr>
          <a:spLocks noChangeAspect="1"/>
        </xdr:cNvSpPr>
      </xdr:nvSpPr>
      <xdr:spPr>
        <a:xfrm flipH="1" flipV="1">
          <a:off x="3200400" y="8267700"/>
          <a:ext cx="57150" cy="47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295275</xdr:colOff>
      <xdr:row>50</xdr:row>
      <xdr:rowOff>19050</xdr:rowOff>
    </xdr:from>
    <xdr:to>
      <xdr:col>3</xdr:col>
      <xdr:colOff>409575</xdr:colOff>
      <xdr:row>50</xdr:row>
      <xdr:rowOff>19050</xdr:rowOff>
    </xdr:to>
    <xdr:sp>
      <xdr:nvSpPr>
        <xdr:cNvPr id="16" name="AutoShape 309"/>
        <xdr:cNvSpPr>
          <a:spLocks noChangeAspect="1"/>
        </xdr:cNvSpPr>
      </xdr:nvSpPr>
      <xdr:spPr>
        <a:xfrm>
          <a:off x="3200400" y="8267700"/>
          <a:ext cx="114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50</xdr:row>
      <xdr:rowOff>19050</xdr:rowOff>
    </xdr:from>
    <xdr:to>
      <xdr:col>3</xdr:col>
      <xdr:colOff>400050</xdr:colOff>
      <xdr:row>50</xdr:row>
      <xdr:rowOff>66675</xdr:rowOff>
    </xdr:to>
    <xdr:sp>
      <xdr:nvSpPr>
        <xdr:cNvPr id="17" name="AutoShape 310"/>
        <xdr:cNvSpPr>
          <a:spLocks noChangeAspect="1"/>
        </xdr:cNvSpPr>
      </xdr:nvSpPr>
      <xdr:spPr>
        <a:xfrm flipH="1">
          <a:off x="3257550" y="8267700"/>
          <a:ext cx="47625" cy="47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43</xdr:row>
      <xdr:rowOff>114300</xdr:rowOff>
    </xdr:from>
    <xdr:to>
      <xdr:col>1</xdr:col>
      <xdr:colOff>190500</xdr:colOff>
      <xdr:row>43</xdr:row>
      <xdr:rowOff>114300</xdr:rowOff>
    </xdr:to>
    <xdr:sp>
      <xdr:nvSpPr>
        <xdr:cNvPr id="18" name="AutoShape 311"/>
        <xdr:cNvSpPr>
          <a:spLocks noChangeAspect="1"/>
        </xdr:cNvSpPr>
      </xdr:nvSpPr>
      <xdr:spPr>
        <a:xfrm flipV="1">
          <a:off x="981075" y="7229475"/>
          <a:ext cx="1019175" cy="0"/>
        </a:xfrm>
        <a:prstGeom prst="line">
          <a:avLst/>
        </a:prstGeom>
        <a:solidFill>
          <a:srgbClr val="FFFFFF"/>
        </a:solidFill>
        <a:ln w="9525" cmpd="sng">
          <a:solidFill>
            <a:srgbClr val="40004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42</xdr:row>
      <xdr:rowOff>47625</xdr:rowOff>
    </xdr:to>
    <xdr:sp>
      <xdr:nvSpPr>
        <xdr:cNvPr id="19" name="AutoShape 312"/>
        <xdr:cNvSpPr>
          <a:spLocks noChangeAspect="1"/>
        </xdr:cNvSpPr>
      </xdr:nvSpPr>
      <xdr:spPr>
        <a:xfrm rot="16200000">
          <a:off x="2828925" y="6791325"/>
          <a:ext cx="0" cy="2095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704850</xdr:colOff>
      <xdr:row>41</xdr:row>
      <xdr:rowOff>0</xdr:rowOff>
    </xdr:from>
    <xdr:to>
      <xdr:col>2</xdr:col>
      <xdr:colOff>704850</xdr:colOff>
      <xdr:row>42</xdr:row>
      <xdr:rowOff>47625</xdr:rowOff>
    </xdr:to>
    <xdr:sp>
      <xdr:nvSpPr>
        <xdr:cNvPr id="20" name="AutoShape 313"/>
        <xdr:cNvSpPr>
          <a:spLocks noChangeAspect="1"/>
        </xdr:cNvSpPr>
      </xdr:nvSpPr>
      <xdr:spPr>
        <a:xfrm rot="16200000">
          <a:off x="2790825" y="6791325"/>
          <a:ext cx="0" cy="2095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476250</xdr:colOff>
      <xdr:row>41</xdr:row>
      <xdr:rowOff>104775</xdr:rowOff>
    </xdr:from>
    <xdr:to>
      <xdr:col>2</xdr:col>
      <xdr:colOff>704850</xdr:colOff>
      <xdr:row>41</xdr:row>
      <xdr:rowOff>104775</xdr:rowOff>
    </xdr:to>
    <xdr:sp>
      <xdr:nvSpPr>
        <xdr:cNvPr id="21" name="AutoShape 314"/>
        <xdr:cNvSpPr>
          <a:spLocks noChangeAspect="1"/>
        </xdr:cNvSpPr>
      </xdr:nvSpPr>
      <xdr:spPr>
        <a:xfrm rot="16200000" flipV="1">
          <a:off x="2562225" y="689610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43</xdr:row>
      <xdr:rowOff>152400</xdr:rowOff>
    </xdr:from>
    <xdr:to>
      <xdr:col>3</xdr:col>
      <xdr:colOff>628650</xdr:colOff>
      <xdr:row>43</xdr:row>
      <xdr:rowOff>152400</xdr:rowOff>
    </xdr:to>
    <xdr:sp>
      <xdr:nvSpPr>
        <xdr:cNvPr id="22" name="AutoShape 315"/>
        <xdr:cNvSpPr>
          <a:spLocks noChangeAspect="1"/>
        </xdr:cNvSpPr>
      </xdr:nvSpPr>
      <xdr:spPr>
        <a:xfrm flipV="1">
          <a:off x="2847975" y="7267575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41</xdr:row>
      <xdr:rowOff>114300</xdr:rowOff>
    </xdr:from>
    <xdr:to>
      <xdr:col>3</xdr:col>
      <xdr:colOff>133350</xdr:colOff>
      <xdr:row>43</xdr:row>
      <xdr:rowOff>152400</xdr:rowOff>
    </xdr:to>
    <xdr:sp>
      <xdr:nvSpPr>
        <xdr:cNvPr id="23" name="AutoShape 316"/>
        <xdr:cNvSpPr>
          <a:spLocks noChangeAspect="1"/>
        </xdr:cNvSpPr>
      </xdr:nvSpPr>
      <xdr:spPr>
        <a:xfrm>
          <a:off x="3038475" y="6905625"/>
          <a:ext cx="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1066800</xdr:colOff>
      <xdr:row>43</xdr:row>
      <xdr:rowOff>152400</xdr:rowOff>
    </xdr:from>
    <xdr:to>
      <xdr:col>3</xdr:col>
      <xdr:colOff>1276350</xdr:colOff>
      <xdr:row>43</xdr:row>
      <xdr:rowOff>152400</xdr:rowOff>
    </xdr:to>
    <xdr:sp>
      <xdr:nvSpPr>
        <xdr:cNvPr id="24" name="AutoShape 317"/>
        <xdr:cNvSpPr>
          <a:spLocks noChangeAspect="1"/>
        </xdr:cNvSpPr>
      </xdr:nvSpPr>
      <xdr:spPr>
        <a:xfrm>
          <a:off x="3971925" y="726757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1343025</xdr:colOff>
      <xdr:row>45</xdr:row>
      <xdr:rowOff>47625</xdr:rowOff>
    </xdr:from>
    <xdr:to>
      <xdr:col>0</xdr:col>
      <xdr:colOff>1438275</xdr:colOff>
      <xdr:row>48</xdr:row>
      <xdr:rowOff>76200</xdr:rowOff>
    </xdr:to>
    <xdr:grpSp>
      <xdr:nvGrpSpPr>
        <xdr:cNvPr id="25" name="Group 318"/>
        <xdr:cNvGrpSpPr>
          <a:grpSpLocks noChangeAspect="1"/>
        </xdr:cNvGrpSpPr>
      </xdr:nvGrpSpPr>
      <xdr:grpSpPr>
        <a:xfrm>
          <a:off x="1343025" y="7486650"/>
          <a:ext cx="95250" cy="514350"/>
          <a:chOff x="4741" y="2833"/>
          <a:chExt cx="135" cy="703"/>
        </a:xfrm>
        <a:solidFill>
          <a:srgbClr val="FFFFFF"/>
        </a:solidFill>
      </xdr:grpSpPr>
      <xdr:sp>
        <xdr:nvSpPr>
          <xdr:cNvPr id="26" name="AutoShape 319"/>
          <xdr:cNvSpPr>
            <a:spLocks noChangeAspect="1"/>
          </xdr:cNvSpPr>
        </xdr:nvSpPr>
        <xdr:spPr>
          <a:xfrm flipH="1" flipV="1">
            <a:off x="4809" y="2833"/>
            <a:ext cx="1" cy="15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AutoShape 320"/>
          <xdr:cNvSpPr>
            <a:spLocks noChangeAspect="1"/>
          </xdr:cNvSpPr>
        </xdr:nvSpPr>
        <xdr:spPr>
          <a:xfrm>
            <a:off x="4741" y="2996"/>
            <a:ext cx="135" cy="39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AutoShape 321"/>
          <xdr:cNvSpPr>
            <a:spLocks noChangeAspect="1"/>
          </xdr:cNvSpPr>
        </xdr:nvSpPr>
        <xdr:spPr>
          <a:xfrm>
            <a:off x="4809" y="3388"/>
            <a:ext cx="0" cy="14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771525</xdr:colOff>
      <xdr:row>49</xdr:row>
      <xdr:rowOff>28575</xdr:rowOff>
    </xdr:from>
    <xdr:to>
      <xdr:col>3</xdr:col>
      <xdr:colOff>352425</xdr:colOff>
      <xdr:row>49</xdr:row>
      <xdr:rowOff>28575</xdr:rowOff>
    </xdr:to>
    <xdr:sp>
      <xdr:nvSpPr>
        <xdr:cNvPr id="29" name="AutoShape 322"/>
        <xdr:cNvSpPr>
          <a:spLocks noChangeAspect="1"/>
        </xdr:cNvSpPr>
      </xdr:nvSpPr>
      <xdr:spPr>
        <a:xfrm>
          <a:off x="2857500" y="811530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1390650</xdr:colOff>
      <xdr:row>47</xdr:row>
      <xdr:rowOff>152400</xdr:rowOff>
    </xdr:from>
    <xdr:to>
      <xdr:col>0</xdr:col>
      <xdr:colOff>1390650</xdr:colOff>
      <xdr:row>48</xdr:row>
      <xdr:rowOff>85725</xdr:rowOff>
    </xdr:to>
    <xdr:sp>
      <xdr:nvSpPr>
        <xdr:cNvPr id="30" name="AutoShape 323"/>
        <xdr:cNvSpPr>
          <a:spLocks noChangeAspect="1"/>
        </xdr:cNvSpPr>
      </xdr:nvSpPr>
      <xdr:spPr>
        <a:xfrm>
          <a:off x="1390650" y="7915275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742950</xdr:colOff>
      <xdr:row>43</xdr:row>
      <xdr:rowOff>133350</xdr:rowOff>
    </xdr:from>
    <xdr:to>
      <xdr:col>2</xdr:col>
      <xdr:colOff>781050</xdr:colOff>
      <xdr:row>44</xdr:row>
      <xdr:rowOff>19050</xdr:rowOff>
    </xdr:to>
    <xdr:sp>
      <xdr:nvSpPr>
        <xdr:cNvPr id="31" name="AutoShape 324"/>
        <xdr:cNvSpPr>
          <a:spLocks noChangeAspect="1"/>
        </xdr:cNvSpPr>
      </xdr:nvSpPr>
      <xdr:spPr>
        <a:xfrm>
          <a:off x="2828925" y="7248525"/>
          <a:ext cx="38100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171450</xdr:colOff>
      <xdr:row>43</xdr:row>
      <xdr:rowOff>95250</xdr:rowOff>
    </xdr:from>
    <xdr:to>
      <xdr:col>1</xdr:col>
      <xdr:colOff>219075</xdr:colOff>
      <xdr:row>43</xdr:row>
      <xdr:rowOff>142875</xdr:rowOff>
    </xdr:to>
    <xdr:sp>
      <xdr:nvSpPr>
        <xdr:cNvPr id="32" name="AutoShape 325"/>
        <xdr:cNvSpPr>
          <a:spLocks noChangeAspect="1"/>
        </xdr:cNvSpPr>
      </xdr:nvSpPr>
      <xdr:spPr>
        <a:xfrm>
          <a:off x="1981200" y="7210425"/>
          <a:ext cx="47625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752475</xdr:colOff>
      <xdr:row>41</xdr:row>
      <xdr:rowOff>104775</xdr:rowOff>
    </xdr:from>
    <xdr:to>
      <xdr:col>3</xdr:col>
      <xdr:colOff>133350</xdr:colOff>
      <xdr:row>41</xdr:row>
      <xdr:rowOff>114300</xdr:rowOff>
    </xdr:to>
    <xdr:sp>
      <xdr:nvSpPr>
        <xdr:cNvPr id="33" name="AutoShape 326"/>
        <xdr:cNvSpPr>
          <a:spLocks noChangeAspect="1"/>
        </xdr:cNvSpPr>
      </xdr:nvSpPr>
      <xdr:spPr>
        <a:xfrm flipH="1" flipV="1">
          <a:off x="2838450" y="6896100"/>
          <a:ext cx="2000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1743075</xdr:colOff>
      <xdr:row>45</xdr:row>
      <xdr:rowOff>0</xdr:rowOff>
    </xdr:from>
    <xdr:to>
      <xdr:col>0</xdr:col>
      <xdr:colOff>1743075</xdr:colOff>
      <xdr:row>45</xdr:row>
      <xdr:rowOff>152400</xdr:rowOff>
    </xdr:to>
    <xdr:sp>
      <xdr:nvSpPr>
        <xdr:cNvPr id="34" name="AutoShape 327"/>
        <xdr:cNvSpPr>
          <a:spLocks noChangeAspect="1"/>
        </xdr:cNvSpPr>
      </xdr:nvSpPr>
      <xdr:spPr>
        <a:xfrm>
          <a:off x="1743075" y="7439025"/>
          <a:ext cx="0" cy="152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1685925</xdr:colOff>
      <xdr:row>45</xdr:row>
      <xdr:rowOff>152400</xdr:rowOff>
    </xdr:from>
    <xdr:to>
      <xdr:col>0</xdr:col>
      <xdr:colOff>1743075</xdr:colOff>
      <xdr:row>46</xdr:row>
      <xdr:rowOff>47625</xdr:rowOff>
    </xdr:to>
    <xdr:sp>
      <xdr:nvSpPr>
        <xdr:cNvPr id="35" name="AutoShape 328"/>
        <xdr:cNvSpPr>
          <a:spLocks noChangeAspect="1"/>
        </xdr:cNvSpPr>
      </xdr:nvSpPr>
      <xdr:spPr>
        <a:xfrm flipH="1" flipV="1">
          <a:off x="1685925" y="7591425"/>
          <a:ext cx="5715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1685925</xdr:colOff>
      <xdr:row>45</xdr:row>
      <xdr:rowOff>152400</xdr:rowOff>
    </xdr:from>
    <xdr:to>
      <xdr:col>0</xdr:col>
      <xdr:colOff>1800225</xdr:colOff>
      <xdr:row>45</xdr:row>
      <xdr:rowOff>152400</xdr:rowOff>
    </xdr:to>
    <xdr:sp>
      <xdr:nvSpPr>
        <xdr:cNvPr id="36" name="AutoShape 329"/>
        <xdr:cNvSpPr>
          <a:spLocks noChangeAspect="1"/>
        </xdr:cNvSpPr>
      </xdr:nvSpPr>
      <xdr:spPr>
        <a:xfrm>
          <a:off x="1685925" y="7591425"/>
          <a:ext cx="114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1743075</xdr:colOff>
      <xdr:row>45</xdr:row>
      <xdr:rowOff>152400</xdr:rowOff>
    </xdr:from>
    <xdr:to>
      <xdr:col>0</xdr:col>
      <xdr:colOff>1800225</xdr:colOff>
      <xdr:row>46</xdr:row>
      <xdr:rowOff>47625</xdr:rowOff>
    </xdr:to>
    <xdr:sp>
      <xdr:nvSpPr>
        <xdr:cNvPr id="37" name="AutoShape 330"/>
        <xdr:cNvSpPr>
          <a:spLocks noChangeAspect="1"/>
        </xdr:cNvSpPr>
      </xdr:nvSpPr>
      <xdr:spPr>
        <a:xfrm flipH="1">
          <a:off x="1743075" y="7591425"/>
          <a:ext cx="5715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1628775</xdr:colOff>
      <xdr:row>45</xdr:row>
      <xdr:rowOff>0</xdr:rowOff>
    </xdr:from>
    <xdr:to>
      <xdr:col>1</xdr:col>
      <xdr:colOff>38100</xdr:colOff>
      <xdr:row>45</xdr:row>
      <xdr:rowOff>0</xdr:rowOff>
    </xdr:to>
    <xdr:sp>
      <xdr:nvSpPr>
        <xdr:cNvPr id="38" name="AutoShape 331"/>
        <xdr:cNvSpPr>
          <a:spLocks noChangeAspect="1"/>
        </xdr:cNvSpPr>
      </xdr:nvSpPr>
      <xdr:spPr>
        <a:xfrm>
          <a:off x="1628775" y="7439025"/>
          <a:ext cx="219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923925</xdr:colOff>
      <xdr:row>43</xdr:row>
      <xdr:rowOff>114300</xdr:rowOff>
    </xdr:from>
    <xdr:to>
      <xdr:col>0</xdr:col>
      <xdr:colOff>981075</xdr:colOff>
      <xdr:row>44</xdr:row>
      <xdr:rowOff>9525</xdr:rowOff>
    </xdr:to>
    <xdr:sp>
      <xdr:nvSpPr>
        <xdr:cNvPr id="39" name="AutoShape 332"/>
        <xdr:cNvSpPr>
          <a:spLocks noChangeAspect="1"/>
        </xdr:cNvSpPr>
      </xdr:nvSpPr>
      <xdr:spPr>
        <a:xfrm flipH="1">
          <a:off x="923925" y="7229475"/>
          <a:ext cx="5715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923925</xdr:colOff>
      <xdr:row>43</xdr:row>
      <xdr:rowOff>57150</xdr:rowOff>
    </xdr:from>
    <xdr:to>
      <xdr:col>0</xdr:col>
      <xdr:colOff>923925</xdr:colOff>
      <xdr:row>44</xdr:row>
      <xdr:rowOff>9525</xdr:rowOff>
    </xdr:to>
    <xdr:sp>
      <xdr:nvSpPr>
        <xdr:cNvPr id="40" name="AutoShape 333"/>
        <xdr:cNvSpPr>
          <a:spLocks noChangeAspect="1"/>
        </xdr:cNvSpPr>
      </xdr:nvSpPr>
      <xdr:spPr>
        <a:xfrm flipH="1" flipV="1">
          <a:off x="923925" y="7172325"/>
          <a:ext cx="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923925</xdr:colOff>
      <xdr:row>43</xdr:row>
      <xdr:rowOff>57150</xdr:rowOff>
    </xdr:from>
    <xdr:to>
      <xdr:col>0</xdr:col>
      <xdr:colOff>971550</xdr:colOff>
      <xdr:row>43</xdr:row>
      <xdr:rowOff>114300</xdr:rowOff>
    </xdr:to>
    <xdr:sp>
      <xdr:nvSpPr>
        <xdr:cNvPr id="41" name="AutoShape 334"/>
        <xdr:cNvSpPr>
          <a:spLocks noChangeAspect="1"/>
        </xdr:cNvSpPr>
      </xdr:nvSpPr>
      <xdr:spPr>
        <a:xfrm>
          <a:off x="923925" y="7172325"/>
          <a:ext cx="47625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476250</xdr:colOff>
      <xdr:row>50</xdr:row>
      <xdr:rowOff>66675</xdr:rowOff>
    </xdr:from>
    <xdr:to>
      <xdr:col>2</xdr:col>
      <xdr:colOff>476250</xdr:colOff>
      <xdr:row>53</xdr:row>
      <xdr:rowOff>19050</xdr:rowOff>
    </xdr:to>
    <xdr:sp>
      <xdr:nvSpPr>
        <xdr:cNvPr id="42" name="AutoShape 335"/>
        <xdr:cNvSpPr>
          <a:spLocks noChangeAspect="1"/>
        </xdr:cNvSpPr>
      </xdr:nvSpPr>
      <xdr:spPr>
        <a:xfrm>
          <a:off x="2562225" y="8315325"/>
          <a:ext cx="0" cy="438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257175</xdr:colOff>
      <xdr:row>44</xdr:row>
      <xdr:rowOff>85725</xdr:rowOff>
    </xdr:from>
    <xdr:ext cx="142875" cy="228600"/>
    <xdr:sp>
      <xdr:nvSpPr>
        <xdr:cNvPr id="43" name="AutoShape 336"/>
        <xdr:cNvSpPr>
          <a:spLocks noChangeAspect="1"/>
        </xdr:cNvSpPr>
      </xdr:nvSpPr>
      <xdr:spPr>
        <a:xfrm>
          <a:off x="2066925" y="7362825"/>
          <a:ext cx="1428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VIN
</a:t>
          </a:r>
        </a:p>
      </xdr:txBody>
    </xdr:sp>
    <xdr:clientData/>
  </xdr:oneCellAnchor>
  <xdr:oneCellAnchor>
    <xdr:from>
      <xdr:col>1</xdr:col>
      <xdr:colOff>190500</xdr:colOff>
      <xdr:row>49</xdr:row>
      <xdr:rowOff>85725</xdr:rowOff>
    </xdr:from>
    <xdr:ext cx="142875" cy="228600"/>
    <xdr:sp>
      <xdr:nvSpPr>
        <xdr:cNvPr id="44" name="AutoShape 337"/>
        <xdr:cNvSpPr>
          <a:spLocks noChangeAspect="1"/>
        </xdr:cNvSpPr>
      </xdr:nvSpPr>
      <xdr:spPr>
        <a:xfrm>
          <a:off x="2000250" y="8172450"/>
          <a:ext cx="1428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DIS
</a:t>
          </a:r>
        </a:p>
      </xdr:txBody>
    </xdr:sp>
    <xdr:clientData/>
  </xdr:oneCellAnchor>
  <xdr:oneCellAnchor>
    <xdr:from>
      <xdr:col>2</xdr:col>
      <xdr:colOff>257175</xdr:colOff>
      <xdr:row>49</xdr:row>
      <xdr:rowOff>85725</xdr:rowOff>
    </xdr:from>
    <xdr:ext cx="114300" cy="228600"/>
    <xdr:sp>
      <xdr:nvSpPr>
        <xdr:cNvPr id="45" name="AutoShape 338"/>
        <xdr:cNvSpPr>
          <a:spLocks noChangeAspect="1"/>
        </xdr:cNvSpPr>
      </xdr:nvSpPr>
      <xdr:spPr>
        <a:xfrm>
          <a:off x="2343150" y="817245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SS
</a:t>
          </a:r>
        </a:p>
      </xdr:txBody>
    </xdr:sp>
    <xdr:clientData/>
  </xdr:oneCellAnchor>
  <xdr:oneCellAnchor>
    <xdr:from>
      <xdr:col>1</xdr:col>
      <xdr:colOff>228600</xdr:colOff>
      <xdr:row>48</xdr:row>
      <xdr:rowOff>47625</xdr:rowOff>
    </xdr:from>
    <xdr:ext cx="190500" cy="228600"/>
    <xdr:sp>
      <xdr:nvSpPr>
        <xdr:cNvPr id="46" name="AutoShape 339"/>
        <xdr:cNvSpPr>
          <a:spLocks noChangeAspect="1"/>
        </xdr:cNvSpPr>
      </xdr:nvSpPr>
      <xdr:spPr>
        <a:xfrm>
          <a:off x="2038350" y="7972425"/>
          <a:ext cx="1905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TON
</a:t>
          </a:r>
        </a:p>
      </xdr:txBody>
    </xdr:sp>
    <xdr:clientData/>
  </xdr:oneCellAnchor>
  <xdr:oneCellAnchor>
    <xdr:from>
      <xdr:col>2</xdr:col>
      <xdr:colOff>333375</xdr:colOff>
      <xdr:row>43</xdr:row>
      <xdr:rowOff>38100</xdr:rowOff>
    </xdr:from>
    <xdr:ext cx="257175" cy="228600"/>
    <xdr:sp>
      <xdr:nvSpPr>
        <xdr:cNvPr id="47" name="AutoShape 340"/>
        <xdr:cNvSpPr>
          <a:spLocks noChangeAspect="1"/>
        </xdr:cNvSpPr>
      </xdr:nvSpPr>
      <xdr:spPr>
        <a:xfrm>
          <a:off x="2419350" y="7153275"/>
          <a:ext cx="2571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BOOT
</a:t>
          </a:r>
        </a:p>
      </xdr:txBody>
    </xdr:sp>
    <xdr:clientData/>
  </xdr:oneCellAnchor>
  <xdr:oneCellAnchor>
    <xdr:from>
      <xdr:col>2</xdr:col>
      <xdr:colOff>581025</xdr:colOff>
      <xdr:row>43</xdr:row>
      <xdr:rowOff>114300</xdr:rowOff>
    </xdr:from>
    <xdr:ext cx="104775" cy="228600"/>
    <xdr:sp>
      <xdr:nvSpPr>
        <xdr:cNvPr id="48" name="AutoShape 341"/>
        <xdr:cNvSpPr>
          <a:spLocks noChangeAspect="1"/>
        </xdr:cNvSpPr>
      </xdr:nvSpPr>
      <xdr:spPr>
        <a:xfrm>
          <a:off x="2667000" y="72294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LX
</a:t>
          </a:r>
        </a:p>
      </xdr:txBody>
    </xdr:sp>
    <xdr:clientData/>
  </xdr:oneCellAnchor>
  <xdr:oneCellAnchor>
    <xdr:from>
      <xdr:col>2</xdr:col>
      <xdr:colOff>533400</xdr:colOff>
      <xdr:row>46</xdr:row>
      <xdr:rowOff>9525</xdr:rowOff>
    </xdr:from>
    <xdr:ext cx="200025" cy="228600"/>
    <xdr:sp>
      <xdr:nvSpPr>
        <xdr:cNvPr id="49" name="AutoShape 342"/>
        <xdr:cNvSpPr>
          <a:spLocks noChangeAspect="1"/>
        </xdr:cNvSpPr>
      </xdr:nvSpPr>
      <xdr:spPr>
        <a:xfrm>
          <a:off x="2619375" y="7610475"/>
          <a:ext cx="2000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ISEN
</a:t>
          </a:r>
        </a:p>
      </xdr:txBody>
    </xdr:sp>
    <xdr:clientData/>
  </xdr:oneCellAnchor>
  <xdr:twoCellAnchor>
    <xdr:from>
      <xdr:col>0</xdr:col>
      <xdr:colOff>1371600</xdr:colOff>
      <xdr:row>43</xdr:row>
      <xdr:rowOff>85725</xdr:rowOff>
    </xdr:from>
    <xdr:to>
      <xdr:col>0</xdr:col>
      <xdr:colOff>1419225</xdr:colOff>
      <xdr:row>43</xdr:row>
      <xdr:rowOff>133350</xdr:rowOff>
    </xdr:to>
    <xdr:sp>
      <xdr:nvSpPr>
        <xdr:cNvPr id="50" name="AutoShape 343"/>
        <xdr:cNvSpPr>
          <a:spLocks noChangeAspect="1"/>
        </xdr:cNvSpPr>
      </xdr:nvSpPr>
      <xdr:spPr>
        <a:xfrm>
          <a:off x="1371600" y="7200900"/>
          <a:ext cx="47625" cy="476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1724025</xdr:colOff>
      <xdr:row>43</xdr:row>
      <xdr:rowOff>95250</xdr:rowOff>
    </xdr:from>
    <xdr:to>
      <xdr:col>0</xdr:col>
      <xdr:colOff>1762125</xdr:colOff>
      <xdr:row>43</xdr:row>
      <xdr:rowOff>133350</xdr:rowOff>
    </xdr:to>
    <xdr:sp>
      <xdr:nvSpPr>
        <xdr:cNvPr id="51" name="AutoShape 344"/>
        <xdr:cNvSpPr>
          <a:spLocks noChangeAspect="1"/>
        </xdr:cNvSpPr>
      </xdr:nvSpPr>
      <xdr:spPr>
        <a:xfrm>
          <a:off x="1724025" y="7210425"/>
          <a:ext cx="38100" cy="381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114300</xdr:colOff>
      <xdr:row>43</xdr:row>
      <xdr:rowOff>133350</xdr:rowOff>
    </xdr:from>
    <xdr:to>
      <xdr:col>3</xdr:col>
      <xdr:colOff>152400</xdr:colOff>
      <xdr:row>44</xdr:row>
      <xdr:rowOff>19050</xdr:rowOff>
    </xdr:to>
    <xdr:sp>
      <xdr:nvSpPr>
        <xdr:cNvPr id="52" name="AutoShape 345"/>
        <xdr:cNvSpPr>
          <a:spLocks noChangeAspect="1"/>
        </xdr:cNvSpPr>
      </xdr:nvSpPr>
      <xdr:spPr>
        <a:xfrm>
          <a:off x="3019425" y="7248525"/>
          <a:ext cx="38100" cy="476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323850</xdr:colOff>
      <xdr:row>46</xdr:row>
      <xdr:rowOff>28575</xdr:rowOff>
    </xdr:from>
    <xdr:to>
      <xdr:col>3</xdr:col>
      <xdr:colOff>371475</xdr:colOff>
      <xdr:row>46</xdr:row>
      <xdr:rowOff>66675</xdr:rowOff>
    </xdr:to>
    <xdr:sp>
      <xdr:nvSpPr>
        <xdr:cNvPr id="53" name="AutoShape 346"/>
        <xdr:cNvSpPr>
          <a:spLocks noChangeAspect="1"/>
        </xdr:cNvSpPr>
      </xdr:nvSpPr>
      <xdr:spPr>
        <a:xfrm>
          <a:off x="3228975" y="7629525"/>
          <a:ext cx="47625" cy="381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333375</xdr:colOff>
      <xdr:row>43</xdr:row>
      <xdr:rowOff>142875</xdr:rowOff>
    </xdr:from>
    <xdr:to>
      <xdr:col>3</xdr:col>
      <xdr:colOff>371475</xdr:colOff>
      <xdr:row>44</xdr:row>
      <xdr:rowOff>19050</xdr:rowOff>
    </xdr:to>
    <xdr:sp>
      <xdr:nvSpPr>
        <xdr:cNvPr id="54" name="AutoShape 347"/>
        <xdr:cNvSpPr>
          <a:spLocks noChangeAspect="1"/>
        </xdr:cNvSpPr>
      </xdr:nvSpPr>
      <xdr:spPr>
        <a:xfrm>
          <a:off x="3238500" y="7258050"/>
          <a:ext cx="38100" cy="381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1390650</xdr:colOff>
      <xdr:row>43</xdr:row>
      <xdr:rowOff>104775</xdr:rowOff>
    </xdr:from>
    <xdr:to>
      <xdr:col>0</xdr:col>
      <xdr:colOff>1390650</xdr:colOff>
      <xdr:row>45</xdr:row>
      <xdr:rowOff>114300</xdr:rowOff>
    </xdr:to>
    <xdr:sp>
      <xdr:nvSpPr>
        <xdr:cNvPr id="55" name="AutoShape 348"/>
        <xdr:cNvSpPr>
          <a:spLocks/>
        </xdr:cNvSpPr>
      </xdr:nvSpPr>
      <xdr:spPr>
        <a:xfrm flipH="1" flipV="1">
          <a:off x="1390650" y="721995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1390650</xdr:colOff>
      <xdr:row>48</xdr:row>
      <xdr:rowOff>85725</xdr:rowOff>
    </xdr:from>
    <xdr:to>
      <xdr:col>1</xdr:col>
      <xdr:colOff>180975</xdr:colOff>
      <xdr:row>48</xdr:row>
      <xdr:rowOff>85725</xdr:rowOff>
    </xdr:to>
    <xdr:sp>
      <xdr:nvSpPr>
        <xdr:cNvPr id="56" name="AutoShape 349"/>
        <xdr:cNvSpPr>
          <a:spLocks/>
        </xdr:cNvSpPr>
      </xdr:nvSpPr>
      <xdr:spPr>
        <a:xfrm flipH="1" flipV="1">
          <a:off x="1390650" y="8010525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428625</xdr:colOff>
      <xdr:row>53</xdr:row>
      <xdr:rowOff>19050</xdr:rowOff>
    </xdr:from>
    <xdr:to>
      <xdr:col>2</xdr:col>
      <xdr:colOff>476250</xdr:colOff>
      <xdr:row>53</xdr:row>
      <xdr:rowOff>76200</xdr:rowOff>
    </xdr:to>
    <xdr:sp>
      <xdr:nvSpPr>
        <xdr:cNvPr id="57" name="AutoShape 350"/>
        <xdr:cNvSpPr>
          <a:spLocks noChangeAspect="1"/>
        </xdr:cNvSpPr>
      </xdr:nvSpPr>
      <xdr:spPr>
        <a:xfrm flipH="1" flipV="1">
          <a:off x="2514600" y="8753475"/>
          <a:ext cx="47625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428625</xdr:colOff>
      <xdr:row>53</xdr:row>
      <xdr:rowOff>19050</xdr:rowOff>
    </xdr:from>
    <xdr:to>
      <xdr:col>2</xdr:col>
      <xdr:colOff>533400</xdr:colOff>
      <xdr:row>53</xdr:row>
      <xdr:rowOff>19050</xdr:rowOff>
    </xdr:to>
    <xdr:sp>
      <xdr:nvSpPr>
        <xdr:cNvPr id="58" name="AutoShape 351"/>
        <xdr:cNvSpPr>
          <a:spLocks noChangeAspect="1"/>
        </xdr:cNvSpPr>
      </xdr:nvSpPr>
      <xdr:spPr>
        <a:xfrm>
          <a:off x="2514600" y="8753475"/>
          <a:ext cx="1047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476250</xdr:colOff>
      <xdr:row>53</xdr:row>
      <xdr:rowOff>19050</xdr:rowOff>
    </xdr:from>
    <xdr:to>
      <xdr:col>2</xdr:col>
      <xdr:colOff>523875</xdr:colOff>
      <xdr:row>53</xdr:row>
      <xdr:rowOff>76200</xdr:rowOff>
    </xdr:to>
    <xdr:sp>
      <xdr:nvSpPr>
        <xdr:cNvPr id="59" name="AutoShape 352"/>
        <xdr:cNvSpPr>
          <a:spLocks noChangeAspect="1"/>
        </xdr:cNvSpPr>
      </xdr:nvSpPr>
      <xdr:spPr>
        <a:xfrm flipH="1">
          <a:off x="2562225" y="8753475"/>
          <a:ext cx="47625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49</xdr:row>
      <xdr:rowOff>76200</xdr:rowOff>
    </xdr:from>
    <xdr:to>
      <xdr:col>3</xdr:col>
      <xdr:colOff>352425</xdr:colOff>
      <xdr:row>50</xdr:row>
      <xdr:rowOff>19050</xdr:rowOff>
    </xdr:to>
    <xdr:sp>
      <xdr:nvSpPr>
        <xdr:cNvPr id="60" name="AutoShape 353"/>
        <xdr:cNvSpPr>
          <a:spLocks/>
        </xdr:cNvSpPr>
      </xdr:nvSpPr>
      <xdr:spPr>
        <a:xfrm>
          <a:off x="3257550" y="8162925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485775</xdr:colOff>
      <xdr:row>48</xdr:row>
      <xdr:rowOff>142875</xdr:rowOff>
    </xdr:from>
    <xdr:ext cx="257175" cy="228600"/>
    <xdr:sp>
      <xdr:nvSpPr>
        <xdr:cNvPr id="61" name="AutoShape 354"/>
        <xdr:cNvSpPr>
          <a:spLocks noChangeAspect="1"/>
        </xdr:cNvSpPr>
      </xdr:nvSpPr>
      <xdr:spPr>
        <a:xfrm>
          <a:off x="2571750" y="8067675"/>
          <a:ext cx="2571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SGND
</a:t>
          </a:r>
        </a:p>
      </xdr:txBody>
    </xdr:sp>
    <xdr:clientData/>
  </xdr:oneCellAnchor>
  <xdr:twoCellAnchor>
    <xdr:from>
      <xdr:col>2</xdr:col>
      <xdr:colOff>0</xdr:colOff>
      <xdr:row>52</xdr:row>
      <xdr:rowOff>47625</xdr:rowOff>
    </xdr:from>
    <xdr:to>
      <xdr:col>2</xdr:col>
      <xdr:colOff>0</xdr:colOff>
      <xdr:row>53</xdr:row>
      <xdr:rowOff>19050</xdr:rowOff>
    </xdr:to>
    <xdr:sp>
      <xdr:nvSpPr>
        <xdr:cNvPr id="62" name="AutoShape 355"/>
        <xdr:cNvSpPr>
          <a:spLocks noChangeAspect="1"/>
        </xdr:cNvSpPr>
      </xdr:nvSpPr>
      <xdr:spPr>
        <a:xfrm>
          <a:off x="2085975" y="8620125"/>
          <a:ext cx="0" cy="133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53</xdr:row>
      <xdr:rowOff>19050</xdr:rowOff>
    </xdr:from>
    <xdr:to>
      <xdr:col>2</xdr:col>
      <xdr:colOff>0</xdr:colOff>
      <xdr:row>53</xdr:row>
      <xdr:rowOff>85725</xdr:rowOff>
    </xdr:to>
    <xdr:sp>
      <xdr:nvSpPr>
        <xdr:cNvPr id="63" name="AutoShape 356"/>
        <xdr:cNvSpPr>
          <a:spLocks noChangeAspect="1"/>
        </xdr:cNvSpPr>
      </xdr:nvSpPr>
      <xdr:spPr>
        <a:xfrm flipH="1" flipV="1">
          <a:off x="2038350" y="8753475"/>
          <a:ext cx="47625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53</xdr:row>
      <xdr:rowOff>19050</xdr:rowOff>
    </xdr:from>
    <xdr:to>
      <xdr:col>2</xdr:col>
      <xdr:colOff>47625</xdr:colOff>
      <xdr:row>53</xdr:row>
      <xdr:rowOff>19050</xdr:rowOff>
    </xdr:to>
    <xdr:sp>
      <xdr:nvSpPr>
        <xdr:cNvPr id="64" name="AutoShape 357"/>
        <xdr:cNvSpPr>
          <a:spLocks noChangeAspect="1"/>
        </xdr:cNvSpPr>
      </xdr:nvSpPr>
      <xdr:spPr>
        <a:xfrm>
          <a:off x="2038350" y="8753475"/>
          <a:ext cx="952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53</xdr:row>
      <xdr:rowOff>19050</xdr:rowOff>
    </xdr:from>
    <xdr:to>
      <xdr:col>2</xdr:col>
      <xdr:colOff>47625</xdr:colOff>
      <xdr:row>53</xdr:row>
      <xdr:rowOff>76200</xdr:rowOff>
    </xdr:to>
    <xdr:sp>
      <xdr:nvSpPr>
        <xdr:cNvPr id="65" name="AutoShape 358"/>
        <xdr:cNvSpPr>
          <a:spLocks noChangeAspect="1"/>
        </xdr:cNvSpPr>
      </xdr:nvSpPr>
      <xdr:spPr>
        <a:xfrm flipH="1">
          <a:off x="2085975" y="8753475"/>
          <a:ext cx="47625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52</xdr:row>
      <xdr:rowOff>9525</xdr:rowOff>
    </xdr:from>
    <xdr:to>
      <xdr:col>2</xdr:col>
      <xdr:colOff>28575</xdr:colOff>
      <xdr:row>52</xdr:row>
      <xdr:rowOff>76200</xdr:rowOff>
    </xdr:to>
    <xdr:sp>
      <xdr:nvSpPr>
        <xdr:cNvPr id="66" name="AutoShape 359"/>
        <xdr:cNvSpPr>
          <a:spLocks noChangeAspect="1"/>
        </xdr:cNvSpPr>
      </xdr:nvSpPr>
      <xdr:spPr>
        <a:xfrm>
          <a:off x="2057400" y="8582025"/>
          <a:ext cx="57150" cy="666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50</xdr:row>
      <xdr:rowOff>142875</xdr:rowOff>
    </xdr:from>
    <xdr:to>
      <xdr:col>2</xdr:col>
      <xdr:colOff>28575</xdr:colOff>
      <xdr:row>51</xdr:row>
      <xdr:rowOff>47625</xdr:rowOff>
    </xdr:to>
    <xdr:sp>
      <xdr:nvSpPr>
        <xdr:cNvPr id="67" name="AutoShape 360"/>
        <xdr:cNvSpPr>
          <a:spLocks noChangeAspect="1"/>
        </xdr:cNvSpPr>
      </xdr:nvSpPr>
      <xdr:spPr>
        <a:xfrm>
          <a:off x="2057400" y="8391525"/>
          <a:ext cx="57150" cy="666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50</xdr:row>
      <xdr:rowOff>47625</xdr:rowOff>
    </xdr:from>
    <xdr:to>
      <xdr:col>2</xdr:col>
      <xdr:colOff>0</xdr:colOff>
      <xdr:row>51</xdr:row>
      <xdr:rowOff>9525</xdr:rowOff>
    </xdr:to>
    <xdr:sp>
      <xdr:nvSpPr>
        <xdr:cNvPr id="68" name="AutoShape 361"/>
        <xdr:cNvSpPr>
          <a:spLocks/>
        </xdr:cNvSpPr>
      </xdr:nvSpPr>
      <xdr:spPr>
        <a:xfrm flipV="1">
          <a:off x="2085975" y="829627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51</xdr:row>
      <xdr:rowOff>47625</xdr:rowOff>
    </xdr:from>
    <xdr:to>
      <xdr:col>2</xdr:col>
      <xdr:colOff>85725</xdr:colOff>
      <xdr:row>52</xdr:row>
      <xdr:rowOff>28575</xdr:rowOff>
    </xdr:to>
    <xdr:sp>
      <xdr:nvSpPr>
        <xdr:cNvPr id="69" name="AutoShape 362"/>
        <xdr:cNvSpPr>
          <a:spLocks/>
        </xdr:cNvSpPr>
      </xdr:nvSpPr>
      <xdr:spPr>
        <a:xfrm flipV="1">
          <a:off x="2105025" y="8458200"/>
          <a:ext cx="66675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51</xdr:row>
      <xdr:rowOff>47625</xdr:rowOff>
    </xdr:from>
    <xdr:to>
      <xdr:col>2</xdr:col>
      <xdr:colOff>95250</xdr:colOff>
      <xdr:row>51</xdr:row>
      <xdr:rowOff>95250</xdr:rowOff>
    </xdr:to>
    <xdr:sp>
      <xdr:nvSpPr>
        <xdr:cNvPr id="70" name="AutoShape 363"/>
        <xdr:cNvSpPr>
          <a:spLocks/>
        </xdr:cNvSpPr>
      </xdr:nvSpPr>
      <xdr:spPr>
        <a:xfrm rot="4636538">
          <a:off x="2152650" y="8458200"/>
          <a:ext cx="28575" cy="47625"/>
        </a:xfrm>
        <a:prstGeom prst="rt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1495425</xdr:colOff>
      <xdr:row>51</xdr:row>
      <xdr:rowOff>47625</xdr:rowOff>
    </xdr:from>
    <xdr:ext cx="257175" cy="571500"/>
    <xdr:sp>
      <xdr:nvSpPr>
        <xdr:cNvPr id="71" name="AutoShape 364"/>
        <xdr:cNvSpPr>
          <a:spLocks noChangeAspect="1"/>
        </xdr:cNvSpPr>
      </xdr:nvSpPr>
      <xdr:spPr>
        <a:xfrm>
          <a:off x="1495425" y="8458200"/>
          <a:ext cx="25717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PWM
or
Switch
</a:t>
          </a:r>
        </a:p>
      </xdr:txBody>
    </xdr:sp>
    <xdr:clientData/>
  </xdr:oneCellAnchor>
  <xdr:twoCellAnchor>
    <xdr:from>
      <xdr:col>0</xdr:col>
      <xdr:colOff>1743075</xdr:colOff>
      <xdr:row>51</xdr:row>
      <xdr:rowOff>152400</xdr:rowOff>
    </xdr:from>
    <xdr:to>
      <xdr:col>1</xdr:col>
      <xdr:colOff>247650</xdr:colOff>
      <xdr:row>53</xdr:row>
      <xdr:rowOff>133350</xdr:rowOff>
    </xdr:to>
    <xdr:sp>
      <xdr:nvSpPr>
        <xdr:cNvPr id="72" name="AutoShape 365"/>
        <xdr:cNvSpPr>
          <a:spLocks/>
        </xdr:cNvSpPr>
      </xdr:nvSpPr>
      <xdr:spPr>
        <a:xfrm flipV="1">
          <a:off x="1743075" y="8562975"/>
          <a:ext cx="314325" cy="3048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1552575</xdr:colOff>
      <xdr:row>43</xdr:row>
      <xdr:rowOff>152400</xdr:rowOff>
    </xdr:from>
    <xdr:ext cx="95250" cy="228600"/>
    <xdr:sp>
      <xdr:nvSpPr>
        <xdr:cNvPr id="73" name="AutoShape 366"/>
        <xdr:cNvSpPr>
          <a:spLocks noChangeAspect="1"/>
        </xdr:cNvSpPr>
      </xdr:nvSpPr>
      <xdr:spPr>
        <a:xfrm>
          <a:off x="1552575" y="72675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C1
</a:t>
          </a:r>
        </a:p>
      </xdr:txBody>
    </xdr:sp>
    <xdr:clientData/>
  </xdr:oneCellAnchor>
  <xdr:oneCellAnchor>
    <xdr:from>
      <xdr:col>0</xdr:col>
      <xdr:colOff>1495425</xdr:colOff>
      <xdr:row>45</xdr:row>
      <xdr:rowOff>38100</xdr:rowOff>
    </xdr:from>
    <xdr:ext cx="219075" cy="209550"/>
    <xdr:sp>
      <xdr:nvSpPr>
        <xdr:cNvPr id="74" name="AutoShape 367"/>
        <xdr:cNvSpPr>
          <a:spLocks noChangeAspect="1"/>
        </xdr:cNvSpPr>
      </xdr:nvSpPr>
      <xdr:spPr>
        <a:xfrm>
          <a:off x="1495425" y="7477125"/>
          <a:ext cx="2190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2.2uF
</a:t>
          </a:r>
        </a:p>
      </xdr:txBody>
    </xdr:sp>
    <xdr:clientData/>
  </xdr:oneCellAnchor>
  <xdr:oneCellAnchor>
    <xdr:from>
      <xdr:col>2</xdr:col>
      <xdr:colOff>514350</xdr:colOff>
      <xdr:row>40</xdr:row>
      <xdr:rowOff>123825</xdr:rowOff>
    </xdr:from>
    <xdr:ext cx="114300" cy="228600"/>
    <xdr:sp>
      <xdr:nvSpPr>
        <xdr:cNvPr id="75" name="AutoShape 368"/>
        <xdr:cNvSpPr>
          <a:spLocks noChangeAspect="1"/>
        </xdr:cNvSpPr>
      </xdr:nvSpPr>
      <xdr:spPr>
        <a:xfrm>
          <a:off x="2600325" y="67532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C2
</a:t>
          </a:r>
        </a:p>
      </xdr:txBody>
    </xdr:sp>
    <xdr:clientData/>
  </xdr:oneCellAnchor>
  <xdr:oneCellAnchor>
    <xdr:from>
      <xdr:col>3</xdr:col>
      <xdr:colOff>676275</xdr:colOff>
      <xdr:row>42</xdr:row>
      <xdr:rowOff>133350</xdr:rowOff>
    </xdr:from>
    <xdr:ext cx="66675" cy="228600"/>
    <xdr:sp>
      <xdr:nvSpPr>
        <xdr:cNvPr id="76" name="AutoShape 369"/>
        <xdr:cNvSpPr>
          <a:spLocks noChangeAspect="1"/>
        </xdr:cNvSpPr>
      </xdr:nvSpPr>
      <xdr:spPr>
        <a:xfrm>
          <a:off x="3581400" y="70866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700" b="1" i="0" u="none" baseline="0">
              <a:solidFill>
                <a:srgbClr val="0000FF"/>
              </a:solidFill>
            </a:rPr>
            <a:t>L</a:t>
          </a:r>
          <a:r>
            <a:rPr lang="en-US" cap="none" sz="7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oneCellAnchor>
  <xdr:oneCellAnchor>
    <xdr:from>
      <xdr:col>3</xdr:col>
      <xdr:colOff>428625</xdr:colOff>
      <xdr:row>44</xdr:row>
      <xdr:rowOff>142875</xdr:rowOff>
    </xdr:from>
    <xdr:ext cx="66675" cy="228600"/>
    <xdr:sp>
      <xdr:nvSpPr>
        <xdr:cNvPr id="77" name="AutoShape 371"/>
        <xdr:cNvSpPr>
          <a:spLocks noChangeAspect="1"/>
        </xdr:cNvSpPr>
      </xdr:nvSpPr>
      <xdr:spPr>
        <a:xfrm>
          <a:off x="3333750" y="74199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D
</a:t>
          </a:r>
        </a:p>
      </xdr:txBody>
    </xdr:sp>
    <xdr:clientData/>
  </xdr:oneCellAnchor>
  <xdr:oneCellAnchor>
    <xdr:from>
      <xdr:col>3</xdr:col>
      <xdr:colOff>485775</xdr:colOff>
      <xdr:row>47</xdr:row>
      <xdr:rowOff>28575</xdr:rowOff>
    </xdr:from>
    <xdr:ext cx="142875" cy="228600"/>
    <xdr:sp>
      <xdr:nvSpPr>
        <xdr:cNvPr id="78" name="AutoShape 372"/>
        <xdr:cNvSpPr>
          <a:spLocks noChangeAspect="1"/>
        </xdr:cNvSpPr>
      </xdr:nvSpPr>
      <xdr:spPr>
        <a:xfrm>
          <a:off x="3390900" y="7791450"/>
          <a:ext cx="1428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700" b="1" i="0" u="none" baseline="0">
              <a:solidFill>
                <a:srgbClr val="0000FF"/>
              </a:solidFill>
            </a:rPr>
            <a:t>R2</a:t>
          </a:r>
          <a:r>
            <a:rPr lang="en-US" cap="none" sz="7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oneCellAnchor>
  <xdr:oneCellAnchor>
    <xdr:from>
      <xdr:col>2</xdr:col>
      <xdr:colOff>781050</xdr:colOff>
      <xdr:row>40</xdr:row>
      <xdr:rowOff>133350</xdr:rowOff>
    </xdr:from>
    <xdr:ext cx="200025" cy="228600"/>
    <xdr:sp>
      <xdr:nvSpPr>
        <xdr:cNvPr id="79" name="AutoShape 374"/>
        <xdr:cNvSpPr>
          <a:spLocks noChangeAspect="1"/>
        </xdr:cNvSpPr>
      </xdr:nvSpPr>
      <xdr:spPr>
        <a:xfrm>
          <a:off x="2867025" y="6762750"/>
          <a:ext cx="2000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22nF
</a:t>
          </a:r>
        </a:p>
      </xdr:txBody>
    </xdr:sp>
    <xdr:clientData/>
  </xdr:oneCellAnchor>
  <xdr:oneCellAnchor>
    <xdr:from>
      <xdr:col>0</xdr:col>
      <xdr:colOff>1057275</xdr:colOff>
      <xdr:row>46</xdr:row>
      <xdr:rowOff>19050</xdr:rowOff>
    </xdr:from>
    <xdr:ext cx="200025" cy="485775"/>
    <xdr:sp>
      <xdr:nvSpPr>
        <xdr:cNvPr id="80" name="AutoShape 375"/>
        <xdr:cNvSpPr>
          <a:spLocks noChangeAspect="1"/>
        </xdr:cNvSpPr>
      </xdr:nvSpPr>
      <xdr:spPr>
        <a:xfrm>
          <a:off x="1057275" y="7620000"/>
          <a:ext cx="2000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700" b="1" i="0" u="none" baseline="0">
              <a:solidFill>
                <a:srgbClr val="0000FF"/>
              </a:solidFill>
            </a:rPr>
            <a:t>R1</a:t>
          </a:r>
          <a:r>
            <a:rPr lang="en-US" cap="none" sz="7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oneCellAnchor>
  <xdr:twoCellAnchor>
    <xdr:from>
      <xdr:col>3</xdr:col>
      <xdr:colOff>285750</xdr:colOff>
      <xdr:row>44</xdr:row>
      <xdr:rowOff>19050</xdr:rowOff>
    </xdr:from>
    <xdr:to>
      <xdr:col>3</xdr:col>
      <xdr:colOff>419100</xdr:colOff>
      <xdr:row>46</xdr:row>
      <xdr:rowOff>47625</xdr:rowOff>
    </xdr:to>
    <xdr:grpSp>
      <xdr:nvGrpSpPr>
        <xdr:cNvPr id="81" name="Group 376"/>
        <xdr:cNvGrpSpPr>
          <a:grpSpLocks/>
        </xdr:cNvGrpSpPr>
      </xdr:nvGrpSpPr>
      <xdr:grpSpPr>
        <a:xfrm>
          <a:off x="3190875" y="7296150"/>
          <a:ext cx="133350" cy="352425"/>
          <a:chOff x="7285" y="4835"/>
          <a:chExt cx="222" cy="580"/>
        </a:xfrm>
        <a:solidFill>
          <a:srgbClr val="FFFFFF"/>
        </a:solidFill>
      </xdr:grpSpPr>
      <xdr:sp>
        <xdr:nvSpPr>
          <xdr:cNvPr id="82" name="AutoShape 377"/>
          <xdr:cNvSpPr>
            <a:spLocks noChangeAspect="1"/>
          </xdr:cNvSpPr>
        </xdr:nvSpPr>
        <xdr:spPr>
          <a:xfrm>
            <a:off x="7285" y="5220"/>
            <a:ext cx="22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" name="AutoShape 378"/>
          <xdr:cNvSpPr>
            <a:spLocks noChangeAspect="1"/>
          </xdr:cNvSpPr>
        </xdr:nvSpPr>
        <xdr:spPr>
          <a:xfrm>
            <a:off x="7294" y="5024"/>
            <a:ext cx="213" cy="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" name="AutoShape 379"/>
          <xdr:cNvSpPr>
            <a:spLocks noChangeAspect="1"/>
          </xdr:cNvSpPr>
        </xdr:nvSpPr>
        <xdr:spPr>
          <a:xfrm flipH="1" flipV="1">
            <a:off x="7401" y="5024"/>
            <a:ext cx="106" cy="19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" name="AutoShape 380"/>
          <xdr:cNvSpPr>
            <a:spLocks noChangeAspect="1"/>
          </xdr:cNvSpPr>
        </xdr:nvSpPr>
        <xdr:spPr>
          <a:xfrm flipH="1">
            <a:off x="7285" y="5024"/>
            <a:ext cx="116" cy="187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" name="AutoShape 381"/>
          <xdr:cNvSpPr>
            <a:spLocks/>
          </xdr:cNvSpPr>
        </xdr:nvSpPr>
        <xdr:spPr>
          <a:xfrm flipV="1">
            <a:off x="7401" y="4835"/>
            <a:ext cx="0" cy="19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" name="AutoShape 382"/>
          <xdr:cNvSpPr>
            <a:spLocks/>
          </xdr:cNvSpPr>
        </xdr:nvSpPr>
        <xdr:spPr>
          <a:xfrm flipV="1">
            <a:off x="7398" y="5224"/>
            <a:ext cx="0" cy="19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" name="AutoShape 383"/>
          <xdr:cNvSpPr>
            <a:spLocks/>
          </xdr:cNvSpPr>
        </xdr:nvSpPr>
        <xdr:spPr>
          <a:xfrm flipV="1">
            <a:off x="7507" y="4974"/>
            <a:ext cx="0" cy="5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" name="AutoShape 384"/>
          <xdr:cNvSpPr>
            <a:spLocks/>
          </xdr:cNvSpPr>
        </xdr:nvSpPr>
        <xdr:spPr>
          <a:xfrm flipV="1">
            <a:off x="7285" y="5026"/>
            <a:ext cx="0" cy="5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1276350</xdr:colOff>
      <xdr:row>43</xdr:row>
      <xdr:rowOff>152400</xdr:rowOff>
    </xdr:from>
    <xdr:to>
      <xdr:col>3</xdr:col>
      <xdr:colOff>1276350</xdr:colOff>
      <xdr:row>44</xdr:row>
      <xdr:rowOff>133350</xdr:rowOff>
    </xdr:to>
    <xdr:sp>
      <xdr:nvSpPr>
        <xdr:cNvPr id="90" name="AutoShape 385"/>
        <xdr:cNvSpPr>
          <a:spLocks/>
        </xdr:cNvSpPr>
      </xdr:nvSpPr>
      <xdr:spPr>
        <a:xfrm flipV="1">
          <a:off x="4181475" y="72675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1209675</xdr:colOff>
      <xdr:row>47</xdr:row>
      <xdr:rowOff>85725</xdr:rowOff>
    </xdr:from>
    <xdr:to>
      <xdr:col>4</xdr:col>
      <xdr:colOff>28575</xdr:colOff>
      <xdr:row>49</xdr:row>
      <xdr:rowOff>123825</xdr:rowOff>
    </xdr:to>
    <xdr:grpSp>
      <xdr:nvGrpSpPr>
        <xdr:cNvPr id="91" name="Group 386"/>
        <xdr:cNvGrpSpPr>
          <a:grpSpLocks/>
        </xdr:cNvGrpSpPr>
      </xdr:nvGrpSpPr>
      <xdr:grpSpPr>
        <a:xfrm>
          <a:off x="4114800" y="7848600"/>
          <a:ext cx="257175" cy="361950"/>
          <a:chOff x="9306" y="5255"/>
          <a:chExt cx="434" cy="580"/>
        </a:xfrm>
        <a:solidFill>
          <a:srgbClr val="FFFFFF"/>
        </a:solidFill>
      </xdr:grpSpPr>
      <xdr:sp>
        <xdr:nvSpPr>
          <xdr:cNvPr id="92" name="AutoShape 387"/>
          <xdr:cNvSpPr>
            <a:spLocks noChangeAspect="1"/>
          </xdr:cNvSpPr>
        </xdr:nvSpPr>
        <xdr:spPr>
          <a:xfrm flipV="1">
            <a:off x="9306" y="5449"/>
            <a:ext cx="22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" name="AutoShape 388"/>
          <xdr:cNvSpPr>
            <a:spLocks noChangeAspect="1"/>
          </xdr:cNvSpPr>
        </xdr:nvSpPr>
        <xdr:spPr>
          <a:xfrm flipV="1">
            <a:off x="9315" y="5644"/>
            <a:ext cx="213" cy="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" name="AutoShape 389"/>
          <xdr:cNvSpPr>
            <a:spLocks noChangeAspect="1"/>
          </xdr:cNvSpPr>
        </xdr:nvSpPr>
        <xdr:spPr>
          <a:xfrm flipH="1">
            <a:off x="9422" y="5450"/>
            <a:ext cx="106" cy="19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" name="AutoShape 390"/>
          <xdr:cNvSpPr>
            <a:spLocks noChangeAspect="1"/>
          </xdr:cNvSpPr>
        </xdr:nvSpPr>
        <xdr:spPr>
          <a:xfrm flipH="1" flipV="1">
            <a:off x="9306" y="5459"/>
            <a:ext cx="116" cy="187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" name="AutoShape 391"/>
          <xdr:cNvSpPr>
            <a:spLocks/>
          </xdr:cNvSpPr>
        </xdr:nvSpPr>
        <xdr:spPr>
          <a:xfrm>
            <a:off x="9422" y="5644"/>
            <a:ext cx="0" cy="19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" name="AutoShape 392"/>
          <xdr:cNvSpPr>
            <a:spLocks/>
          </xdr:cNvSpPr>
        </xdr:nvSpPr>
        <xdr:spPr>
          <a:xfrm>
            <a:off x="9419" y="5255"/>
            <a:ext cx="0" cy="19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" name="AutoShape 393"/>
          <xdr:cNvSpPr>
            <a:spLocks/>
          </xdr:cNvSpPr>
        </xdr:nvSpPr>
        <xdr:spPr>
          <a:xfrm flipV="1">
            <a:off x="9568" y="5386"/>
            <a:ext cx="168" cy="10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" name="AutoShape 394"/>
          <xdr:cNvSpPr>
            <a:spLocks/>
          </xdr:cNvSpPr>
        </xdr:nvSpPr>
        <xdr:spPr>
          <a:xfrm flipV="1">
            <a:off x="9572" y="5511"/>
            <a:ext cx="168" cy="10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1228725</xdr:colOff>
      <xdr:row>50</xdr:row>
      <xdr:rowOff>28575</xdr:rowOff>
    </xdr:from>
    <xdr:to>
      <xdr:col>3</xdr:col>
      <xdr:colOff>1276350</xdr:colOff>
      <xdr:row>50</xdr:row>
      <xdr:rowOff>76200</xdr:rowOff>
    </xdr:to>
    <xdr:sp>
      <xdr:nvSpPr>
        <xdr:cNvPr id="100" name="AutoShape 395"/>
        <xdr:cNvSpPr>
          <a:spLocks noChangeAspect="1"/>
        </xdr:cNvSpPr>
      </xdr:nvSpPr>
      <xdr:spPr>
        <a:xfrm flipH="1" flipV="1">
          <a:off x="4133850" y="8277225"/>
          <a:ext cx="47625" cy="47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1228725</xdr:colOff>
      <xdr:row>50</xdr:row>
      <xdr:rowOff>28575</xdr:rowOff>
    </xdr:from>
    <xdr:to>
      <xdr:col>3</xdr:col>
      <xdr:colOff>1333500</xdr:colOff>
      <xdr:row>50</xdr:row>
      <xdr:rowOff>28575</xdr:rowOff>
    </xdr:to>
    <xdr:sp>
      <xdr:nvSpPr>
        <xdr:cNvPr id="101" name="AutoShape 396"/>
        <xdr:cNvSpPr>
          <a:spLocks noChangeAspect="1"/>
        </xdr:cNvSpPr>
      </xdr:nvSpPr>
      <xdr:spPr>
        <a:xfrm>
          <a:off x="4133850" y="8277225"/>
          <a:ext cx="1047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1285875</xdr:colOff>
      <xdr:row>50</xdr:row>
      <xdr:rowOff>28575</xdr:rowOff>
    </xdr:from>
    <xdr:to>
      <xdr:col>3</xdr:col>
      <xdr:colOff>1333500</xdr:colOff>
      <xdr:row>50</xdr:row>
      <xdr:rowOff>76200</xdr:rowOff>
    </xdr:to>
    <xdr:sp>
      <xdr:nvSpPr>
        <xdr:cNvPr id="102" name="AutoShape 397"/>
        <xdr:cNvSpPr>
          <a:spLocks noChangeAspect="1"/>
        </xdr:cNvSpPr>
      </xdr:nvSpPr>
      <xdr:spPr>
        <a:xfrm flipH="1">
          <a:off x="4191000" y="8277225"/>
          <a:ext cx="47625" cy="47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323850</xdr:colOff>
      <xdr:row>49</xdr:row>
      <xdr:rowOff>9525</xdr:rowOff>
    </xdr:from>
    <xdr:to>
      <xdr:col>3</xdr:col>
      <xdr:colOff>371475</xdr:colOff>
      <xdr:row>49</xdr:row>
      <xdr:rowOff>57150</xdr:rowOff>
    </xdr:to>
    <xdr:sp>
      <xdr:nvSpPr>
        <xdr:cNvPr id="103" name="AutoShape 398"/>
        <xdr:cNvSpPr>
          <a:spLocks noChangeAspect="1"/>
        </xdr:cNvSpPr>
      </xdr:nvSpPr>
      <xdr:spPr>
        <a:xfrm>
          <a:off x="3228975" y="8096250"/>
          <a:ext cx="47625" cy="476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4</xdr:col>
      <xdr:colOff>47625</xdr:colOff>
      <xdr:row>47</xdr:row>
      <xdr:rowOff>85725</xdr:rowOff>
    </xdr:from>
    <xdr:ext cx="219075" cy="228600"/>
    <xdr:sp>
      <xdr:nvSpPr>
        <xdr:cNvPr id="104" name="AutoShape 399"/>
        <xdr:cNvSpPr>
          <a:spLocks noChangeAspect="1"/>
        </xdr:cNvSpPr>
      </xdr:nvSpPr>
      <xdr:spPr>
        <a:xfrm>
          <a:off x="4391025" y="7848600"/>
          <a:ext cx="2190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LED3
</a:t>
          </a:r>
        </a:p>
      </xdr:txBody>
    </xdr:sp>
    <xdr:clientData/>
  </xdr:oneCellAnchor>
  <xdr:twoCellAnchor>
    <xdr:from>
      <xdr:col>2</xdr:col>
      <xdr:colOff>742950</xdr:colOff>
      <xdr:row>49</xdr:row>
      <xdr:rowOff>9525</xdr:rowOff>
    </xdr:from>
    <xdr:to>
      <xdr:col>2</xdr:col>
      <xdr:colOff>781050</xdr:colOff>
      <xdr:row>49</xdr:row>
      <xdr:rowOff>57150</xdr:rowOff>
    </xdr:to>
    <xdr:sp>
      <xdr:nvSpPr>
        <xdr:cNvPr id="105" name="AutoShape 400"/>
        <xdr:cNvSpPr>
          <a:spLocks noChangeAspect="1"/>
        </xdr:cNvSpPr>
      </xdr:nvSpPr>
      <xdr:spPr>
        <a:xfrm>
          <a:off x="2828925" y="8096250"/>
          <a:ext cx="38100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276225</xdr:colOff>
      <xdr:row>50</xdr:row>
      <xdr:rowOff>28575</xdr:rowOff>
    </xdr:from>
    <xdr:to>
      <xdr:col>2</xdr:col>
      <xdr:colOff>323850</xdr:colOff>
      <xdr:row>50</xdr:row>
      <xdr:rowOff>76200</xdr:rowOff>
    </xdr:to>
    <xdr:sp>
      <xdr:nvSpPr>
        <xdr:cNvPr id="106" name="AutoShape 401"/>
        <xdr:cNvSpPr>
          <a:spLocks noChangeAspect="1"/>
        </xdr:cNvSpPr>
      </xdr:nvSpPr>
      <xdr:spPr>
        <a:xfrm>
          <a:off x="2362200" y="8277225"/>
          <a:ext cx="47625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457200</xdr:colOff>
      <xdr:row>50</xdr:row>
      <xdr:rowOff>28575</xdr:rowOff>
    </xdr:from>
    <xdr:to>
      <xdr:col>2</xdr:col>
      <xdr:colOff>504825</xdr:colOff>
      <xdr:row>50</xdr:row>
      <xdr:rowOff>76200</xdr:rowOff>
    </xdr:to>
    <xdr:sp>
      <xdr:nvSpPr>
        <xdr:cNvPr id="107" name="AutoShape 402"/>
        <xdr:cNvSpPr>
          <a:spLocks noChangeAspect="1"/>
        </xdr:cNvSpPr>
      </xdr:nvSpPr>
      <xdr:spPr>
        <a:xfrm>
          <a:off x="2543175" y="8277225"/>
          <a:ext cx="47625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419100</xdr:colOff>
      <xdr:row>49</xdr:row>
      <xdr:rowOff>85725</xdr:rowOff>
    </xdr:from>
    <xdr:ext cx="123825" cy="228600"/>
    <xdr:sp>
      <xdr:nvSpPr>
        <xdr:cNvPr id="108" name="AutoShape 403"/>
        <xdr:cNvSpPr>
          <a:spLocks noChangeAspect="1"/>
        </xdr:cNvSpPr>
      </xdr:nvSpPr>
      <xdr:spPr>
        <a:xfrm>
          <a:off x="2505075" y="8172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FB
</a:t>
          </a:r>
        </a:p>
      </xdr:txBody>
    </xdr:sp>
    <xdr:clientData/>
  </xdr:oneCellAnchor>
  <xdr:oneCellAnchor>
    <xdr:from>
      <xdr:col>0</xdr:col>
      <xdr:colOff>381000</xdr:colOff>
      <xdr:row>43</xdr:row>
      <xdr:rowOff>57150</xdr:rowOff>
    </xdr:from>
    <xdr:ext cx="533400" cy="209550"/>
    <xdr:sp>
      <xdr:nvSpPr>
        <xdr:cNvPr id="109" name="AutoShape 404"/>
        <xdr:cNvSpPr>
          <a:spLocks noChangeAspect="1"/>
        </xdr:cNvSpPr>
      </xdr:nvSpPr>
      <xdr:spPr>
        <a:xfrm>
          <a:off x="381000" y="7172325"/>
          <a:ext cx="5334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Input Voltage
</a:t>
          </a:r>
        </a:p>
      </xdr:txBody>
    </xdr:sp>
    <xdr:clientData/>
  </xdr:oneCellAnchor>
  <xdr:twoCellAnchor>
    <xdr:from>
      <xdr:col>3</xdr:col>
      <xdr:colOff>1209675</xdr:colOff>
      <xdr:row>46</xdr:row>
      <xdr:rowOff>19050</xdr:rowOff>
    </xdr:from>
    <xdr:to>
      <xdr:col>4</xdr:col>
      <xdr:colOff>28575</xdr:colOff>
      <xdr:row>48</xdr:row>
      <xdr:rowOff>47625</xdr:rowOff>
    </xdr:to>
    <xdr:grpSp>
      <xdr:nvGrpSpPr>
        <xdr:cNvPr id="110" name="Group 405"/>
        <xdr:cNvGrpSpPr>
          <a:grpSpLocks/>
        </xdr:cNvGrpSpPr>
      </xdr:nvGrpSpPr>
      <xdr:grpSpPr>
        <a:xfrm>
          <a:off x="4114800" y="7620000"/>
          <a:ext cx="257175" cy="352425"/>
          <a:chOff x="9306" y="5255"/>
          <a:chExt cx="434" cy="580"/>
        </a:xfrm>
        <a:solidFill>
          <a:srgbClr val="FFFFFF"/>
        </a:solidFill>
      </xdr:grpSpPr>
      <xdr:sp>
        <xdr:nvSpPr>
          <xdr:cNvPr id="111" name="AutoShape 406"/>
          <xdr:cNvSpPr>
            <a:spLocks noChangeAspect="1"/>
          </xdr:cNvSpPr>
        </xdr:nvSpPr>
        <xdr:spPr>
          <a:xfrm flipV="1">
            <a:off x="9306" y="5449"/>
            <a:ext cx="22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" name="AutoShape 407"/>
          <xdr:cNvSpPr>
            <a:spLocks noChangeAspect="1"/>
          </xdr:cNvSpPr>
        </xdr:nvSpPr>
        <xdr:spPr>
          <a:xfrm flipV="1">
            <a:off x="9315" y="5644"/>
            <a:ext cx="213" cy="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" name="AutoShape 408"/>
          <xdr:cNvSpPr>
            <a:spLocks noChangeAspect="1"/>
          </xdr:cNvSpPr>
        </xdr:nvSpPr>
        <xdr:spPr>
          <a:xfrm flipH="1">
            <a:off x="9422" y="5450"/>
            <a:ext cx="106" cy="19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" name="AutoShape 409"/>
          <xdr:cNvSpPr>
            <a:spLocks noChangeAspect="1"/>
          </xdr:cNvSpPr>
        </xdr:nvSpPr>
        <xdr:spPr>
          <a:xfrm flipH="1" flipV="1">
            <a:off x="9306" y="5459"/>
            <a:ext cx="116" cy="187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" name="AutoShape 410"/>
          <xdr:cNvSpPr>
            <a:spLocks/>
          </xdr:cNvSpPr>
        </xdr:nvSpPr>
        <xdr:spPr>
          <a:xfrm>
            <a:off x="9422" y="5644"/>
            <a:ext cx="0" cy="19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" name="AutoShape 411"/>
          <xdr:cNvSpPr>
            <a:spLocks/>
          </xdr:cNvSpPr>
        </xdr:nvSpPr>
        <xdr:spPr>
          <a:xfrm>
            <a:off x="9419" y="5255"/>
            <a:ext cx="0" cy="19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" name="AutoShape 412"/>
          <xdr:cNvSpPr>
            <a:spLocks/>
          </xdr:cNvSpPr>
        </xdr:nvSpPr>
        <xdr:spPr>
          <a:xfrm flipV="1">
            <a:off x="9568" y="5386"/>
            <a:ext cx="168" cy="10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" name="AutoShape 413"/>
          <xdr:cNvSpPr>
            <a:spLocks/>
          </xdr:cNvSpPr>
        </xdr:nvSpPr>
        <xdr:spPr>
          <a:xfrm flipV="1">
            <a:off x="9572" y="5511"/>
            <a:ext cx="168" cy="10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4</xdr:col>
      <xdr:colOff>28575</xdr:colOff>
      <xdr:row>46</xdr:row>
      <xdr:rowOff>9525</xdr:rowOff>
    </xdr:from>
    <xdr:ext cx="219075" cy="228600"/>
    <xdr:sp>
      <xdr:nvSpPr>
        <xdr:cNvPr id="119" name="AutoShape 414"/>
        <xdr:cNvSpPr>
          <a:spLocks noChangeAspect="1"/>
        </xdr:cNvSpPr>
      </xdr:nvSpPr>
      <xdr:spPr>
        <a:xfrm>
          <a:off x="4371975" y="7610475"/>
          <a:ext cx="2190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LED2
</a:t>
          </a:r>
        </a:p>
      </xdr:txBody>
    </xdr:sp>
    <xdr:clientData/>
  </xdr:oneCellAnchor>
  <xdr:twoCellAnchor>
    <xdr:from>
      <xdr:col>3</xdr:col>
      <xdr:colOff>1209675</xdr:colOff>
      <xdr:row>44</xdr:row>
      <xdr:rowOff>95250</xdr:rowOff>
    </xdr:from>
    <xdr:to>
      <xdr:col>4</xdr:col>
      <xdr:colOff>28575</xdr:colOff>
      <xdr:row>46</xdr:row>
      <xdr:rowOff>123825</xdr:rowOff>
    </xdr:to>
    <xdr:grpSp>
      <xdr:nvGrpSpPr>
        <xdr:cNvPr id="120" name="Group 415"/>
        <xdr:cNvGrpSpPr>
          <a:grpSpLocks/>
        </xdr:cNvGrpSpPr>
      </xdr:nvGrpSpPr>
      <xdr:grpSpPr>
        <a:xfrm>
          <a:off x="4114800" y="7372350"/>
          <a:ext cx="257175" cy="352425"/>
          <a:chOff x="9306" y="5255"/>
          <a:chExt cx="434" cy="580"/>
        </a:xfrm>
        <a:solidFill>
          <a:srgbClr val="FFFFFF"/>
        </a:solidFill>
      </xdr:grpSpPr>
      <xdr:sp>
        <xdr:nvSpPr>
          <xdr:cNvPr id="121" name="AutoShape 416"/>
          <xdr:cNvSpPr>
            <a:spLocks noChangeAspect="1"/>
          </xdr:cNvSpPr>
        </xdr:nvSpPr>
        <xdr:spPr>
          <a:xfrm flipV="1">
            <a:off x="9306" y="5449"/>
            <a:ext cx="22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" name="AutoShape 417"/>
          <xdr:cNvSpPr>
            <a:spLocks noChangeAspect="1"/>
          </xdr:cNvSpPr>
        </xdr:nvSpPr>
        <xdr:spPr>
          <a:xfrm flipV="1">
            <a:off x="9315" y="5644"/>
            <a:ext cx="213" cy="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" name="AutoShape 418"/>
          <xdr:cNvSpPr>
            <a:spLocks noChangeAspect="1"/>
          </xdr:cNvSpPr>
        </xdr:nvSpPr>
        <xdr:spPr>
          <a:xfrm flipH="1">
            <a:off x="9422" y="5450"/>
            <a:ext cx="106" cy="19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" name="AutoShape 419"/>
          <xdr:cNvSpPr>
            <a:spLocks noChangeAspect="1"/>
          </xdr:cNvSpPr>
        </xdr:nvSpPr>
        <xdr:spPr>
          <a:xfrm flipH="1" flipV="1">
            <a:off x="9306" y="5459"/>
            <a:ext cx="116" cy="187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" name="AutoShape 420"/>
          <xdr:cNvSpPr>
            <a:spLocks/>
          </xdr:cNvSpPr>
        </xdr:nvSpPr>
        <xdr:spPr>
          <a:xfrm>
            <a:off x="9422" y="5644"/>
            <a:ext cx="0" cy="19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" name="AutoShape 421"/>
          <xdr:cNvSpPr>
            <a:spLocks/>
          </xdr:cNvSpPr>
        </xdr:nvSpPr>
        <xdr:spPr>
          <a:xfrm>
            <a:off x="9419" y="5255"/>
            <a:ext cx="0" cy="19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" name="AutoShape 422"/>
          <xdr:cNvSpPr>
            <a:spLocks/>
          </xdr:cNvSpPr>
        </xdr:nvSpPr>
        <xdr:spPr>
          <a:xfrm flipV="1">
            <a:off x="9568" y="5386"/>
            <a:ext cx="168" cy="10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8" name="AutoShape 423"/>
          <xdr:cNvSpPr>
            <a:spLocks/>
          </xdr:cNvSpPr>
        </xdr:nvSpPr>
        <xdr:spPr>
          <a:xfrm flipV="1">
            <a:off x="9572" y="5511"/>
            <a:ext cx="168" cy="10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4</xdr:col>
      <xdr:colOff>28575</xdr:colOff>
      <xdr:row>44</xdr:row>
      <xdr:rowOff>85725</xdr:rowOff>
    </xdr:from>
    <xdr:ext cx="200025" cy="228600"/>
    <xdr:sp>
      <xdr:nvSpPr>
        <xdr:cNvPr id="129" name="AutoShape 424"/>
        <xdr:cNvSpPr>
          <a:spLocks noChangeAspect="1"/>
        </xdr:cNvSpPr>
      </xdr:nvSpPr>
      <xdr:spPr>
        <a:xfrm>
          <a:off x="4371975" y="7362825"/>
          <a:ext cx="2000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LED1
</a:t>
          </a:r>
        </a:p>
      </xdr:txBody>
    </xdr:sp>
    <xdr:clientData/>
  </xdr:oneCellAnchor>
  <xdr:oneCellAnchor>
    <xdr:from>
      <xdr:col>2</xdr:col>
      <xdr:colOff>219075</xdr:colOff>
      <xdr:row>46</xdr:row>
      <xdr:rowOff>85725</xdr:rowOff>
    </xdr:from>
    <xdr:ext cx="314325" cy="304800"/>
    <xdr:sp>
      <xdr:nvSpPr>
        <xdr:cNvPr id="130" name="AutoShape 425"/>
        <xdr:cNvSpPr>
          <a:spLocks noChangeAspect="1"/>
        </xdr:cNvSpPr>
      </xdr:nvSpPr>
      <xdr:spPr>
        <a:xfrm>
          <a:off x="2305050" y="768667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A6210
</a:t>
          </a:r>
        </a:p>
      </xdr:txBody>
    </xdr:sp>
    <xdr:clientData/>
  </xdr:oneCellAnchor>
  <xdr:twoCellAnchor>
    <xdr:from>
      <xdr:col>1</xdr:col>
      <xdr:colOff>257175</xdr:colOff>
      <xdr:row>50</xdr:row>
      <xdr:rowOff>28575</xdr:rowOff>
    </xdr:from>
    <xdr:to>
      <xdr:col>2</xdr:col>
      <xdr:colOff>19050</xdr:colOff>
      <xdr:row>50</xdr:row>
      <xdr:rowOff>76200</xdr:rowOff>
    </xdr:to>
    <xdr:sp>
      <xdr:nvSpPr>
        <xdr:cNvPr id="131" name="AutoShape 426"/>
        <xdr:cNvSpPr>
          <a:spLocks noChangeAspect="1"/>
        </xdr:cNvSpPr>
      </xdr:nvSpPr>
      <xdr:spPr>
        <a:xfrm>
          <a:off x="2066925" y="8277225"/>
          <a:ext cx="38100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304800</xdr:colOff>
      <xdr:row>50</xdr:row>
      <xdr:rowOff>66675</xdr:rowOff>
    </xdr:from>
    <xdr:to>
      <xdr:col>2</xdr:col>
      <xdr:colOff>304800</xdr:colOff>
      <xdr:row>51</xdr:row>
      <xdr:rowOff>19050</xdr:rowOff>
    </xdr:to>
    <xdr:sp>
      <xdr:nvSpPr>
        <xdr:cNvPr id="132" name="AutoShape 427"/>
        <xdr:cNvSpPr>
          <a:spLocks/>
        </xdr:cNvSpPr>
      </xdr:nvSpPr>
      <xdr:spPr>
        <a:xfrm>
          <a:off x="2390775" y="8315325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304800</xdr:colOff>
      <xdr:row>51</xdr:row>
      <xdr:rowOff>19050</xdr:rowOff>
    </xdr:from>
    <xdr:to>
      <xdr:col>2</xdr:col>
      <xdr:colOff>485775</xdr:colOff>
      <xdr:row>51</xdr:row>
      <xdr:rowOff>19050</xdr:rowOff>
    </xdr:to>
    <xdr:sp>
      <xdr:nvSpPr>
        <xdr:cNvPr id="133" name="AutoShape 428"/>
        <xdr:cNvSpPr>
          <a:spLocks/>
        </xdr:cNvSpPr>
      </xdr:nvSpPr>
      <xdr:spPr>
        <a:xfrm>
          <a:off x="2390775" y="84296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457200</xdr:colOff>
      <xdr:row>51</xdr:row>
      <xdr:rowOff>0</xdr:rowOff>
    </xdr:from>
    <xdr:to>
      <xdr:col>2</xdr:col>
      <xdr:colOff>495300</xdr:colOff>
      <xdr:row>51</xdr:row>
      <xdr:rowOff>38100</xdr:rowOff>
    </xdr:to>
    <xdr:sp>
      <xdr:nvSpPr>
        <xdr:cNvPr id="134" name="AutoShape 429"/>
        <xdr:cNvSpPr>
          <a:spLocks noChangeAspect="1"/>
        </xdr:cNvSpPr>
      </xdr:nvSpPr>
      <xdr:spPr>
        <a:xfrm>
          <a:off x="2543175" y="8410575"/>
          <a:ext cx="38100" cy="381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1628775</xdr:colOff>
      <xdr:row>44</xdr:row>
      <xdr:rowOff>114300</xdr:rowOff>
    </xdr:from>
    <xdr:to>
      <xdr:col>1</xdr:col>
      <xdr:colOff>38100</xdr:colOff>
      <xdr:row>44</xdr:row>
      <xdr:rowOff>114300</xdr:rowOff>
    </xdr:to>
    <xdr:sp>
      <xdr:nvSpPr>
        <xdr:cNvPr id="135" name="AutoShape 430"/>
        <xdr:cNvSpPr>
          <a:spLocks noChangeAspect="1"/>
        </xdr:cNvSpPr>
      </xdr:nvSpPr>
      <xdr:spPr>
        <a:xfrm>
          <a:off x="1628775" y="7391400"/>
          <a:ext cx="219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1743075</xdr:colOff>
      <xdr:row>43</xdr:row>
      <xdr:rowOff>114300</xdr:rowOff>
    </xdr:from>
    <xdr:to>
      <xdr:col>0</xdr:col>
      <xdr:colOff>1743075</xdr:colOff>
      <xdr:row>44</xdr:row>
      <xdr:rowOff>114300</xdr:rowOff>
    </xdr:to>
    <xdr:sp>
      <xdr:nvSpPr>
        <xdr:cNvPr id="136" name="AutoShape 431"/>
        <xdr:cNvSpPr>
          <a:spLocks noChangeAspect="1"/>
        </xdr:cNvSpPr>
      </xdr:nvSpPr>
      <xdr:spPr>
        <a:xfrm>
          <a:off x="1743075" y="7229475"/>
          <a:ext cx="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771525</xdr:colOff>
      <xdr:row>46</xdr:row>
      <xdr:rowOff>47625</xdr:rowOff>
    </xdr:from>
    <xdr:to>
      <xdr:col>3</xdr:col>
      <xdr:colOff>333375</xdr:colOff>
      <xdr:row>46</xdr:row>
      <xdr:rowOff>47625</xdr:rowOff>
    </xdr:to>
    <xdr:sp>
      <xdr:nvSpPr>
        <xdr:cNvPr id="137" name="AutoShape 432"/>
        <xdr:cNvSpPr>
          <a:spLocks/>
        </xdr:cNvSpPr>
      </xdr:nvSpPr>
      <xdr:spPr>
        <a:xfrm flipH="1">
          <a:off x="2857500" y="76485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742950</xdr:colOff>
      <xdr:row>46</xdr:row>
      <xdr:rowOff>28575</xdr:rowOff>
    </xdr:from>
    <xdr:to>
      <xdr:col>2</xdr:col>
      <xdr:colOff>781050</xdr:colOff>
      <xdr:row>46</xdr:row>
      <xdr:rowOff>76200</xdr:rowOff>
    </xdr:to>
    <xdr:sp>
      <xdr:nvSpPr>
        <xdr:cNvPr id="138" name="AutoShape 433"/>
        <xdr:cNvSpPr>
          <a:spLocks noChangeAspect="1"/>
        </xdr:cNvSpPr>
      </xdr:nvSpPr>
      <xdr:spPr>
        <a:xfrm>
          <a:off x="2828925" y="7629525"/>
          <a:ext cx="38100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1285875</xdr:colOff>
      <xdr:row>49</xdr:row>
      <xdr:rowOff>123825</xdr:rowOff>
    </xdr:from>
    <xdr:to>
      <xdr:col>3</xdr:col>
      <xdr:colOff>1285875</xdr:colOff>
      <xdr:row>50</xdr:row>
      <xdr:rowOff>28575</xdr:rowOff>
    </xdr:to>
    <xdr:sp>
      <xdr:nvSpPr>
        <xdr:cNvPr id="139" name="AutoShape 434"/>
        <xdr:cNvSpPr>
          <a:spLocks/>
        </xdr:cNvSpPr>
      </xdr:nvSpPr>
      <xdr:spPr>
        <a:xfrm>
          <a:off x="4191000" y="8210550"/>
          <a:ext cx="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476250</xdr:colOff>
      <xdr:row>41</xdr:row>
      <xdr:rowOff>104775</xdr:rowOff>
    </xdr:from>
    <xdr:to>
      <xdr:col>2</xdr:col>
      <xdr:colOff>476250</xdr:colOff>
      <xdr:row>43</xdr:row>
      <xdr:rowOff>28575</xdr:rowOff>
    </xdr:to>
    <xdr:sp>
      <xdr:nvSpPr>
        <xdr:cNvPr id="140" name="AutoShape 435"/>
        <xdr:cNvSpPr>
          <a:spLocks/>
        </xdr:cNvSpPr>
      </xdr:nvSpPr>
      <xdr:spPr>
        <a:xfrm>
          <a:off x="2562225" y="68961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447675</xdr:colOff>
      <xdr:row>43</xdr:row>
      <xdr:rowOff>9525</xdr:rowOff>
    </xdr:from>
    <xdr:to>
      <xdr:col>2</xdr:col>
      <xdr:colOff>485775</xdr:colOff>
      <xdr:row>43</xdr:row>
      <xdr:rowOff>57150</xdr:rowOff>
    </xdr:to>
    <xdr:sp>
      <xdr:nvSpPr>
        <xdr:cNvPr id="141" name="AutoShape 436"/>
        <xdr:cNvSpPr>
          <a:spLocks noChangeAspect="1"/>
        </xdr:cNvSpPr>
      </xdr:nvSpPr>
      <xdr:spPr>
        <a:xfrm>
          <a:off x="2533650" y="7124700"/>
          <a:ext cx="38100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171450</xdr:colOff>
      <xdr:row>48</xdr:row>
      <xdr:rowOff>66675</xdr:rowOff>
    </xdr:from>
    <xdr:to>
      <xdr:col>1</xdr:col>
      <xdr:colOff>219075</xdr:colOff>
      <xdr:row>48</xdr:row>
      <xdr:rowOff>114300</xdr:rowOff>
    </xdr:to>
    <xdr:sp>
      <xdr:nvSpPr>
        <xdr:cNvPr id="142" name="AutoShape 437"/>
        <xdr:cNvSpPr>
          <a:spLocks noChangeAspect="1"/>
        </xdr:cNvSpPr>
      </xdr:nvSpPr>
      <xdr:spPr>
        <a:xfrm>
          <a:off x="1981200" y="7991475"/>
          <a:ext cx="47625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43</xdr:row>
      <xdr:rowOff>28575</xdr:rowOff>
    </xdr:from>
    <xdr:to>
      <xdr:col>2</xdr:col>
      <xdr:colOff>771525</xdr:colOff>
      <xdr:row>50</xdr:row>
      <xdr:rowOff>47625</xdr:rowOff>
    </xdr:to>
    <xdr:sp>
      <xdr:nvSpPr>
        <xdr:cNvPr id="143" name="AutoShape 438"/>
        <xdr:cNvSpPr>
          <a:spLocks noChangeAspect="1"/>
        </xdr:cNvSpPr>
      </xdr:nvSpPr>
      <xdr:spPr>
        <a:xfrm>
          <a:off x="2000250" y="7143750"/>
          <a:ext cx="857250" cy="115252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371475</xdr:colOff>
      <xdr:row>45</xdr:row>
      <xdr:rowOff>0</xdr:rowOff>
    </xdr:from>
    <xdr:to>
      <xdr:col>4</xdr:col>
      <xdr:colOff>371475</xdr:colOff>
      <xdr:row>49</xdr:row>
      <xdr:rowOff>76200</xdr:rowOff>
    </xdr:to>
    <xdr:sp>
      <xdr:nvSpPr>
        <xdr:cNvPr id="144" name="Line 439"/>
        <xdr:cNvSpPr>
          <a:spLocks/>
        </xdr:cNvSpPr>
      </xdr:nvSpPr>
      <xdr:spPr>
        <a:xfrm flipV="1">
          <a:off x="4714875" y="7439025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4</xdr:col>
      <xdr:colOff>409575</xdr:colOff>
      <xdr:row>46</xdr:row>
      <xdr:rowOff>76200</xdr:rowOff>
    </xdr:from>
    <xdr:ext cx="533400" cy="200025"/>
    <xdr:sp>
      <xdr:nvSpPr>
        <xdr:cNvPr id="145" name="AutoShape 440"/>
        <xdr:cNvSpPr>
          <a:spLocks noChangeAspect="1"/>
        </xdr:cNvSpPr>
      </xdr:nvSpPr>
      <xdr:spPr>
        <a:xfrm>
          <a:off x="4752975" y="7677150"/>
          <a:ext cx="5334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LED Span Voltage
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A21"/>
  <sheetViews>
    <sheetView tabSelected="1" workbookViewId="0" topLeftCell="A1">
      <selection activeCell="A21" sqref="A21"/>
    </sheetView>
  </sheetViews>
  <sheetFormatPr defaultColWidth="9.140625" defaultRowHeight="12.75"/>
  <cols>
    <col min="1" max="1" width="82.421875" style="47" customWidth="1"/>
  </cols>
  <sheetData>
    <row r="1" ht="12.75"/>
    <row r="2" ht="12.75"/>
    <row r="3" ht="12.75"/>
    <row r="4" ht="12.75"/>
    <row r="7" ht="15.75">
      <c r="A7" s="111" t="s">
        <v>91</v>
      </c>
    </row>
    <row r="8" ht="15.75">
      <c r="A8" s="111" t="s">
        <v>92</v>
      </c>
    </row>
    <row r="10" ht="12.75">
      <c r="A10" s="71" t="s">
        <v>64</v>
      </c>
    </row>
    <row r="11" ht="38.25">
      <c r="A11" s="47" t="s">
        <v>78</v>
      </c>
    </row>
    <row r="13" ht="12.75">
      <c r="A13" s="71" t="s">
        <v>63</v>
      </c>
    </row>
    <row r="14" ht="12.75">
      <c r="A14" s="47" t="s">
        <v>79</v>
      </c>
    </row>
    <row r="16" ht="12.75">
      <c r="A16" s="71" t="s">
        <v>65</v>
      </c>
    </row>
    <row r="17" ht="38.25">
      <c r="A17" s="47" t="s">
        <v>93</v>
      </c>
    </row>
    <row r="21" ht="12.75">
      <c r="A21" s="112" t="s">
        <v>102</v>
      </c>
    </row>
  </sheetData>
  <printOptions/>
  <pageMargins left="0.75" right="0.75" top="1" bottom="1" header="0.5" footer="0.5"/>
  <pageSetup horizontalDpi="600" verticalDpi="600" orientation="portrait" r:id="rId2"/>
  <headerFooter alignWithMargins="0">
    <oddFooter>&amp;L&amp;F&amp;C&amp;D&amp;R&amp;A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V49"/>
  <sheetViews>
    <sheetView workbookViewId="0" topLeftCell="A1">
      <selection activeCell="D20" sqref="D20"/>
    </sheetView>
  </sheetViews>
  <sheetFormatPr defaultColWidth="9.140625" defaultRowHeight="12.75"/>
  <cols>
    <col min="1" max="1" width="27.140625" style="0" customWidth="1"/>
    <col min="2" max="2" width="4.140625" style="0" customWidth="1"/>
    <col min="3" max="3" width="12.28125" style="0" customWidth="1"/>
    <col min="4" max="4" width="21.57421875" style="0" customWidth="1"/>
    <col min="5" max="5" width="14.140625" style="0" customWidth="1"/>
    <col min="6" max="6" width="26.421875" style="0" customWidth="1"/>
    <col min="7" max="7" width="14.00390625" style="0" bestFit="1" customWidth="1"/>
  </cols>
  <sheetData>
    <row r="1" spans="1:4" ht="15.75">
      <c r="A1" s="135" t="s">
        <v>62</v>
      </c>
      <c r="B1" s="135"/>
      <c r="C1" s="135"/>
      <c r="D1" s="135"/>
    </row>
    <row r="2" spans="1:4" ht="15.75">
      <c r="A2" s="9"/>
      <c r="B2" s="9"/>
      <c r="C2" s="9"/>
      <c r="D2" s="9"/>
    </row>
    <row r="3" spans="1:4" ht="15.75">
      <c r="A3" s="24" t="s">
        <v>20</v>
      </c>
      <c r="B3" s="9"/>
      <c r="C3" s="9"/>
      <c r="D3" s="9"/>
    </row>
    <row r="4" spans="1:4" ht="12.75" customHeight="1">
      <c r="A4" s="16" t="s">
        <v>26</v>
      </c>
      <c r="B4" s="9"/>
      <c r="C4" s="9"/>
      <c r="D4" s="28"/>
    </row>
    <row r="5" spans="1:5" ht="12.75" customHeight="1">
      <c r="A5" s="136" t="s">
        <v>27</v>
      </c>
      <c r="B5" s="136"/>
      <c r="C5" s="136"/>
      <c r="D5" s="136"/>
      <c r="E5" s="136"/>
    </row>
    <row r="6" spans="1:4" ht="12.75" customHeight="1">
      <c r="A6" s="16" t="s">
        <v>86</v>
      </c>
      <c r="B6" s="9"/>
      <c r="C6" s="9"/>
      <c r="D6" s="9"/>
    </row>
    <row r="7" spans="1:4" ht="15.75">
      <c r="A7" s="1"/>
      <c r="B7" s="1"/>
      <c r="C7" s="1"/>
      <c r="D7" s="1"/>
    </row>
    <row r="8" spans="1:5" s="3" customFormat="1" ht="12.75">
      <c r="A8" s="3" t="s">
        <v>0</v>
      </c>
      <c r="D8" s="8" t="s">
        <v>2</v>
      </c>
      <c r="E8" s="3" t="s">
        <v>1</v>
      </c>
    </row>
    <row r="9" spans="1:5" ht="12.75">
      <c r="A9" t="s">
        <v>80</v>
      </c>
      <c r="D9" s="6">
        <v>24</v>
      </c>
      <c r="E9" t="s">
        <v>3</v>
      </c>
    </row>
    <row r="10" spans="1:5" ht="12.75">
      <c r="A10" t="s">
        <v>25</v>
      </c>
      <c r="D10" s="6">
        <v>10.5</v>
      </c>
      <c r="E10" t="s">
        <v>3</v>
      </c>
    </row>
    <row r="11" spans="1:5" ht="12.75">
      <c r="A11" s="134" t="s">
        <v>24</v>
      </c>
      <c r="B11" s="134"/>
      <c r="C11" s="2"/>
      <c r="D11" s="6">
        <v>500</v>
      </c>
      <c r="E11" t="s">
        <v>4</v>
      </c>
    </row>
    <row r="12" spans="1:5" ht="12.75">
      <c r="A12" s="134" t="s">
        <v>100</v>
      </c>
      <c r="B12" s="134"/>
      <c r="C12" s="2"/>
      <c r="D12" s="6">
        <v>60</v>
      </c>
      <c r="E12" t="s">
        <v>99</v>
      </c>
    </row>
    <row r="13" spans="1:4" ht="12.75">
      <c r="A13" s="2"/>
      <c r="B13" s="2"/>
      <c r="C13" s="2"/>
      <c r="D13" s="10"/>
    </row>
    <row r="14" spans="1:5" ht="12.75">
      <c r="A14" t="s">
        <v>7</v>
      </c>
      <c r="B14" s="2"/>
      <c r="C14" s="2"/>
      <c r="D14" s="6">
        <v>350</v>
      </c>
      <c r="E14" t="s">
        <v>5</v>
      </c>
    </row>
    <row r="15" spans="1:5" ht="12.75">
      <c r="A15" t="s">
        <v>74</v>
      </c>
      <c r="B15" s="2"/>
      <c r="C15" s="2"/>
      <c r="D15" s="6">
        <v>183</v>
      </c>
      <c r="E15" t="s">
        <v>5</v>
      </c>
    </row>
    <row r="16" spans="1:9" ht="12.75">
      <c r="A16" s="2" t="s">
        <v>9</v>
      </c>
      <c r="B16" s="2"/>
      <c r="C16" s="2"/>
      <c r="D16" s="11">
        <f>(1-((D10+(D15+D14)/1000)/(D9+(D15+D14)/1000)))/(0.00000035*1000000)</f>
        <v>1.5722263307148976</v>
      </c>
      <c r="E16" t="s">
        <v>8</v>
      </c>
      <c r="F16" s="118"/>
      <c r="G16" s="10"/>
      <c r="H16" s="10"/>
      <c r="I16" s="10"/>
    </row>
    <row r="17" spans="1:5" ht="12.75">
      <c r="A17" t="s">
        <v>6</v>
      </c>
      <c r="B17" s="2"/>
      <c r="C17" s="2"/>
      <c r="D17" s="15">
        <v>1.4</v>
      </c>
      <c r="E17" t="s">
        <v>8</v>
      </c>
    </row>
    <row r="18" spans="1:4" ht="12.75">
      <c r="A18" s="13">
        <f>IF(D17&gt;D16,"Frequency higher than maximum. Select a new value.","")</f>
      </c>
      <c r="B18" s="2"/>
      <c r="C18" s="2"/>
      <c r="D18" s="14"/>
    </row>
    <row r="19" spans="1:204" ht="12.75">
      <c r="A19" t="s">
        <v>81</v>
      </c>
      <c r="D19" s="18">
        <f>D11-(D12/2)</f>
        <v>470</v>
      </c>
      <c r="E19" t="s">
        <v>4</v>
      </c>
      <c r="F19" s="128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</row>
    <row r="20" spans="4:204" ht="12.75">
      <c r="D20" s="18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</row>
    <row r="21" spans="1:204" ht="12.75">
      <c r="A21" t="s">
        <v>82</v>
      </c>
      <c r="D21" s="12">
        <f>183*1000/D19</f>
        <v>389.36170212765956</v>
      </c>
      <c r="E21" t="s">
        <v>12</v>
      </c>
      <c r="F21" s="127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</row>
    <row r="22" spans="1:204" ht="12.75">
      <c r="A22" t="s">
        <v>83</v>
      </c>
      <c r="D22" s="113">
        <f>D21*D12/1000</f>
        <v>23.361702127659573</v>
      </c>
      <c r="E22" t="s">
        <v>98</v>
      </c>
      <c r="F22" s="13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</row>
    <row r="23" spans="1:204" ht="12.75">
      <c r="A23" s="19" t="s">
        <v>14</v>
      </c>
      <c r="D23" s="25">
        <v>390</v>
      </c>
      <c r="E23" t="s">
        <v>12</v>
      </c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</row>
    <row r="24" spans="1:204" ht="12.75">
      <c r="A24" s="20" t="s">
        <v>13</v>
      </c>
      <c r="D24" s="17">
        <f>D15*1000/D23</f>
        <v>469.2307692307692</v>
      </c>
      <c r="E24" t="s">
        <v>4</v>
      </c>
      <c r="F24" s="118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  <c r="GN24" s="10"/>
      <c r="GO24" s="10"/>
      <c r="GP24" s="10"/>
      <c r="GQ24" s="10"/>
      <c r="GR24" s="10"/>
      <c r="GS24" s="10"/>
      <c r="GT24" s="10"/>
      <c r="GU24" s="10"/>
      <c r="GV24" s="10"/>
    </row>
    <row r="25" spans="4:204" ht="12.75">
      <c r="D25" s="4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  <c r="GI25" s="10"/>
      <c r="GJ25" s="10"/>
      <c r="GK25" s="10"/>
      <c r="GL25" s="10"/>
      <c r="GM25" s="10"/>
      <c r="GN25" s="10"/>
      <c r="GO25" s="10"/>
      <c r="GP25" s="10"/>
      <c r="GQ25" s="10"/>
      <c r="GR25" s="10"/>
      <c r="GS25" s="10"/>
      <c r="GT25" s="10"/>
      <c r="GU25" s="10"/>
      <c r="GV25" s="10"/>
    </row>
    <row r="26" spans="1:204" ht="12.75">
      <c r="A26" t="s">
        <v>84</v>
      </c>
      <c r="D26" s="12">
        <f>(D10*20510000000)/(D17*1000000000)</f>
        <v>153.825</v>
      </c>
      <c r="E26" t="s">
        <v>11</v>
      </c>
      <c r="F26" s="118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  <c r="GK26" s="10"/>
      <c r="GL26" s="10"/>
      <c r="GM26" s="10"/>
      <c r="GN26" s="10"/>
      <c r="GO26" s="10"/>
      <c r="GP26" s="10"/>
      <c r="GQ26" s="10"/>
      <c r="GR26" s="10"/>
      <c r="GS26" s="10"/>
      <c r="GT26" s="10"/>
      <c r="GU26" s="10"/>
      <c r="GV26" s="10"/>
    </row>
    <row r="27" spans="1:204" ht="12.75">
      <c r="A27" s="19" t="s">
        <v>15</v>
      </c>
      <c r="D27" s="26">
        <v>150</v>
      </c>
      <c r="E27" t="s">
        <v>11</v>
      </c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F27" s="10"/>
      <c r="GG27" s="10"/>
      <c r="GH27" s="10"/>
      <c r="GI27" s="10"/>
      <c r="GJ27" s="10"/>
      <c r="GK27" s="10"/>
      <c r="GL27" s="10"/>
      <c r="GM27" s="10"/>
      <c r="GN27" s="10"/>
      <c r="GO27" s="10"/>
      <c r="GP27" s="10"/>
      <c r="GQ27" s="10"/>
      <c r="GR27" s="10"/>
      <c r="GS27" s="10"/>
      <c r="GT27" s="10"/>
      <c r="GU27" s="10"/>
      <c r="GV27" s="10"/>
    </row>
    <row r="28" spans="4:204" ht="12.75">
      <c r="D28" s="5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</row>
    <row r="29" spans="1:204" ht="12.75">
      <c r="A29" t="s">
        <v>85</v>
      </c>
      <c r="D29" s="12">
        <f>((D9-D10)*((D10+(D15+D14)/1000)/(D9+(D15+D14)/1000))*1000000)/((D12/1000)*D17*1000000)</f>
        <v>72.27655461157275</v>
      </c>
      <c r="E29" t="s">
        <v>10</v>
      </c>
      <c r="F29" s="118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</row>
    <row r="30" spans="1:204" ht="12.75">
      <c r="A30" s="19" t="s">
        <v>16</v>
      </c>
      <c r="D30" s="27">
        <v>68</v>
      </c>
      <c r="E30" t="s">
        <v>10</v>
      </c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  <c r="EV30" s="10"/>
      <c r="EW30" s="10"/>
      <c r="EX30" s="10"/>
      <c r="EY30" s="10"/>
      <c r="EZ30" s="10"/>
      <c r="FA30" s="10"/>
      <c r="FB30" s="10"/>
      <c r="FC30" s="10"/>
      <c r="FD30" s="10"/>
      <c r="FE30" s="10"/>
      <c r="FF30" s="10"/>
      <c r="FG30" s="10"/>
      <c r="FH30" s="10"/>
      <c r="FI30" s="10"/>
      <c r="FJ30" s="10"/>
      <c r="FK30" s="10"/>
      <c r="FL30" s="10"/>
      <c r="FM30" s="10"/>
      <c r="FN30" s="10"/>
      <c r="FO30" s="10"/>
      <c r="FP30" s="10"/>
      <c r="FQ30" s="10"/>
      <c r="FR30" s="10"/>
      <c r="FS30" s="10"/>
      <c r="FT30" s="10"/>
      <c r="FU30" s="10"/>
      <c r="FV30" s="10"/>
      <c r="FW30" s="10"/>
      <c r="FX30" s="10"/>
      <c r="FY30" s="10"/>
      <c r="FZ30" s="10"/>
      <c r="GA30" s="10"/>
      <c r="GB30" s="10"/>
      <c r="GC30" s="10"/>
      <c r="GD30" s="10"/>
      <c r="GE30" s="10"/>
      <c r="GF30" s="10"/>
      <c r="GG30" s="10"/>
      <c r="GH30" s="10"/>
      <c r="GI30" s="10"/>
      <c r="GJ30" s="10"/>
      <c r="GK30" s="10"/>
      <c r="GL30" s="10"/>
      <c r="GM30" s="10"/>
      <c r="GN30" s="10"/>
      <c r="GO30" s="10"/>
      <c r="GP30" s="10"/>
      <c r="GQ30" s="10"/>
      <c r="GR30" s="10"/>
      <c r="GS30" s="10"/>
      <c r="GT30" s="10"/>
      <c r="GU30" s="10"/>
      <c r="GV30" s="10"/>
    </row>
    <row r="31" spans="1:204" ht="12.75">
      <c r="A31" s="19" t="s">
        <v>90</v>
      </c>
      <c r="D31" s="26">
        <f>(D36+(D37/2))*1.2</f>
        <v>637.7020977698022</v>
      </c>
      <c r="E31" t="s">
        <v>4</v>
      </c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0"/>
      <c r="EM31" s="10"/>
      <c r="EN31" s="10"/>
      <c r="EO31" s="10"/>
      <c r="EP31" s="10"/>
      <c r="EQ31" s="10"/>
      <c r="ER31" s="10"/>
      <c r="ES31" s="10"/>
      <c r="ET31" s="10"/>
      <c r="EU31" s="10"/>
      <c r="EV31" s="10"/>
      <c r="EW31" s="10"/>
      <c r="EX31" s="10"/>
      <c r="EY31" s="10"/>
      <c r="EZ31" s="10"/>
      <c r="FA31" s="10"/>
      <c r="FB31" s="10"/>
      <c r="FC31" s="10"/>
      <c r="FD31" s="10"/>
      <c r="FE31" s="10"/>
      <c r="FF31" s="10"/>
      <c r="FG31" s="10"/>
      <c r="FH31" s="10"/>
      <c r="FI31" s="10"/>
      <c r="FJ31" s="10"/>
      <c r="FK31" s="10"/>
      <c r="FL31" s="10"/>
      <c r="FM31" s="10"/>
      <c r="FN31" s="10"/>
      <c r="FO31" s="10"/>
      <c r="FP31" s="10"/>
      <c r="FQ31" s="10"/>
      <c r="FR31" s="10"/>
      <c r="FS31" s="10"/>
      <c r="FT31" s="10"/>
      <c r="FU31" s="10"/>
      <c r="FV31" s="10"/>
      <c r="FW31" s="10"/>
      <c r="FX31" s="10"/>
      <c r="FY31" s="10"/>
      <c r="FZ31" s="10"/>
      <c r="GA31" s="10"/>
      <c r="GB31" s="10"/>
      <c r="GC31" s="10"/>
      <c r="GD31" s="10"/>
      <c r="GE31" s="10"/>
      <c r="GF31" s="10"/>
      <c r="GG31" s="10"/>
      <c r="GH31" s="10"/>
      <c r="GI31" s="10"/>
      <c r="GJ31" s="10"/>
      <c r="GK31" s="10"/>
      <c r="GL31" s="10"/>
      <c r="GM31" s="10"/>
      <c r="GN31" s="10"/>
      <c r="GO31" s="10"/>
      <c r="GP31" s="10"/>
      <c r="GQ31" s="10"/>
      <c r="GR31" s="10"/>
      <c r="GS31" s="10"/>
      <c r="GT31" s="10"/>
      <c r="GU31" s="10"/>
      <c r="GV31" s="10"/>
    </row>
    <row r="32" spans="1:204" ht="12.75">
      <c r="A32" s="20" t="s">
        <v>19</v>
      </c>
      <c r="D32" s="23">
        <f>D37*D23*0.001</f>
        <v>24.253181775185737</v>
      </c>
      <c r="E32" t="s">
        <v>98</v>
      </c>
      <c r="F32" s="13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0"/>
      <c r="EF32" s="10"/>
      <c r="EG32" s="10"/>
      <c r="EH32" s="10"/>
      <c r="EI32" s="10"/>
      <c r="EJ32" s="10"/>
      <c r="EK32" s="10"/>
      <c r="EL32" s="10"/>
      <c r="EM32" s="10"/>
      <c r="EN32" s="10"/>
      <c r="EO32" s="10"/>
      <c r="EP32" s="10"/>
      <c r="EQ32" s="10"/>
      <c r="ER32" s="10"/>
      <c r="ES32" s="10"/>
      <c r="ET32" s="10"/>
      <c r="EU32" s="10"/>
      <c r="EV32" s="10"/>
      <c r="EW32" s="10"/>
      <c r="EX32" s="10"/>
      <c r="EY32" s="10"/>
      <c r="EZ32" s="10"/>
      <c r="FA32" s="10"/>
      <c r="FB32" s="10"/>
      <c r="FC32" s="10"/>
      <c r="FD32" s="10"/>
      <c r="FE32" s="10"/>
      <c r="FF32" s="10"/>
      <c r="FG32" s="10"/>
      <c r="FH32" s="10"/>
      <c r="FI32" s="10"/>
      <c r="FJ32" s="10"/>
      <c r="FK32" s="10"/>
      <c r="FL32" s="10"/>
      <c r="FM32" s="10"/>
      <c r="FN32" s="10"/>
      <c r="FO32" s="10"/>
      <c r="FP32" s="10"/>
      <c r="FQ32" s="10"/>
      <c r="FR32" s="10"/>
      <c r="FS32" s="10"/>
      <c r="FT32" s="10"/>
      <c r="FU32" s="10"/>
      <c r="FV32" s="10"/>
      <c r="FW32" s="10"/>
      <c r="FX32" s="10"/>
      <c r="FY32" s="10"/>
      <c r="FZ32" s="10"/>
      <c r="GA32" s="10"/>
      <c r="GB32" s="10"/>
      <c r="GC32" s="10"/>
      <c r="GD32" s="10"/>
      <c r="GE32" s="10"/>
      <c r="GF32" s="10"/>
      <c r="GG32" s="10"/>
      <c r="GH32" s="10"/>
      <c r="GI32" s="10"/>
      <c r="GJ32" s="10"/>
      <c r="GK32" s="10"/>
      <c r="GL32" s="10"/>
      <c r="GM32" s="10"/>
      <c r="GN32" s="10"/>
      <c r="GO32" s="10"/>
      <c r="GP32" s="10"/>
      <c r="GQ32" s="10"/>
      <c r="GR32" s="10"/>
      <c r="GS32" s="10"/>
      <c r="GT32" s="10"/>
      <c r="GU32" s="10"/>
      <c r="GV32" s="10"/>
    </row>
    <row r="33" spans="1:204" ht="12.75">
      <c r="A33" s="14">
        <f>IF(D32&lt;20,"Ripple voltage too low. Select an inductor that produces a voltage greater than 20mV","")</f>
      </c>
      <c r="D33" s="12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10"/>
      <c r="EN33" s="10"/>
      <c r="EO33" s="10"/>
      <c r="EP33" s="10"/>
      <c r="EQ33" s="10"/>
      <c r="ER33" s="10"/>
      <c r="ES33" s="10"/>
      <c r="ET33" s="10"/>
      <c r="EU33" s="10"/>
      <c r="EV33" s="10"/>
      <c r="EW33" s="10"/>
      <c r="EX33" s="10"/>
      <c r="EY33" s="10"/>
      <c r="EZ33" s="10"/>
      <c r="FA33" s="10"/>
      <c r="FB33" s="10"/>
      <c r="FC33" s="10"/>
      <c r="FD33" s="10"/>
      <c r="FE33" s="10"/>
      <c r="FF33" s="10"/>
      <c r="FG33" s="10"/>
      <c r="FH33" s="10"/>
      <c r="FI33" s="10"/>
      <c r="FJ33" s="10"/>
      <c r="FK33" s="10"/>
      <c r="FL33" s="10"/>
      <c r="FM33" s="10"/>
      <c r="FN33" s="10"/>
      <c r="FO33" s="10"/>
      <c r="FP33" s="10"/>
      <c r="FQ33" s="10"/>
      <c r="FR33" s="10"/>
      <c r="FS33" s="10"/>
      <c r="FT33" s="10"/>
      <c r="FU33" s="10"/>
      <c r="FV33" s="10"/>
      <c r="FW33" s="10"/>
      <c r="FX33" s="10"/>
      <c r="FY33" s="10"/>
      <c r="FZ33" s="10"/>
      <c r="GA33" s="10"/>
      <c r="GB33" s="10"/>
      <c r="GC33" s="10"/>
      <c r="GD33" s="10"/>
      <c r="GE33" s="10"/>
      <c r="GF33" s="10"/>
      <c r="GG33" s="10"/>
      <c r="GH33" s="10"/>
      <c r="GI33" s="10"/>
      <c r="GJ33" s="10"/>
      <c r="GK33" s="10"/>
      <c r="GL33" s="10"/>
      <c r="GM33" s="10"/>
      <c r="GN33" s="10"/>
      <c r="GO33" s="10"/>
      <c r="GP33" s="10"/>
      <c r="GQ33" s="10"/>
      <c r="GR33" s="10"/>
      <c r="GS33" s="10"/>
      <c r="GT33" s="10"/>
      <c r="GU33" s="10"/>
      <c r="GV33" s="10"/>
    </row>
    <row r="34" spans="4:204" ht="12.75">
      <c r="D34" s="12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J34" s="10"/>
      <c r="EK34" s="10"/>
      <c r="EL34" s="10"/>
      <c r="EM34" s="10"/>
      <c r="EN34" s="10"/>
      <c r="EO34" s="10"/>
      <c r="EP34" s="10"/>
      <c r="EQ34" s="10"/>
      <c r="ER34" s="10"/>
      <c r="ES34" s="10"/>
      <c r="ET34" s="10"/>
      <c r="EU34" s="10"/>
      <c r="EV34" s="10"/>
      <c r="EW34" s="10"/>
      <c r="EX34" s="10"/>
      <c r="EY34" s="10"/>
      <c r="EZ34" s="10"/>
      <c r="FA34" s="10"/>
      <c r="FB34" s="10"/>
      <c r="FC34" s="10"/>
      <c r="FD34" s="10"/>
      <c r="FE34" s="10"/>
      <c r="FF34" s="10"/>
      <c r="FG34" s="10"/>
      <c r="FH34" s="10"/>
      <c r="FI34" s="10"/>
      <c r="FJ34" s="10"/>
      <c r="FK34" s="10"/>
      <c r="FL34" s="10"/>
      <c r="FM34" s="10"/>
      <c r="FN34" s="10"/>
      <c r="FO34" s="10"/>
      <c r="FP34" s="10"/>
      <c r="FQ34" s="10"/>
      <c r="FR34" s="10"/>
      <c r="FS34" s="10"/>
      <c r="FT34" s="10"/>
      <c r="FU34" s="10"/>
      <c r="FV34" s="10"/>
      <c r="FW34" s="10"/>
      <c r="FX34" s="10"/>
      <c r="FY34" s="10"/>
      <c r="FZ34" s="10"/>
      <c r="GA34" s="10"/>
      <c r="GB34" s="10"/>
      <c r="GC34" s="10"/>
      <c r="GD34" s="10"/>
      <c r="GE34" s="10"/>
      <c r="GF34" s="10"/>
      <c r="GG34" s="10"/>
      <c r="GH34" s="10"/>
      <c r="GI34" s="10"/>
      <c r="GJ34" s="10"/>
      <c r="GK34" s="10"/>
      <c r="GL34" s="10"/>
      <c r="GM34" s="10"/>
      <c r="GN34" s="10"/>
      <c r="GO34" s="10"/>
      <c r="GP34" s="10"/>
      <c r="GQ34" s="10"/>
      <c r="GR34" s="10"/>
      <c r="GS34" s="10"/>
      <c r="GT34" s="10"/>
      <c r="GU34" s="10"/>
      <c r="GV34" s="10"/>
    </row>
    <row r="35" spans="1:204" ht="12.75">
      <c r="A35" s="3" t="s">
        <v>18</v>
      </c>
      <c r="D35" s="12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0"/>
      <c r="ED35" s="10"/>
      <c r="EE35" s="10"/>
      <c r="EF35" s="10"/>
      <c r="EG35" s="10"/>
      <c r="EH35" s="10"/>
      <c r="EI35" s="10"/>
      <c r="EJ35" s="10"/>
      <c r="EK35" s="10"/>
      <c r="EL35" s="10"/>
      <c r="EM35" s="10"/>
      <c r="EN35" s="10"/>
      <c r="EO35" s="10"/>
      <c r="EP35" s="10"/>
      <c r="EQ35" s="10"/>
      <c r="ER35" s="10"/>
      <c r="ES35" s="10"/>
      <c r="ET35" s="10"/>
      <c r="EU35" s="10"/>
      <c r="EV35" s="10"/>
      <c r="EW35" s="10"/>
      <c r="EX35" s="10"/>
      <c r="EY35" s="10"/>
      <c r="EZ35" s="10"/>
      <c r="FA35" s="10"/>
      <c r="FB35" s="10"/>
      <c r="FC35" s="10"/>
      <c r="FD35" s="10"/>
      <c r="FE35" s="10"/>
      <c r="FF35" s="10"/>
      <c r="FG35" s="10"/>
      <c r="FH35" s="10"/>
      <c r="FI35" s="10"/>
      <c r="FJ35" s="10"/>
      <c r="FK35" s="10"/>
      <c r="FL35" s="10"/>
      <c r="FM35" s="10"/>
      <c r="FN35" s="10"/>
      <c r="FO35" s="10"/>
      <c r="FP35" s="10"/>
      <c r="FQ35" s="10"/>
      <c r="FR35" s="10"/>
      <c r="FS35" s="10"/>
      <c r="FT35" s="10"/>
      <c r="FU35" s="10"/>
      <c r="FV35" s="10"/>
      <c r="FW35" s="10"/>
      <c r="FX35" s="10"/>
      <c r="FY35" s="10"/>
      <c r="FZ35" s="10"/>
      <c r="GA35" s="10"/>
      <c r="GB35" s="10"/>
      <c r="GC35" s="10"/>
      <c r="GD35" s="10"/>
      <c r="GE35" s="10"/>
      <c r="GF35" s="10"/>
      <c r="GG35" s="10"/>
      <c r="GH35" s="10"/>
      <c r="GI35" s="10"/>
      <c r="GJ35" s="10"/>
      <c r="GK35" s="10"/>
      <c r="GL35" s="10"/>
      <c r="GM35" s="10"/>
      <c r="GN35" s="10"/>
      <c r="GO35" s="10"/>
      <c r="GP35" s="10"/>
      <c r="GQ35" s="10"/>
      <c r="GR35" s="10"/>
      <c r="GS35" s="10"/>
      <c r="GT35" s="10"/>
      <c r="GU35" s="10"/>
      <c r="GV35" s="10"/>
    </row>
    <row r="36" spans="1:204" ht="12.75">
      <c r="A36" t="str">
        <f>"Average LED current at "&amp;TEXT(D9,"###")&amp;"V"</f>
        <v>Average LED current at 24V</v>
      </c>
      <c r="D36" s="120">
        <f>D24+D37/2</f>
        <v>500.32459201946887</v>
      </c>
      <c r="E36" t="s">
        <v>4</v>
      </c>
      <c r="F36" s="118"/>
      <c r="G36" s="129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  <c r="EN36" s="10"/>
      <c r="EO36" s="10"/>
      <c r="EP36" s="10"/>
      <c r="EQ36" s="10"/>
      <c r="ER36" s="10"/>
      <c r="ES36" s="10"/>
      <c r="ET36" s="10"/>
      <c r="EU36" s="10"/>
      <c r="EV36" s="10"/>
      <c r="EW36" s="10"/>
      <c r="EX36" s="10"/>
      <c r="EY36" s="10"/>
      <c r="EZ36" s="10"/>
      <c r="FA36" s="10"/>
      <c r="FB36" s="10"/>
      <c r="FC36" s="10"/>
      <c r="FD36" s="10"/>
      <c r="FE36" s="10"/>
      <c r="FF36" s="10"/>
      <c r="FG36" s="10"/>
      <c r="FH36" s="10"/>
      <c r="FI36" s="10"/>
      <c r="FJ36" s="10"/>
      <c r="FK36" s="10"/>
      <c r="FL36" s="10"/>
      <c r="FM36" s="10"/>
      <c r="FN36" s="10"/>
      <c r="FO36" s="10"/>
      <c r="FP36" s="10"/>
      <c r="FQ36" s="10"/>
      <c r="FR36" s="10"/>
      <c r="FS36" s="10"/>
      <c r="FT36" s="10"/>
      <c r="FU36" s="10"/>
      <c r="FV36" s="10"/>
      <c r="FW36" s="10"/>
      <c r="FX36" s="10"/>
      <c r="FY36" s="10"/>
      <c r="FZ36" s="10"/>
      <c r="GA36" s="10"/>
      <c r="GB36" s="10"/>
      <c r="GC36" s="10"/>
      <c r="GD36" s="10"/>
      <c r="GE36" s="10"/>
      <c r="GF36" s="10"/>
      <c r="GG36" s="10"/>
      <c r="GH36" s="10"/>
      <c r="GI36" s="10"/>
      <c r="GJ36" s="10"/>
      <c r="GK36" s="10"/>
      <c r="GL36" s="10"/>
      <c r="GM36" s="10"/>
      <c r="GN36" s="10"/>
      <c r="GO36" s="10"/>
      <c r="GP36" s="10"/>
      <c r="GQ36" s="10"/>
      <c r="GR36" s="10"/>
      <c r="GS36" s="10"/>
      <c r="GT36" s="10"/>
      <c r="GU36" s="10"/>
      <c r="GV36" s="10"/>
    </row>
    <row r="37" spans="1:204" ht="12.75">
      <c r="A37" t="s">
        <v>23</v>
      </c>
      <c r="D37" s="120">
        <f>1000*((D9-D10)*((D10+(D15+D14)/1000)/(D9+(D15+D14)/1000)))/((D30*0.000001)*D39*1000000)</f>
        <v>62.18764557739933</v>
      </c>
      <c r="E37" t="s">
        <v>99</v>
      </c>
      <c r="F37" s="13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0"/>
      <c r="DY37" s="10"/>
      <c r="DZ37" s="10"/>
      <c r="EA37" s="10"/>
      <c r="EB37" s="10"/>
      <c r="EC37" s="10"/>
      <c r="ED37" s="10"/>
      <c r="EE37" s="10"/>
      <c r="EF37" s="10"/>
      <c r="EG37" s="10"/>
      <c r="EH37" s="10"/>
      <c r="EI37" s="10"/>
      <c r="EJ37" s="10"/>
      <c r="EK37" s="10"/>
      <c r="EL37" s="10"/>
      <c r="EM37" s="10"/>
      <c r="EN37" s="10"/>
      <c r="EO37" s="10"/>
      <c r="EP37" s="10"/>
      <c r="EQ37" s="10"/>
      <c r="ER37" s="10"/>
      <c r="ES37" s="10"/>
      <c r="ET37" s="10"/>
      <c r="EU37" s="10"/>
      <c r="EV37" s="10"/>
      <c r="EW37" s="10"/>
      <c r="EX37" s="10"/>
      <c r="EY37" s="10"/>
      <c r="EZ37" s="10"/>
      <c r="FA37" s="10"/>
      <c r="FB37" s="10"/>
      <c r="FC37" s="10"/>
      <c r="FD37" s="10"/>
      <c r="FE37" s="10"/>
      <c r="FF37" s="10"/>
      <c r="FG37" s="10"/>
      <c r="FH37" s="10"/>
      <c r="FI37" s="10"/>
      <c r="FJ37" s="10"/>
      <c r="FK37" s="10"/>
      <c r="FL37" s="10"/>
      <c r="FM37" s="10"/>
      <c r="FN37" s="10"/>
      <c r="FO37" s="10"/>
      <c r="FP37" s="10"/>
      <c r="FQ37" s="10"/>
      <c r="FR37" s="10"/>
      <c r="FS37" s="10"/>
      <c r="FT37" s="10"/>
      <c r="FU37" s="10"/>
      <c r="FV37" s="10"/>
      <c r="FW37" s="10"/>
      <c r="FX37" s="10"/>
      <c r="FY37" s="10"/>
      <c r="FZ37" s="10"/>
      <c r="GA37" s="10"/>
      <c r="GB37" s="10"/>
      <c r="GC37" s="10"/>
      <c r="GD37" s="10"/>
      <c r="GE37" s="10"/>
      <c r="GF37" s="10"/>
      <c r="GG37" s="10"/>
      <c r="GH37" s="10"/>
      <c r="GI37" s="10"/>
      <c r="GJ37" s="10"/>
      <c r="GK37" s="10"/>
      <c r="GL37" s="10"/>
      <c r="GM37" s="10"/>
      <c r="GN37" s="10"/>
      <c r="GO37" s="10"/>
      <c r="GP37" s="10"/>
      <c r="GQ37" s="10"/>
      <c r="GR37" s="10"/>
      <c r="GS37" s="10"/>
      <c r="GT37" s="10"/>
      <c r="GU37" s="10"/>
      <c r="GV37" s="10"/>
    </row>
    <row r="38" spans="1:6" ht="12.75">
      <c r="A38" t="s">
        <v>21</v>
      </c>
      <c r="D38" s="121">
        <f>D37*100/D36</f>
        <v>12.429460108364902</v>
      </c>
      <c r="E38" t="s">
        <v>22</v>
      </c>
      <c r="F38" s="130"/>
    </row>
    <row r="39" spans="1:7" ht="12.75">
      <c r="A39" t="s">
        <v>17</v>
      </c>
      <c r="D39" s="122">
        <f>(D10*20510000000)/(D27*1000000000)</f>
        <v>1.4357</v>
      </c>
      <c r="E39" t="s">
        <v>8</v>
      </c>
      <c r="G39" s="113"/>
    </row>
    <row r="40" spans="4:7" ht="12.75">
      <c r="D40" s="21"/>
      <c r="F40" s="115"/>
      <c r="G40" s="114"/>
    </row>
    <row r="41" ht="12.75">
      <c r="D41" s="12"/>
    </row>
    <row r="42" spans="4:5" ht="12.75">
      <c r="D42" s="7"/>
      <c r="E42" s="3"/>
    </row>
    <row r="44" spans="1:3" ht="12.75">
      <c r="A44" s="134"/>
      <c r="B44" s="134"/>
      <c r="C44" s="134"/>
    </row>
    <row r="45" ht="12.75">
      <c r="D45" s="22" t="str">
        <f>D30&amp;"uH"</f>
        <v>68uH</v>
      </c>
    </row>
    <row r="48" ht="12.75">
      <c r="A48" s="22" t="str">
        <f>D27&amp;"kOhm"</f>
        <v>150kOhm</v>
      </c>
    </row>
    <row r="49" ht="12.75">
      <c r="D49" s="22" t="str">
        <f>D23&amp;"mOhm"</f>
        <v>390mOhm</v>
      </c>
    </row>
  </sheetData>
  <mergeCells count="5">
    <mergeCell ref="A44:C44"/>
    <mergeCell ref="A1:D1"/>
    <mergeCell ref="A12:B12"/>
    <mergeCell ref="A11:B11"/>
    <mergeCell ref="A5:E5"/>
  </mergeCells>
  <printOptions/>
  <pageMargins left="0.75" right="0.75" top="0.75" bottom="0.75" header="0.5" footer="0.5"/>
  <pageSetup fitToHeight="1" fitToWidth="1" horizontalDpi="300" verticalDpi="300" orientation="portrait" paperSize="9" r:id="rId4"/>
  <headerFooter alignWithMargins="0">
    <oddFooter>&amp;L&amp;F&amp;C&amp;D&amp;R&amp;A</oddFoot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9"/>
  <sheetViews>
    <sheetView workbookViewId="0" topLeftCell="A1">
      <selection activeCell="B21" sqref="B21"/>
    </sheetView>
  </sheetViews>
  <sheetFormatPr defaultColWidth="9.140625" defaultRowHeight="12.75"/>
  <cols>
    <col min="1" max="16384" width="9.140625" style="20" customWidth="1"/>
  </cols>
  <sheetData>
    <row r="1" ht="15.75">
      <c r="A1" s="70" t="s">
        <v>63</v>
      </c>
    </row>
    <row r="4" ht="12.75">
      <c r="A4" s="3" t="s">
        <v>75</v>
      </c>
    </row>
    <row r="5" spans="1:12" ht="12.75">
      <c r="A5" s="116">
        <v>10</v>
      </c>
      <c r="B5" s="116">
        <v>10.2</v>
      </c>
      <c r="C5" s="116">
        <v>10.5</v>
      </c>
      <c r="D5" s="116">
        <v>10.7</v>
      </c>
      <c r="E5" s="116">
        <v>11</v>
      </c>
      <c r="F5" s="116">
        <v>11.3</v>
      </c>
      <c r="G5" s="116">
        <v>11.5</v>
      </c>
      <c r="H5" s="116">
        <v>11.8</v>
      </c>
      <c r="I5" s="116">
        <v>12.1</v>
      </c>
      <c r="J5" s="116">
        <v>12.4</v>
      </c>
      <c r="K5" s="116">
        <v>12.7</v>
      </c>
      <c r="L5" s="116">
        <v>13</v>
      </c>
    </row>
    <row r="6" spans="1:12" ht="12.75">
      <c r="A6" s="116">
        <v>13.3</v>
      </c>
      <c r="B6" s="116">
        <v>13.7</v>
      </c>
      <c r="C6" s="116">
        <v>14</v>
      </c>
      <c r="D6" s="116">
        <v>14.3</v>
      </c>
      <c r="E6" s="116">
        <v>14.7</v>
      </c>
      <c r="F6" s="116">
        <v>15</v>
      </c>
      <c r="G6" s="116">
        <v>15.4</v>
      </c>
      <c r="H6" s="116">
        <v>15.8</v>
      </c>
      <c r="I6" s="116">
        <v>16.2</v>
      </c>
      <c r="J6" s="116">
        <v>16.5</v>
      </c>
      <c r="K6" s="116">
        <v>16.9</v>
      </c>
      <c r="L6" s="116">
        <v>17.4</v>
      </c>
    </row>
    <row r="7" spans="1:12" ht="12.75">
      <c r="A7" s="116">
        <v>17.8</v>
      </c>
      <c r="B7" s="116">
        <v>18.2</v>
      </c>
      <c r="C7" s="116">
        <v>18.7</v>
      </c>
      <c r="D7" s="116">
        <v>19.1</v>
      </c>
      <c r="E7" s="116">
        <v>19.6</v>
      </c>
      <c r="F7" s="116">
        <v>20</v>
      </c>
      <c r="G7" s="116">
        <v>20.5</v>
      </c>
      <c r="H7" s="116">
        <v>21</v>
      </c>
      <c r="I7" s="116">
        <v>21.5</v>
      </c>
      <c r="J7" s="116">
        <v>22.1</v>
      </c>
      <c r="K7" s="116">
        <v>22.6</v>
      </c>
      <c r="L7" s="116">
        <v>23.2</v>
      </c>
    </row>
    <row r="8" spans="1:12" ht="12.75">
      <c r="A8" s="116">
        <v>23.7</v>
      </c>
      <c r="B8" s="116">
        <v>24.3</v>
      </c>
      <c r="C8" s="116">
        <v>24.9</v>
      </c>
      <c r="D8" s="116">
        <v>25.5</v>
      </c>
      <c r="E8" s="116">
        <v>26.1</v>
      </c>
      <c r="F8" s="116">
        <v>26.7</v>
      </c>
      <c r="G8" s="116">
        <v>27.4</v>
      </c>
      <c r="H8" s="116">
        <v>28</v>
      </c>
      <c r="I8" s="116">
        <v>28.7</v>
      </c>
      <c r="J8" s="116">
        <v>29.4</v>
      </c>
      <c r="K8" s="116">
        <v>30.1</v>
      </c>
      <c r="L8" s="116">
        <v>30.9</v>
      </c>
    </row>
    <row r="9" spans="1:12" ht="12.75">
      <c r="A9" s="116">
        <v>31.6</v>
      </c>
      <c r="B9" s="116">
        <v>32.4</v>
      </c>
      <c r="C9" s="116">
        <v>33.2</v>
      </c>
      <c r="D9" s="116">
        <v>34</v>
      </c>
      <c r="E9" s="116">
        <v>34.8</v>
      </c>
      <c r="F9" s="116">
        <v>35.7</v>
      </c>
      <c r="G9" s="116">
        <v>36.5</v>
      </c>
      <c r="H9" s="116">
        <v>37.4</v>
      </c>
      <c r="I9" s="116">
        <v>38.3</v>
      </c>
      <c r="J9" s="116">
        <v>39.2</v>
      </c>
      <c r="K9" s="116">
        <v>40.2</v>
      </c>
      <c r="L9" s="116">
        <v>41.2</v>
      </c>
    </row>
    <row r="10" spans="1:12" ht="12.75">
      <c r="A10" s="116">
        <v>42.2</v>
      </c>
      <c r="B10" s="116">
        <v>43.2</v>
      </c>
      <c r="C10" s="116">
        <v>44.2</v>
      </c>
      <c r="D10" s="116">
        <v>45.3</v>
      </c>
      <c r="E10" s="116">
        <v>46.4</v>
      </c>
      <c r="F10" s="116">
        <v>47.5</v>
      </c>
      <c r="G10" s="116">
        <v>48.7</v>
      </c>
      <c r="H10" s="116">
        <v>49.9</v>
      </c>
      <c r="I10" s="116">
        <v>51.1</v>
      </c>
      <c r="J10" s="116">
        <v>52.3</v>
      </c>
      <c r="K10" s="116">
        <v>53.6</v>
      </c>
      <c r="L10" s="116">
        <v>54.9</v>
      </c>
    </row>
    <row r="11" spans="1:12" ht="12.75">
      <c r="A11" s="116">
        <v>56.2</v>
      </c>
      <c r="B11" s="116">
        <v>57.6</v>
      </c>
      <c r="C11" s="116">
        <v>59</v>
      </c>
      <c r="D11" s="116">
        <v>60.4</v>
      </c>
      <c r="E11" s="116">
        <v>61.9</v>
      </c>
      <c r="F11" s="116">
        <v>63.4</v>
      </c>
      <c r="G11" s="116">
        <v>64.9</v>
      </c>
      <c r="H11" s="116">
        <v>66.5</v>
      </c>
      <c r="I11" s="116">
        <v>68.1</v>
      </c>
      <c r="J11" s="116">
        <v>69.8</v>
      </c>
      <c r="K11" s="116">
        <v>71.5</v>
      </c>
      <c r="L11" s="116">
        <v>73.2</v>
      </c>
    </row>
    <row r="12" spans="1:12" ht="12.75">
      <c r="A12" s="116">
        <v>75</v>
      </c>
      <c r="B12" s="116">
        <v>76.8</v>
      </c>
      <c r="C12" s="116">
        <v>78.7</v>
      </c>
      <c r="D12" s="116">
        <v>80.6</v>
      </c>
      <c r="E12" s="116">
        <v>82.5</v>
      </c>
      <c r="F12" s="116">
        <v>84.5</v>
      </c>
      <c r="G12" s="116">
        <v>86.6</v>
      </c>
      <c r="H12" s="116">
        <v>88.7</v>
      </c>
      <c r="I12" s="116">
        <v>90.9</v>
      </c>
      <c r="J12" s="116">
        <v>93.1</v>
      </c>
      <c r="K12" s="116">
        <v>95.3</v>
      </c>
      <c r="L12" s="116">
        <v>97.6</v>
      </c>
    </row>
    <row r="14" ht="12.75">
      <c r="A14" s="3" t="s">
        <v>76</v>
      </c>
    </row>
    <row r="15" spans="1:12" ht="12.75">
      <c r="A15" s="20">
        <v>10</v>
      </c>
      <c r="B15" s="20">
        <v>11</v>
      </c>
      <c r="C15" s="20">
        <v>12</v>
      </c>
      <c r="D15" s="20">
        <v>13</v>
      </c>
      <c r="E15" s="20">
        <v>15</v>
      </c>
      <c r="F15" s="20">
        <v>16</v>
      </c>
      <c r="G15" s="20">
        <v>18</v>
      </c>
      <c r="H15" s="20">
        <v>20</v>
      </c>
      <c r="I15" s="20">
        <v>22</v>
      </c>
      <c r="J15" s="20">
        <v>24</v>
      </c>
      <c r="K15" s="20">
        <v>27</v>
      </c>
      <c r="L15" s="20">
        <v>30</v>
      </c>
    </row>
    <row r="16" spans="1:12" ht="12.75">
      <c r="A16" s="20">
        <v>33</v>
      </c>
      <c r="B16" s="20">
        <v>36</v>
      </c>
      <c r="C16" s="20">
        <v>39</v>
      </c>
      <c r="D16" s="20">
        <v>43</v>
      </c>
      <c r="E16" s="20">
        <v>47</v>
      </c>
      <c r="F16" s="20">
        <v>51</v>
      </c>
      <c r="G16" s="20">
        <v>56</v>
      </c>
      <c r="H16" s="20">
        <v>62</v>
      </c>
      <c r="I16" s="20">
        <v>68</v>
      </c>
      <c r="J16" s="20">
        <v>75</v>
      </c>
      <c r="K16" s="20">
        <v>82</v>
      </c>
      <c r="L16" s="20">
        <v>91</v>
      </c>
    </row>
    <row r="19" ht="12.75">
      <c r="A19" s="20" t="s">
        <v>77</v>
      </c>
    </row>
  </sheetData>
  <printOptions/>
  <pageMargins left="0.75" right="0.75" top="1" bottom="1" header="0.5" footer="0.5"/>
  <pageSetup horizontalDpi="600" verticalDpi="600" orientation="landscape" r:id="rId1"/>
  <headerFooter alignWithMargins="0">
    <oddFooter>&amp;L&amp;F&amp;C&amp;D&amp;R&amp;A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77"/>
  <sheetViews>
    <sheetView workbookViewId="0" topLeftCell="A1">
      <selection activeCell="B2" sqref="B2"/>
    </sheetView>
  </sheetViews>
  <sheetFormatPr defaultColWidth="9.140625" defaultRowHeight="12.75"/>
  <cols>
    <col min="1" max="1" width="28.8515625" style="29" customWidth="1"/>
    <col min="2" max="2" width="10.421875" style="73" customWidth="1"/>
    <col min="3" max="3" width="6.421875" style="62" customWidth="1"/>
    <col min="4" max="4" width="10.7109375" style="30" customWidth="1"/>
    <col min="5" max="5" width="8.28125" style="30" customWidth="1"/>
    <col min="6" max="6" width="10.421875" style="30" customWidth="1"/>
    <col min="7" max="7" width="12.28125" style="30" customWidth="1"/>
    <col min="8" max="8" width="7.28125" style="30" customWidth="1"/>
    <col min="9" max="9" width="23.421875" style="30" customWidth="1"/>
    <col min="10" max="10" width="22.00390625" style="30" customWidth="1"/>
    <col min="11" max="12" width="10.421875" style="30" customWidth="1"/>
    <col min="14" max="14" width="6.8515625" style="29" customWidth="1"/>
  </cols>
  <sheetData>
    <row r="1" spans="1:13" ht="15.75">
      <c r="A1" s="135" t="s">
        <v>28</v>
      </c>
      <c r="B1" s="134"/>
      <c r="C1" s="134"/>
      <c r="D1" s="134"/>
      <c r="E1" s="29"/>
      <c r="F1" s="29"/>
      <c r="G1" s="29"/>
      <c r="H1" s="29"/>
      <c r="L1"/>
      <c r="M1" s="29"/>
    </row>
    <row r="2" spans="10:13" ht="12.75">
      <c r="J2" s="44"/>
      <c r="K2" s="10"/>
      <c r="L2" s="56"/>
      <c r="M2" s="29"/>
    </row>
    <row r="3" spans="1:13" ht="12.75">
      <c r="A3" s="92" t="s">
        <v>87</v>
      </c>
      <c r="B3" s="96"/>
      <c r="C3" s="96"/>
      <c r="J3" s="36"/>
      <c r="K3" s="10"/>
      <c r="L3" s="56"/>
      <c r="M3" s="29"/>
    </row>
    <row r="4" spans="1:13" ht="12.75">
      <c r="A4" s="37" t="s">
        <v>88</v>
      </c>
      <c r="B4" s="2"/>
      <c r="C4" s="2"/>
      <c r="K4"/>
      <c r="L4" s="29"/>
      <c r="M4" s="29"/>
    </row>
    <row r="5" spans="1:13" ht="12.75">
      <c r="A5" s="37" t="s">
        <v>94</v>
      </c>
      <c r="J5" s="36"/>
      <c r="K5" s="10"/>
      <c r="L5" s="56"/>
      <c r="M5" s="56"/>
    </row>
    <row r="6" spans="1:13" ht="12.75">
      <c r="A6" s="63" t="s">
        <v>89</v>
      </c>
      <c r="J6" s="44"/>
      <c r="K6" s="10"/>
      <c r="L6" s="56"/>
      <c r="M6" s="56"/>
    </row>
    <row r="7" spans="2:13" ht="12.75">
      <c r="B7" s="74"/>
      <c r="C7" s="89"/>
      <c r="J7" s="56"/>
      <c r="K7" s="10"/>
      <c r="L7" s="56"/>
      <c r="M7" s="56"/>
    </row>
    <row r="8" spans="1:14" ht="13.5" thickBot="1">
      <c r="A8" s="31" t="s">
        <v>0</v>
      </c>
      <c r="B8" s="75" t="s">
        <v>69</v>
      </c>
      <c r="C8" s="34" t="s">
        <v>29</v>
      </c>
      <c r="D8" s="32" t="s">
        <v>30</v>
      </c>
      <c r="E8" s="33" t="s">
        <v>31</v>
      </c>
      <c r="F8" s="33" t="s">
        <v>32</v>
      </c>
      <c r="G8" s="33" t="s">
        <v>101</v>
      </c>
      <c r="H8" s="34" t="s">
        <v>1</v>
      </c>
      <c r="I8" s="33" t="s">
        <v>33</v>
      </c>
      <c r="J8" s="131"/>
      <c r="K8" s="10"/>
      <c r="L8" s="10"/>
      <c r="M8" s="10"/>
      <c r="N8"/>
    </row>
    <row r="9" spans="1:14" ht="12.75">
      <c r="A9" s="35" t="s">
        <v>66</v>
      </c>
      <c r="B9" s="76">
        <f>'Component Calculator'!D9</f>
        <v>24</v>
      </c>
      <c r="C9" s="83">
        <f>B9</f>
        <v>24</v>
      </c>
      <c r="D9" s="36"/>
      <c r="E9" s="36"/>
      <c r="F9" s="36"/>
      <c r="G9" s="36"/>
      <c r="H9" s="37" t="s">
        <v>3</v>
      </c>
      <c r="I9"/>
      <c r="J9"/>
      <c r="K9"/>
      <c r="L9"/>
      <c r="N9"/>
    </row>
    <row r="10" spans="1:14" ht="12.75">
      <c r="A10" s="35" t="s">
        <v>67</v>
      </c>
      <c r="B10" s="76">
        <f>'Component Calculator'!D10</f>
        <v>10.5</v>
      </c>
      <c r="C10" s="90"/>
      <c r="D10" s="36"/>
      <c r="E10" s="36"/>
      <c r="F10" s="36"/>
      <c r="G10" s="36"/>
      <c r="H10" s="37" t="s">
        <v>3</v>
      </c>
      <c r="I10" s="38"/>
      <c r="J10" s="39"/>
      <c r="K10" s="10"/>
      <c r="L10"/>
      <c r="N10"/>
    </row>
    <row r="11" spans="1:14" ht="13.5" thickBot="1">
      <c r="A11" s="40" t="s">
        <v>68</v>
      </c>
      <c r="B11" s="119">
        <f>'Component Calculator'!D36</f>
        <v>500.32459201946887</v>
      </c>
      <c r="C11" s="91">
        <v>4</v>
      </c>
      <c r="D11" s="41"/>
      <c r="E11" s="41"/>
      <c r="F11" s="41"/>
      <c r="G11" s="41"/>
      <c r="H11" s="42" t="s">
        <v>4</v>
      </c>
      <c r="I11" s="43"/>
      <c r="J11"/>
      <c r="K11"/>
      <c r="L11"/>
      <c r="N11"/>
    </row>
    <row r="12" spans="1:14" ht="12.75">
      <c r="A12" s="35"/>
      <c r="B12" s="77"/>
      <c r="C12" s="92"/>
      <c r="D12" s="37"/>
      <c r="E12" s="126">
        <f>'Component Calculator'!D23/1000</f>
        <v>0.39</v>
      </c>
      <c r="F12" s="37"/>
      <c r="G12" s="132">
        <v>0.022</v>
      </c>
      <c r="H12" s="37" t="s">
        <v>34</v>
      </c>
      <c r="I12"/>
      <c r="J12" s="10"/>
      <c r="K12" s="10"/>
      <c r="L12" s="10"/>
      <c r="M12" s="10"/>
      <c r="N12"/>
    </row>
    <row r="13" spans="1:14" ht="12.75">
      <c r="A13" s="35"/>
      <c r="B13" s="77"/>
      <c r="C13" s="92"/>
      <c r="D13" s="37"/>
      <c r="E13" s="37"/>
      <c r="F13" s="37"/>
      <c r="G13" s="37"/>
      <c r="H13" s="37"/>
      <c r="I13"/>
      <c r="J13"/>
      <c r="K13"/>
      <c r="L13"/>
      <c r="N13"/>
    </row>
    <row r="14" spans="1:14" ht="12.75">
      <c r="A14" s="35" t="s">
        <v>17</v>
      </c>
      <c r="B14" s="117">
        <f>'Component Calculator'!D39*1000</f>
        <v>1435.7</v>
      </c>
      <c r="C14" s="92"/>
      <c r="D14" s="37"/>
      <c r="E14" s="37"/>
      <c r="F14" s="37"/>
      <c r="G14" s="37"/>
      <c r="H14" s="37" t="s">
        <v>35</v>
      </c>
      <c r="I14"/>
      <c r="J14"/>
      <c r="K14"/>
      <c r="L14"/>
      <c r="N14"/>
    </row>
    <row r="15" spans="1:14" ht="12.75">
      <c r="A15" s="35" t="s">
        <v>70</v>
      </c>
      <c r="B15" s="78">
        <f>1000/B14</f>
        <v>0.6965243435258062</v>
      </c>
      <c r="C15" s="92"/>
      <c r="D15" s="37"/>
      <c r="E15" s="37"/>
      <c r="F15" s="37"/>
      <c r="G15" s="37"/>
      <c r="H15" s="37" t="s">
        <v>71</v>
      </c>
      <c r="I15"/>
      <c r="J15"/>
      <c r="K15"/>
      <c r="L15"/>
      <c r="N15"/>
    </row>
    <row r="16" spans="1:14" ht="12.75">
      <c r="A16" s="35"/>
      <c r="B16" s="77"/>
      <c r="C16" s="92"/>
      <c r="D16" s="37"/>
      <c r="E16" s="37"/>
      <c r="F16" s="37"/>
      <c r="G16" s="37"/>
      <c r="H16" s="37"/>
      <c r="I16"/>
      <c r="J16"/>
      <c r="K16"/>
      <c r="L16"/>
      <c r="N16"/>
    </row>
    <row r="17" spans="1:16" ht="13.5" thickBot="1">
      <c r="A17" s="40" t="s">
        <v>36</v>
      </c>
      <c r="B17" s="79">
        <f>(B10+B20)/(B9+B20)</f>
        <v>0.44972078424978595</v>
      </c>
      <c r="C17" s="93"/>
      <c r="D17" s="42"/>
      <c r="E17" s="42"/>
      <c r="F17" s="42"/>
      <c r="G17" s="42"/>
      <c r="H17" s="42"/>
      <c r="I17" s="43"/>
      <c r="J17" s="118"/>
      <c r="K17" s="10"/>
      <c r="L17" s="10"/>
      <c r="M17" s="10"/>
      <c r="N17" s="10"/>
      <c r="O17" s="10"/>
      <c r="P17" s="10"/>
    </row>
    <row r="18" spans="1:16" s="47" customFormat="1" ht="17.25" customHeight="1">
      <c r="A18" s="72" t="s">
        <v>37</v>
      </c>
      <c r="B18" s="123">
        <v>150</v>
      </c>
      <c r="C18" s="46"/>
      <c r="D18" s="46"/>
      <c r="E18" s="46"/>
      <c r="F18" s="46"/>
      <c r="H18" s="45" t="s">
        <v>38</v>
      </c>
      <c r="I18" s="47" t="s">
        <v>39</v>
      </c>
      <c r="J18" s="46"/>
      <c r="K18" s="46"/>
      <c r="L18" s="46"/>
      <c r="M18" s="46"/>
      <c r="N18" s="46"/>
      <c r="O18" s="46"/>
      <c r="P18" s="46"/>
    </row>
    <row r="19" spans="1:16" ht="12.75">
      <c r="A19" s="48"/>
      <c r="B19" s="49"/>
      <c r="C19" s="92"/>
      <c r="D19" s="37"/>
      <c r="E19" s="37"/>
      <c r="F19" s="37"/>
      <c r="G19" s="37"/>
      <c r="H19" s="50"/>
      <c r="J19" s="10"/>
      <c r="K19" s="10"/>
      <c r="L19" s="10"/>
      <c r="M19" s="10"/>
      <c r="N19" s="10"/>
      <c r="O19" s="10"/>
      <c r="P19" s="10"/>
    </row>
    <row r="20" spans="1:16" ht="12.75">
      <c r="A20" s="35" t="s">
        <v>72</v>
      </c>
      <c r="B20" s="76">
        <f>('Component Calculator'!D14+'Component Calculator'!D15)/1000</f>
        <v>0.533</v>
      </c>
      <c r="C20" s="92"/>
      <c r="D20" s="37"/>
      <c r="E20" s="37"/>
      <c r="F20" s="36"/>
      <c r="G20" s="37"/>
      <c r="H20" s="37" t="s">
        <v>3</v>
      </c>
      <c r="I20"/>
      <c r="J20" s="118"/>
      <c r="K20" s="10"/>
      <c r="L20" s="10"/>
      <c r="M20" s="10"/>
      <c r="N20" s="10"/>
      <c r="O20" s="10"/>
      <c r="P20" s="10"/>
    </row>
    <row r="21" spans="1:16" ht="12.75">
      <c r="A21" s="133" t="s">
        <v>95</v>
      </c>
      <c r="B21" s="78">
        <v>0.35</v>
      </c>
      <c r="C21" s="92"/>
      <c r="D21" s="37"/>
      <c r="E21" s="37"/>
      <c r="F21" s="37"/>
      <c r="G21" s="37"/>
      <c r="H21" s="37" t="s">
        <v>34</v>
      </c>
      <c r="I21"/>
      <c r="J21" s="10"/>
      <c r="K21" s="10"/>
      <c r="L21" s="10"/>
      <c r="M21" s="10"/>
      <c r="N21" s="10"/>
      <c r="O21" s="10"/>
      <c r="P21" s="10"/>
    </row>
    <row r="22" spans="1:14" ht="12.75">
      <c r="A22" s="133" t="s">
        <v>96</v>
      </c>
      <c r="B22" s="78">
        <f>B21*(1+($B36-25)/170)</f>
        <v>0.4422327519748278</v>
      </c>
      <c r="C22" s="92"/>
      <c r="D22" s="37"/>
      <c r="E22" s="37"/>
      <c r="F22" s="37"/>
      <c r="G22" s="37"/>
      <c r="H22" s="37" t="s">
        <v>34</v>
      </c>
      <c r="I22"/>
      <c r="J22" s="10"/>
      <c r="K22"/>
      <c r="L22"/>
      <c r="N22"/>
    </row>
    <row r="23" spans="1:14" ht="12.75">
      <c r="A23" s="48"/>
      <c r="B23" s="49"/>
      <c r="C23" s="92"/>
      <c r="D23" s="37"/>
      <c r="E23" s="37"/>
      <c r="F23" s="37"/>
      <c r="G23" s="37"/>
      <c r="H23" s="50"/>
      <c r="I23"/>
      <c r="J23"/>
      <c r="K23"/>
      <c r="L23"/>
      <c r="N23"/>
    </row>
    <row r="24" spans="1:14" ht="12.75">
      <c r="A24" s="35" t="s">
        <v>40</v>
      </c>
      <c r="B24" s="78">
        <v>4</v>
      </c>
      <c r="C24" s="92"/>
      <c r="D24" s="37"/>
      <c r="E24" s="37"/>
      <c r="F24" s="37"/>
      <c r="G24" s="37"/>
      <c r="H24" s="37" t="s">
        <v>41</v>
      </c>
      <c r="I24"/>
      <c r="J24"/>
      <c r="K24"/>
      <c r="L24"/>
      <c r="N24"/>
    </row>
    <row r="25" spans="1:14" ht="12.75">
      <c r="A25" s="35" t="s">
        <v>42</v>
      </c>
      <c r="B25" s="78">
        <v>4</v>
      </c>
      <c r="C25" s="92"/>
      <c r="D25" s="37"/>
      <c r="E25" s="37"/>
      <c r="F25" s="37"/>
      <c r="G25" s="37"/>
      <c r="H25" s="37" t="s">
        <v>41</v>
      </c>
      <c r="I25"/>
      <c r="J25"/>
      <c r="K25"/>
      <c r="L25"/>
      <c r="N25"/>
    </row>
    <row r="26" spans="1:14" ht="12.75">
      <c r="A26" s="35"/>
      <c r="B26" s="77"/>
      <c r="C26" s="92"/>
      <c r="D26" s="37"/>
      <c r="E26" s="37"/>
      <c r="F26" s="37"/>
      <c r="G26" s="37"/>
      <c r="H26" s="37"/>
      <c r="I26"/>
      <c r="J26"/>
      <c r="K26"/>
      <c r="L26"/>
      <c r="N26"/>
    </row>
    <row r="27" spans="1:14" ht="12.75">
      <c r="A27" s="35" t="s">
        <v>43</v>
      </c>
      <c r="B27" s="78">
        <f>(C9*C11)/1000</f>
        <v>0.096</v>
      </c>
      <c r="C27" s="92"/>
      <c r="D27" s="37"/>
      <c r="E27" s="37"/>
      <c r="F27" s="37"/>
      <c r="G27" s="37"/>
      <c r="H27" s="37" t="s">
        <v>44</v>
      </c>
      <c r="I27"/>
      <c r="J27"/>
      <c r="K27"/>
      <c r="L27"/>
      <c r="N27"/>
    </row>
    <row r="28" spans="1:14" ht="12.75">
      <c r="A28" s="51" t="s">
        <v>45</v>
      </c>
      <c r="B28" s="80">
        <f>(0.000000005*B14*1000*(B9))</f>
        <v>0.172284</v>
      </c>
      <c r="C28" s="92"/>
      <c r="D28" s="37"/>
      <c r="E28" s="37"/>
      <c r="F28" s="37"/>
      <c r="G28" s="37"/>
      <c r="H28" s="50" t="s">
        <v>44</v>
      </c>
      <c r="I28"/>
      <c r="J28"/>
      <c r="K28"/>
      <c r="L28"/>
      <c r="N28"/>
    </row>
    <row r="29" spans="1:14" ht="12.75">
      <c r="A29" s="35" t="s">
        <v>46</v>
      </c>
      <c r="B29" s="78">
        <f>(B11/1000)^2*B22*B17</f>
        <v>0.04978489123372116</v>
      </c>
      <c r="C29" s="92"/>
      <c r="D29" s="37"/>
      <c r="E29" s="36">
        <f>(B11/1000)^2*(1-B17)*E12</f>
        <v>0.05372190648118021</v>
      </c>
      <c r="F29" s="36">
        <f>0.35*(B11/1000)*(1-B17)</f>
        <v>0.0963613784409567</v>
      </c>
      <c r="G29" s="36">
        <f>G12*(B11/1000)^2</f>
        <v>0.005507143342347856</v>
      </c>
      <c r="H29" s="37" t="s">
        <v>44</v>
      </c>
      <c r="I29"/>
      <c r="J29" s="5"/>
      <c r="K29"/>
      <c r="L29"/>
      <c r="N29"/>
    </row>
    <row r="30" spans="1:14" ht="12.75">
      <c r="A30" s="35" t="s">
        <v>47</v>
      </c>
      <c r="B30" s="78">
        <f>((B9/2)*(B11/1000)*($B25/1000000000)*(B14*1000))*0.6</f>
        <v>0.020687501282755722</v>
      </c>
      <c r="C30" s="92"/>
      <c r="D30" s="44">
        <f>((B9/2)*(B11/1000)*($B25/1000000000)*(B14*1000))*0.4</f>
        <v>0.013791667521837149</v>
      </c>
      <c r="E30" s="37"/>
      <c r="F30" s="37"/>
      <c r="G30" s="37"/>
      <c r="H30" s="37" t="s">
        <v>44</v>
      </c>
      <c r="I30"/>
      <c r="J30"/>
      <c r="K30"/>
      <c r="L30"/>
      <c r="N30"/>
    </row>
    <row r="31" spans="1:14" ht="12.75">
      <c r="A31" s="35" t="s">
        <v>48</v>
      </c>
      <c r="B31" s="78">
        <f>(B9/2)*(B11/1000)*($B24/1000000000)*(B14*1000)</f>
        <v>0.03447916880459287</v>
      </c>
      <c r="C31" s="92"/>
      <c r="D31" s="37"/>
      <c r="E31" s="37"/>
      <c r="F31" s="37"/>
      <c r="G31" s="37"/>
      <c r="H31" s="37" t="s">
        <v>44</v>
      </c>
      <c r="I31"/>
      <c r="J31"/>
      <c r="K31"/>
      <c r="L31"/>
      <c r="N31"/>
    </row>
    <row r="32" spans="1:14" ht="13.5" thickBot="1">
      <c r="A32" s="35" t="s">
        <v>49</v>
      </c>
      <c r="B32" s="78">
        <f>(B18/1000000000000)*B9^2/(2*B15/1000000)</f>
        <v>0.062022240000000006</v>
      </c>
      <c r="C32" s="92"/>
      <c r="D32" s="37"/>
      <c r="E32" s="37"/>
      <c r="F32" s="37"/>
      <c r="G32" s="37"/>
      <c r="H32" s="37" t="s">
        <v>44</v>
      </c>
      <c r="I32"/>
      <c r="J32"/>
      <c r="K32"/>
      <c r="L32"/>
      <c r="N32"/>
    </row>
    <row r="33" spans="1:14" ht="12.75">
      <c r="A33" s="52" t="s">
        <v>50</v>
      </c>
      <c r="B33" s="85">
        <f>SUM(B27:B32)</f>
        <v>0.4352578013210697</v>
      </c>
      <c r="C33" s="94"/>
      <c r="D33" s="54"/>
      <c r="E33" s="54"/>
      <c r="F33" s="54"/>
      <c r="G33" s="54"/>
      <c r="H33" s="53" t="s">
        <v>44</v>
      </c>
      <c r="I33" s="54"/>
      <c r="J33" s="44"/>
      <c r="K33" s="10"/>
      <c r="L33" s="55"/>
      <c r="M33" s="55"/>
      <c r="N33" s="55"/>
    </row>
    <row r="34" spans="1:14" ht="12.75">
      <c r="A34" s="35" t="s">
        <v>51</v>
      </c>
      <c r="B34" s="124">
        <v>55</v>
      </c>
      <c r="C34" s="90"/>
      <c r="D34" s="44"/>
      <c r="E34" s="44"/>
      <c r="F34" s="44"/>
      <c r="G34" s="44"/>
      <c r="H34" s="36" t="s">
        <v>52</v>
      </c>
      <c r="I34" s="44"/>
      <c r="J34" s="44"/>
      <c r="K34" s="10"/>
      <c r="L34" s="56"/>
      <c r="M34" s="56"/>
      <c r="N34" s="56"/>
    </row>
    <row r="35" spans="1:14" s="110" customFormat="1" ht="12.75" customHeight="1">
      <c r="A35" s="103" t="s">
        <v>53</v>
      </c>
      <c r="B35" s="125">
        <v>34</v>
      </c>
      <c r="C35" s="104"/>
      <c r="D35" s="105"/>
      <c r="E35" s="105"/>
      <c r="F35" s="105"/>
      <c r="G35" s="106"/>
      <c r="H35" s="107" t="s">
        <v>54</v>
      </c>
      <c r="I35" s="102" t="s">
        <v>73</v>
      </c>
      <c r="J35" s="106"/>
      <c r="K35" s="108"/>
      <c r="L35" s="109"/>
      <c r="M35" s="109"/>
      <c r="N35" s="109"/>
    </row>
    <row r="36" spans="1:13" ht="12.75">
      <c r="A36" s="35" t="s">
        <v>55</v>
      </c>
      <c r="B36" s="86">
        <f>B34+B35*B33</f>
        <v>69.79876524491637</v>
      </c>
      <c r="C36" s="95"/>
      <c r="H36" s="57" t="s">
        <v>52</v>
      </c>
      <c r="K36"/>
      <c r="L36" s="29"/>
      <c r="M36" s="29"/>
    </row>
    <row r="37" spans="1:15" ht="12.75">
      <c r="A37" s="35" t="s">
        <v>56</v>
      </c>
      <c r="B37" s="86">
        <f>B36-(2*B33)</f>
        <v>68.92824964227422</v>
      </c>
      <c r="C37" s="96"/>
      <c r="D37"/>
      <c r="E37"/>
      <c r="F37"/>
      <c r="G37"/>
      <c r="H37" s="57" t="s">
        <v>52</v>
      </c>
      <c r="I37" s="36" t="s">
        <v>97</v>
      </c>
      <c r="J37" s="10"/>
      <c r="K37" s="10"/>
      <c r="L37" s="56"/>
      <c r="M37" s="56"/>
      <c r="N37" s="56"/>
      <c r="O37" s="10"/>
    </row>
    <row r="38" spans="1:15" ht="12.75">
      <c r="A38" s="35"/>
      <c r="B38" s="87"/>
      <c r="C38" s="96"/>
      <c r="D38"/>
      <c r="E38"/>
      <c r="F38"/>
      <c r="G38"/>
      <c r="H38"/>
      <c r="I38" s="10"/>
      <c r="J38" s="10"/>
      <c r="K38" s="10"/>
      <c r="L38" s="56"/>
      <c r="M38" s="56"/>
      <c r="N38" s="56"/>
      <c r="O38" s="10"/>
    </row>
    <row r="39" spans="1:15" ht="12.75">
      <c r="A39" s="58" t="s">
        <v>57</v>
      </c>
      <c r="B39" s="78">
        <f>B33+D30+E29+F29+G29</f>
        <v>0.6046398971073916</v>
      </c>
      <c r="H39" s="36" t="s">
        <v>44</v>
      </c>
      <c r="I39" s="44"/>
      <c r="J39" s="44"/>
      <c r="K39" s="44"/>
      <c r="N39" s="56"/>
      <c r="O39" s="10"/>
    </row>
    <row r="40" spans="1:15" ht="12.75">
      <c r="A40" s="59" t="s">
        <v>58</v>
      </c>
      <c r="B40" s="88">
        <f>(B10*B11/1000)*100/((B10*B11/1000)+B39)</f>
        <v>89.6784750583832</v>
      </c>
      <c r="H40" s="60" t="s">
        <v>22</v>
      </c>
      <c r="I40" s="44"/>
      <c r="J40" s="44"/>
      <c r="K40" s="44"/>
      <c r="O40" s="10"/>
    </row>
    <row r="41" spans="9:11" ht="12.75">
      <c r="I41" s="44"/>
      <c r="J41" s="44"/>
      <c r="K41" s="44"/>
    </row>
    <row r="42" spans="1:11" ht="12.75">
      <c r="A42" s="24" t="s">
        <v>59</v>
      </c>
      <c r="I42" s="44"/>
      <c r="J42" s="44"/>
      <c r="K42" s="44"/>
    </row>
    <row r="43" spans="1:14" ht="12.75">
      <c r="A43" t="s">
        <v>60</v>
      </c>
      <c r="C43" s="96"/>
      <c r="D43"/>
      <c r="E43"/>
      <c r="F43"/>
      <c r="G43"/>
      <c r="H43"/>
      <c r="I43" s="10"/>
      <c r="J43" s="10"/>
      <c r="K43" s="10"/>
      <c r="L43" s="56"/>
      <c r="M43" s="56"/>
      <c r="N43" s="61"/>
    </row>
    <row r="44" spans="1:14" ht="12.75">
      <c r="A44" s="62" t="s">
        <v>61</v>
      </c>
      <c r="D44" s="62"/>
      <c r="E44" s="62"/>
      <c r="F44" s="62"/>
      <c r="G44" s="62"/>
      <c r="H44" s="62"/>
      <c r="I44" s="90"/>
      <c r="J44" s="131"/>
      <c r="K44" s="90"/>
      <c r="L44" s="62"/>
      <c r="M44" s="62"/>
      <c r="N44" s="61"/>
    </row>
    <row r="45" spans="2:14" ht="12.75">
      <c r="B45" s="49"/>
      <c r="C45" s="97"/>
      <c r="D45" s="61"/>
      <c r="E45" s="61"/>
      <c r="F45" s="61"/>
      <c r="G45" s="61"/>
      <c r="H45" s="61"/>
      <c r="I45" s="61"/>
      <c r="J45" s="61"/>
      <c r="K45" s="55"/>
      <c r="L45" s="61"/>
      <c r="M45" s="61"/>
      <c r="N45" s="61"/>
    </row>
    <row r="46" spans="1:14" ht="12.75">
      <c r="A46" s="55"/>
      <c r="B46" s="49"/>
      <c r="C46" s="98"/>
      <c r="D46" s="64"/>
      <c r="E46" s="64"/>
      <c r="F46" s="61"/>
      <c r="G46" s="61"/>
      <c r="H46" s="61"/>
      <c r="I46" s="61"/>
      <c r="J46" s="61"/>
      <c r="K46" s="55"/>
      <c r="L46" s="61"/>
      <c r="M46" s="61"/>
      <c r="N46" s="61"/>
    </row>
    <row r="47" spans="1:14" ht="12.75">
      <c r="A47" s="55"/>
      <c r="B47" s="49"/>
      <c r="C47" s="98"/>
      <c r="D47" s="64"/>
      <c r="E47" s="64"/>
      <c r="F47" s="61"/>
      <c r="G47" s="61"/>
      <c r="H47" s="61"/>
      <c r="I47" s="61"/>
      <c r="J47" s="61"/>
      <c r="K47" s="55"/>
      <c r="L47" s="61"/>
      <c r="M47" s="65"/>
      <c r="N47" s="61"/>
    </row>
    <row r="48" spans="1:14" ht="12.75">
      <c r="A48" s="55"/>
      <c r="B48" s="49"/>
      <c r="C48" s="84"/>
      <c r="D48" s="64"/>
      <c r="E48" s="64"/>
      <c r="F48" s="61"/>
      <c r="G48" s="61"/>
      <c r="H48" s="61"/>
      <c r="I48" s="61"/>
      <c r="J48" s="61"/>
      <c r="K48" s="55"/>
      <c r="L48" s="61"/>
      <c r="M48" s="66"/>
      <c r="N48" s="61"/>
    </row>
    <row r="49" spans="1:14" ht="12.75">
      <c r="A49" s="55"/>
      <c r="B49" s="49"/>
      <c r="C49" s="84"/>
      <c r="D49" s="64"/>
      <c r="E49" s="64"/>
      <c r="F49" s="61"/>
      <c r="G49" s="61"/>
      <c r="H49" s="61"/>
      <c r="I49" s="61"/>
      <c r="J49" s="61"/>
      <c r="K49" s="55"/>
      <c r="L49" s="61"/>
      <c r="M49" s="65"/>
      <c r="N49" s="61"/>
    </row>
    <row r="50" spans="1:14" ht="12.75">
      <c r="A50" s="55"/>
      <c r="B50" s="49"/>
      <c r="C50" s="84"/>
      <c r="D50" s="64"/>
      <c r="E50" s="64"/>
      <c r="F50" s="61"/>
      <c r="G50" s="61"/>
      <c r="H50" s="61"/>
      <c r="I50" s="61"/>
      <c r="J50" s="61"/>
      <c r="K50" s="55"/>
      <c r="L50" s="61"/>
      <c r="M50" s="65"/>
      <c r="N50" s="61"/>
    </row>
    <row r="51" spans="1:14" ht="12.75">
      <c r="A51" s="55"/>
      <c r="B51" s="49"/>
      <c r="C51" s="84"/>
      <c r="D51" s="64"/>
      <c r="E51" s="64"/>
      <c r="F51" s="61"/>
      <c r="G51" s="61"/>
      <c r="H51" s="61"/>
      <c r="I51" s="61"/>
      <c r="J51" s="61"/>
      <c r="K51" s="55"/>
      <c r="L51" s="61"/>
      <c r="M51" s="65"/>
      <c r="N51" s="61"/>
    </row>
    <row r="52" spans="1:14" ht="12.75">
      <c r="A52" s="55"/>
      <c r="B52" s="49"/>
      <c r="C52" s="84"/>
      <c r="D52" s="64"/>
      <c r="E52" s="64"/>
      <c r="F52" s="61"/>
      <c r="G52" s="61"/>
      <c r="H52" s="61"/>
      <c r="I52" s="61"/>
      <c r="J52" s="61"/>
      <c r="K52" s="55"/>
      <c r="L52" s="61"/>
      <c r="M52" s="65"/>
      <c r="N52" s="61"/>
    </row>
    <row r="53" spans="1:14" ht="12.75">
      <c r="A53" s="55"/>
      <c r="B53" s="49"/>
      <c r="C53" s="84"/>
      <c r="D53" s="64"/>
      <c r="E53" s="64"/>
      <c r="F53" s="61"/>
      <c r="G53" s="61"/>
      <c r="H53" s="61"/>
      <c r="I53" s="61"/>
      <c r="J53" s="61"/>
      <c r="K53" s="55"/>
      <c r="L53" s="61"/>
      <c r="M53" s="65"/>
      <c r="N53" s="61"/>
    </row>
    <row r="54" spans="1:14" ht="12.75">
      <c r="A54" s="55"/>
      <c r="B54" s="49"/>
      <c r="C54" s="84"/>
      <c r="D54" s="64"/>
      <c r="E54" s="64"/>
      <c r="F54" s="61"/>
      <c r="G54" s="61"/>
      <c r="H54" s="61"/>
      <c r="I54" s="61"/>
      <c r="J54" s="61"/>
      <c r="K54" s="55"/>
      <c r="L54" s="61"/>
      <c r="M54" s="65"/>
      <c r="N54" s="61"/>
    </row>
    <row r="55" spans="1:14" ht="12.75">
      <c r="A55" s="55"/>
      <c r="B55" s="49"/>
      <c r="C55" s="84"/>
      <c r="D55" s="64"/>
      <c r="E55" s="64"/>
      <c r="F55" s="61"/>
      <c r="G55" s="61"/>
      <c r="H55" s="61"/>
      <c r="I55" s="61"/>
      <c r="J55" s="61"/>
      <c r="K55" s="55"/>
      <c r="L55" s="61"/>
      <c r="M55" s="65"/>
      <c r="N55" s="61"/>
    </row>
    <row r="56" spans="1:14" ht="12.75">
      <c r="A56" s="55"/>
      <c r="B56" s="49"/>
      <c r="C56" s="98"/>
      <c r="D56" s="64"/>
      <c r="E56" s="64"/>
      <c r="F56" s="61"/>
      <c r="G56" s="61"/>
      <c r="H56" s="61"/>
      <c r="I56" s="61"/>
      <c r="J56" s="61"/>
      <c r="K56" s="55"/>
      <c r="L56" s="61"/>
      <c r="M56" s="65"/>
      <c r="N56" s="61"/>
    </row>
    <row r="57" spans="1:14" ht="12.75">
      <c r="A57" s="63"/>
      <c r="B57" s="49"/>
      <c r="C57" s="98"/>
      <c r="D57" s="64"/>
      <c r="E57" s="64"/>
      <c r="F57" s="49"/>
      <c r="G57" s="49"/>
      <c r="H57" s="49"/>
      <c r="I57" s="49"/>
      <c r="J57" s="49"/>
      <c r="K57" s="55"/>
      <c r="L57" s="61"/>
      <c r="M57" s="65"/>
      <c r="N57" s="61"/>
    </row>
    <row r="58" spans="1:14" ht="12.75">
      <c r="A58" s="55"/>
      <c r="B58" s="49"/>
      <c r="C58" s="98"/>
      <c r="D58" s="64"/>
      <c r="E58" s="64"/>
      <c r="F58" s="49"/>
      <c r="G58" s="49"/>
      <c r="H58" s="49"/>
      <c r="I58" s="49"/>
      <c r="J58" s="49"/>
      <c r="K58" s="55"/>
      <c r="L58" s="61"/>
      <c r="M58" s="65"/>
      <c r="N58" s="61"/>
    </row>
    <row r="59" spans="1:14" ht="12.75">
      <c r="A59" s="55"/>
      <c r="B59" s="49"/>
      <c r="C59" s="84"/>
      <c r="D59" s="49"/>
      <c r="E59" s="49"/>
      <c r="F59" s="49"/>
      <c r="G59" s="49"/>
      <c r="H59" s="49"/>
      <c r="I59" s="49"/>
      <c r="J59" s="49"/>
      <c r="K59" s="55"/>
      <c r="L59" s="61"/>
      <c r="M59" s="65"/>
      <c r="N59" s="61"/>
    </row>
    <row r="60" spans="1:14" ht="12.75">
      <c r="A60" s="55"/>
      <c r="B60" s="49"/>
      <c r="C60" s="84"/>
      <c r="D60" s="49"/>
      <c r="E60" s="49"/>
      <c r="F60" s="49"/>
      <c r="G60" s="49"/>
      <c r="H60" s="49"/>
      <c r="I60" s="49"/>
      <c r="J60" s="49"/>
      <c r="K60" s="55"/>
      <c r="L60" s="61"/>
      <c r="M60" s="65"/>
      <c r="N60" s="61"/>
    </row>
    <row r="61" spans="1:14" ht="12.75">
      <c r="A61" s="55"/>
      <c r="B61" s="49"/>
      <c r="C61" s="84"/>
      <c r="D61" s="49"/>
      <c r="E61" s="49"/>
      <c r="F61" s="49"/>
      <c r="G61" s="49"/>
      <c r="H61" s="49"/>
      <c r="I61" s="49"/>
      <c r="J61" s="49"/>
      <c r="K61" s="55"/>
      <c r="L61" s="61"/>
      <c r="M61" s="65"/>
      <c r="N61" s="61"/>
    </row>
    <row r="62" spans="1:14" ht="12.75">
      <c r="A62" s="55"/>
      <c r="B62" s="49"/>
      <c r="C62" s="84"/>
      <c r="D62" s="49"/>
      <c r="E62" s="49"/>
      <c r="F62" s="49"/>
      <c r="G62" s="49"/>
      <c r="H62" s="49"/>
      <c r="I62" s="49"/>
      <c r="J62" s="49"/>
      <c r="K62" s="55"/>
      <c r="L62" s="61"/>
      <c r="M62" s="65"/>
      <c r="N62" s="61"/>
    </row>
    <row r="63" spans="1:14" ht="12.75">
      <c r="A63" s="55"/>
      <c r="B63" s="49"/>
      <c r="C63" s="84"/>
      <c r="D63" s="49"/>
      <c r="E63" s="49"/>
      <c r="F63" s="49"/>
      <c r="G63" s="49"/>
      <c r="H63" s="49"/>
      <c r="I63" s="49"/>
      <c r="J63" s="49"/>
      <c r="K63" s="55"/>
      <c r="L63" s="61"/>
      <c r="M63" s="65"/>
      <c r="N63" s="61"/>
    </row>
    <row r="64" spans="1:14" ht="12.75">
      <c r="A64" s="55"/>
      <c r="B64" s="81"/>
      <c r="C64" s="99"/>
      <c r="D64" s="67"/>
      <c r="E64" s="67"/>
      <c r="F64" s="67"/>
      <c r="G64" s="67"/>
      <c r="H64" s="67"/>
      <c r="I64" s="67"/>
      <c r="J64" s="67"/>
      <c r="K64" s="55"/>
      <c r="L64" s="68"/>
      <c r="M64" s="65"/>
      <c r="N64" s="68"/>
    </row>
    <row r="65" spans="1:14" ht="12.75">
      <c r="A65" s="55"/>
      <c r="B65" s="49"/>
      <c r="C65" s="98"/>
      <c r="D65" s="64"/>
      <c r="E65" s="64"/>
      <c r="F65" s="64"/>
      <c r="G65" s="64"/>
      <c r="H65" s="64"/>
      <c r="I65" s="61"/>
      <c r="J65" s="61"/>
      <c r="K65" s="55"/>
      <c r="L65" s="61"/>
      <c r="M65" s="65"/>
      <c r="N65" s="61"/>
    </row>
    <row r="66" spans="1:14" ht="12.75">
      <c r="A66" s="55"/>
      <c r="C66" s="96"/>
      <c r="D66" s="61"/>
      <c r="E66" s="61"/>
      <c r="F66" s="61"/>
      <c r="G66" s="61"/>
      <c r="H66" s="61"/>
      <c r="I66" s="61"/>
      <c r="J66" s="61"/>
      <c r="K66" s="55"/>
      <c r="L66" s="61"/>
      <c r="M66" s="65"/>
      <c r="N66" s="61"/>
    </row>
    <row r="67" spans="1:14" ht="12.75">
      <c r="A67" s="55"/>
      <c r="C67" s="96"/>
      <c r="D67" s="61"/>
      <c r="E67" s="61"/>
      <c r="F67" s="61"/>
      <c r="G67" s="61"/>
      <c r="H67" s="61"/>
      <c r="I67" s="61"/>
      <c r="J67" s="61"/>
      <c r="K67" s="55"/>
      <c r="L67" s="61"/>
      <c r="M67" s="65"/>
      <c r="N67" s="61"/>
    </row>
    <row r="68" spans="1:14" ht="12.75">
      <c r="A68" s="55"/>
      <c r="C68" s="96"/>
      <c r="D68" s="61"/>
      <c r="E68" s="61"/>
      <c r="F68" s="61"/>
      <c r="G68" s="61"/>
      <c r="H68" s="61"/>
      <c r="I68" s="61"/>
      <c r="J68" s="61"/>
      <c r="K68" s="55"/>
      <c r="L68" s="61"/>
      <c r="M68" s="65"/>
      <c r="N68" s="61"/>
    </row>
    <row r="69" spans="1:14" ht="12.75">
      <c r="A69" s="55"/>
      <c r="C69" s="96"/>
      <c r="D69" s="61"/>
      <c r="E69" s="61"/>
      <c r="F69" s="61"/>
      <c r="G69" s="61"/>
      <c r="H69" s="61"/>
      <c r="I69" s="61"/>
      <c r="J69" s="61"/>
      <c r="K69" s="55"/>
      <c r="L69" s="61"/>
      <c r="M69" s="65"/>
      <c r="N69" s="61"/>
    </row>
    <row r="70" spans="1:14" ht="12.75">
      <c r="A70" s="55"/>
      <c r="B70" s="49"/>
      <c r="C70" s="97"/>
      <c r="D70" s="61"/>
      <c r="E70" s="61"/>
      <c r="F70" s="61"/>
      <c r="G70" s="61"/>
      <c r="H70" s="61"/>
      <c r="I70" s="61"/>
      <c r="J70" s="61"/>
      <c r="K70" s="55"/>
      <c r="L70" s="61"/>
      <c r="M70" s="69"/>
      <c r="N70" s="61"/>
    </row>
    <row r="71" spans="1:14" ht="12.75">
      <c r="A71" s="55"/>
      <c r="B71" s="49"/>
      <c r="C71" s="97"/>
      <c r="D71" s="61"/>
      <c r="E71" s="61"/>
      <c r="F71" s="61"/>
      <c r="G71" s="61"/>
      <c r="H71" s="61"/>
      <c r="I71" s="61"/>
      <c r="J71" s="61"/>
      <c r="K71" s="55"/>
      <c r="L71" s="61"/>
      <c r="M71" s="65"/>
      <c r="N71" s="61"/>
    </row>
    <row r="72" spans="1:14" ht="12.75">
      <c r="A72" s="55"/>
      <c r="B72" s="49"/>
      <c r="C72" s="97"/>
      <c r="D72" s="61"/>
      <c r="E72" s="61"/>
      <c r="F72" s="61"/>
      <c r="G72" s="61"/>
      <c r="H72" s="61"/>
      <c r="I72" s="61"/>
      <c r="J72" s="61"/>
      <c r="K72" s="55"/>
      <c r="L72" s="61"/>
      <c r="M72" s="65"/>
      <c r="N72" s="61"/>
    </row>
    <row r="73" spans="1:14" ht="12.75">
      <c r="A73" s="55"/>
      <c r="B73" s="49"/>
      <c r="C73" s="97"/>
      <c r="D73" s="61"/>
      <c r="E73" s="61"/>
      <c r="F73" s="61"/>
      <c r="G73" s="61"/>
      <c r="H73" s="61"/>
      <c r="I73" s="61"/>
      <c r="J73" s="61"/>
      <c r="K73" s="55"/>
      <c r="L73" s="61"/>
      <c r="M73" s="65"/>
      <c r="N73" s="61"/>
    </row>
    <row r="74" spans="1:14" ht="12.75">
      <c r="A74" s="55"/>
      <c r="B74" s="82"/>
      <c r="C74" s="100"/>
      <c r="D74" s="61"/>
      <c r="E74" s="61"/>
      <c r="F74" s="61"/>
      <c r="G74" s="61"/>
      <c r="H74" s="61"/>
      <c r="I74" s="61"/>
      <c r="J74" s="61"/>
      <c r="K74" s="55"/>
      <c r="L74" s="61"/>
      <c r="M74" s="65"/>
      <c r="N74" s="61"/>
    </row>
    <row r="75" spans="1:14" ht="12.75">
      <c r="A75" s="55"/>
      <c r="B75" s="49"/>
      <c r="C75" s="101"/>
      <c r="D75" s="65"/>
      <c r="E75" s="65"/>
      <c r="F75" s="65"/>
      <c r="G75" s="65"/>
      <c r="H75" s="65"/>
      <c r="I75" s="65"/>
      <c r="J75" s="65"/>
      <c r="K75" s="55"/>
      <c r="L75" s="65"/>
      <c r="M75" s="65"/>
      <c r="N75" s="65"/>
    </row>
    <row r="76" spans="1:14" ht="12.75">
      <c r="A76" s="55"/>
      <c r="C76" s="96"/>
      <c r="D76"/>
      <c r="E76"/>
      <c r="F76"/>
      <c r="G76"/>
      <c r="H76"/>
      <c r="I76"/>
      <c r="J76"/>
      <c r="K76" s="29"/>
      <c r="L76"/>
      <c r="N76"/>
    </row>
    <row r="77" spans="3:14" ht="12.75">
      <c r="C77" s="96"/>
      <c r="D77"/>
      <c r="E77"/>
      <c r="F77"/>
      <c r="G77"/>
      <c r="H77"/>
      <c r="I77"/>
      <c r="J77"/>
      <c r="K77" s="29"/>
      <c r="L77"/>
      <c r="N77"/>
    </row>
  </sheetData>
  <mergeCells count="1">
    <mergeCell ref="A1:D1"/>
  </mergeCells>
  <printOptions/>
  <pageMargins left="0.75" right="0.75" top="1" bottom="1" header="0.5" footer="0.5"/>
  <pageSetup horizontalDpi="600" verticalDpi="600" orientation="portrait" r:id="rId3"/>
  <headerFooter alignWithMargins="0">
    <oddFooter>&amp;L&amp;F&amp;C&amp;D&amp;R&amp;A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Allegro Microsystems Europe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Tod</dc:creator>
  <cp:keywords/>
  <dc:description/>
  <cp:lastModifiedBy>kbuma</cp:lastModifiedBy>
  <cp:lastPrinted>2008-08-15T16:40:43Z</cp:lastPrinted>
  <dcterms:created xsi:type="dcterms:W3CDTF">2005-06-10T12:53:06Z</dcterms:created>
  <dcterms:modified xsi:type="dcterms:W3CDTF">2009-08-05T18:57:11Z</dcterms:modified>
  <cp:category/>
  <cp:version/>
  <cp:contentType/>
  <cp:contentStatus/>
</cp:coreProperties>
</file>