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icher\Documents\A4411\Excel Design Tools\"/>
    </mc:Choice>
  </mc:AlternateContent>
  <bookViews>
    <workbookView xWindow="72" yWindow="0" windowWidth="17340" windowHeight="12432"/>
  </bookViews>
  <sheets>
    <sheet name="Pdiss &amp; Compensation" sheetId="1" r:id="rId1"/>
    <sheet name="Control Loop1" sheetId="3" r:id="rId2"/>
    <sheet name="Control Loop2" sheetId="4" r:id="rId3"/>
    <sheet name="Diode Curve" sheetId="2" r:id="rId4"/>
  </sheets>
  <definedNames>
    <definedName name="Adj_buck_hi_rdsON_150">'Pdiss &amp; Compensation'!$V$181</definedName>
    <definedName name="Adj_buck_lo_rdsON_150">'Pdiss &amp; Compensation'!$V$182</definedName>
    <definedName name="AVOL_adj">'Control Loop2'!$F$6</definedName>
    <definedName name="b_">'Pdiss &amp; Compensation'!$N$179</definedName>
    <definedName name="Buck_RdsON_factor_5V">'Pdiss &amp; Compensation'!$U$165</definedName>
    <definedName name="Buck_RdsON_factor_6V">'Pdiss &amp; Compensation'!$U$166</definedName>
    <definedName name="Buck_RdsON_factor_7V">'Pdiss &amp; Compensation'!$U$167</definedName>
    <definedName name="Co">'Pdiss &amp; Compensation'!$C$55</definedName>
    <definedName name="Co_2">'Pdiss &amp; Compensation'!$C$121</definedName>
    <definedName name="Co_tot">'Pdiss &amp; Compensation'!$X$171</definedName>
    <definedName name="Cp">'Pdiss &amp; Compensation'!$C$99</definedName>
    <definedName name="Cp_adj">'Pdiss &amp; Compensation'!$C$138</definedName>
    <definedName name="Cp_Cstray">'Control Loop1'!$C$9</definedName>
    <definedName name="Cp_Cstray_adj">'Control Loop2'!$C$9</definedName>
    <definedName name="Cstray">'Control Loop1'!$C$7</definedName>
    <definedName name="Cstray_adj">'Control Loop2'!$C$7</definedName>
    <definedName name="Cz">'Pdiss &amp; Compensation'!$C$98</definedName>
    <definedName name="Cz_2">'Control Loop1'!$F$2</definedName>
    <definedName name="Cz_2_adj">'Control Loop2'!$F$2</definedName>
    <definedName name="Cz_adj">'Pdiss &amp; Compensation'!$C$137</definedName>
    <definedName name="D_boost_min">'Pdiss &amp; Compensation'!$G$14</definedName>
    <definedName name="D_max_IC">'Pdiss &amp; Compensation'!$S$163</definedName>
    <definedName name="dcr">'Pdiss &amp; Compensation'!$C$44</definedName>
    <definedName name="dcr_2">'Pdiss &amp; Compensation'!$C$110</definedName>
    <definedName name="ESR">'Pdiss &amp; Compensation'!$C$56</definedName>
    <definedName name="ESR_2">'Pdiss &amp; Compensation'!$C$122</definedName>
    <definedName name="FB_Gain1">'Control Loop1'!$F$10</definedName>
    <definedName name="FB_Gain2">'Control Loop2'!$F$10</definedName>
    <definedName name="fc">'Pdiss &amp; Compensation'!$C$88</definedName>
    <definedName name="fc_2">'Pdiss &amp; Compensation'!$C$127</definedName>
    <definedName name="fp_1">'Pdiss &amp; Compensation'!$C$90</definedName>
    <definedName name="fp_1_2">'Pdiss &amp; Compensation'!$C$129</definedName>
    <definedName name="fp_2">'Pdiss &amp; Compensation'!$C$92</definedName>
    <definedName name="fp_2_2">'Pdiss &amp; Compensation'!$C$131</definedName>
    <definedName name="fsw">'Pdiss &amp; Compensation'!$C$11</definedName>
    <definedName name="fz_1">'Pdiss &amp; Compensation'!$C$91</definedName>
    <definedName name="fz_1_2">'Pdiss &amp; Compensation'!$C$130</definedName>
    <definedName name="Gain1_at_fco">'Control Loop1'!$E$135</definedName>
    <definedName name="Gain2_at_fco">'Control Loop2'!$E$135</definedName>
    <definedName name="gm_EA1">'Control Loop1'!$F$7</definedName>
    <definedName name="gm_EA2">'Control Loop2'!$F$7</definedName>
    <definedName name="gm_POWER1">'Control Loop1'!$F$14</definedName>
    <definedName name="gm_POWER2">'Control Loop2'!$F$14</definedName>
    <definedName name="gmc">'Control Loop1'!$F$6</definedName>
    <definedName name="I_reg_ext">'Pdiss &amp; Compensation'!$C$17</definedName>
    <definedName name="I_step">'Pdiss &amp; Compensation'!$C$49</definedName>
    <definedName name="I_step2">'Pdiss &amp; Compensation'!$C$115</definedName>
    <definedName name="I_Vd1">'Diode Curve'!$F$58</definedName>
    <definedName name="I_Vd1_boost">'Diode Curve'!$J$58</definedName>
    <definedName name="I_Vd3">'Diode Curve'!$F$68</definedName>
    <definedName name="I_Vd3_boost">'Diode Curve'!$J$68</definedName>
    <definedName name="I_VREG_total">'Pdiss &amp; Compensation'!$B$25</definedName>
    <definedName name="Icc">'Pdiss &amp; Compensation'!$Q$177</definedName>
    <definedName name="Iout_3V3">'Pdiss &amp; Compensation'!$C$19</definedName>
    <definedName name="Iout_PreReg">'Pdiss &amp; Compensation'!$C$27</definedName>
    <definedName name="Iout_sync_buck">'Pdiss &amp; Compensation'!$C$18</definedName>
    <definedName name="Iout_V5A">'Pdiss &amp; Compensation'!$C$20</definedName>
    <definedName name="Iout_V5B">'Pdiss &amp; Compensation'!$C$23</definedName>
    <definedName name="Iout_V5CAN">'Pdiss &amp; Compensation'!$C$24</definedName>
    <definedName name="Iout_V5P">'Pdiss &amp; Compensation'!$C$25</definedName>
    <definedName name="K">'Control Loop1'!$F$15</definedName>
    <definedName name="K_adj">'Control Loop2'!$F$15</definedName>
    <definedName name="k_ripple">'Pdiss &amp; Compensation'!$C$38</definedName>
    <definedName name="k_ripple2">'Pdiss &amp; Compensation'!$C$104</definedName>
    <definedName name="L_buck">'Pdiss &amp; Compensation'!$C$43</definedName>
    <definedName name="L_buck2">'Pdiss &amp; Compensation'!$C$109</definedName>
    <definedName name="Lout">'Control Loop1'!$F$1</definedName>
    <definedName name="m_">'Pdiss &amp; Compensation'!$M$179</definedName>
    <definedName name="m_c">'Control Loop1'!$F$16</definedName>
    <definedName name="mc_adj">'Control Loop2'!$F$16</definedName>
    <definedName name="Number_Cout">'Pdiss &amp; Compensation'!$C$57</definedName>
    <definedName name="Number_Cout2">'Pdiss &amp; Compensation'!$C$123</definedName>
    <definedName name="P_5V0_LDO">'Pdiss &amp; Compensation'!$U$176</definedName>
    <definedName name="P_R_drop">'Pdiss &amp; Compensation'!#REF!</definedName>
    <definedName name="P_V5_LDO">'Pdiss &amp; Compensation'!$U$177</definedName>
    <definedName name="Pdiss_total">'Pdiss &amp; Compensation'!$C$30</definedName>
    <definedName name="Qp">'Control Loop1'!$F$20</definedName>
    <definedName name="Qp_adj">'Control Loop2'!$F$20</definedName>
    <definedName name="R_drop">'Pdiss &amp; Compensation'!#REF!</definedName>
    <definedName name="R_ds_ON_boost">'Pdiss &amp; Compensation'!$C$61</definedName>
    <definedName name="R_load">'Pdiss &amp; Compensation'!$C$89</definedName>
    <definedName name="R_load2">'Pdiss &amp; Compensation'!$C$128</definedName>
    <definedName name="RCC">'Control Loop1'!$B$13</definedName>
    <definedName name="RCRC">'Control Loop1'!$B$15</definedName>
    <definedName name="Rds_ON_150">'Pdiss &amp; Compensation'!$T$165</definedName>
    <definedName name="Rds_ON_150_6V">'Pdiss &amp; Compensation'!$T$166</definedName>
    <definedName name="Rds_ON_150_7V">'Pdiss &amp; Compensation'!$T$167</definedName>
    <definedName name="Rds_ON_25">'Pdiss &amp; Compensation'!$Q$178</definedName>
    <definedName name="Rds_ON_3V3_150">'Pdiss &amp; Compensation'!$V$176</definedName>
    <definedName name="Rds_ON_3V3_min40">'Pdiss &amp; Compensation'!$W$176</definedName>
    <definedName name="Rds_on_coeff_150">'Pdiss &amp; Compensation'!$Q$179</definedName>
    <definedName name="Rds_ON_min40">'Pdiss &amp; Compensation'!$S$165</definedName>
    <definedName name="Rds_ON_min40_6V">'Pdiss &amp; Compensation'!$S$166</definedName>
    <definedName name="Rds_ON_min40_7V">'Pdiss &amp; Compensation'!$S$167</definedName>
    <definedName name="Rds_ON_V5A_150">'Pdiss &amp; Compensation'!$V$177</definedName>
    <definedName name="Rds_ON_V5A_min40">'Pdiss &amp; Compensation'!$W$177</definedName>
    <definedName name="Rds_ON_V5B_150">'Pdiss &amp; Compensation'!$V$178</definedName>
    <definedName name="Rds_ON_V5B_min40">'Pdiss &amp; Compensation'!$W$178</definedName>
    <definedName name="Rds_ON_V5CAN_150">'Pdiss &amp; Compensation'!$V$179</definedName>
    <definedName name="Rds_ON_V5CAN_min40">'Pdiss &amp; Compensation'!$W$179</definedName>
    <definedName name="Rds_ON_V5P_150">'Pdiss &amp; Compensation'!$V$180</definedName>
    <definedName name="Rds_ON_V5P_min40">'Pdiss &amp; Compensation'!$W$180</definedName>
    <definedName name="Reset">'Pdiss &amp; Compensation'!$H$1</definedName>
    <definedName name="RFB_1">'Control Loop1'!$F$8</definedName>
    <definedName name="RFB_2">'Control Loop1'!$F$9</definedName>
    <definedName name="RFB1_adj">'Pdiss &amp; Compensation'!$C$21</definedName>
    <definedName name="RFB2_adj">'Pdiss &amp; Compensation'!$C$22</definedName>
    <definedName name="Ri">'Control Loop1'!$F$13</definedName>
    <definedName name="Ri_adj">'Control Loop2'!$F$13</definedName>
    <definedName name="Ro_adj">'Control Loop2'!$C$6</definedName>
    <definedName name="Ro_EA">'Control Loop1'!$C$6</definedName>
    <definedName name="Rth_ja">'Pdiss &amp; Compensation'!$C$26</definedName>
    <definedName name="RTHavg_Vd">'Diode Curve'!$F$70</definedName>
    <definedName name="RTHavg_Vd_boost">'Diode Curve'!$J$70</definedName>
    <definedName name="Rthj_a_boost_FET">'Pdiss &amp; Compensation'!$C$62</definedName>
    <definedName name="Rz">'Pdiss &amp; Compensation'!$C$94</definedName>
    <definedName name="Rz_2">'Control Loop1'!$F$3</definedName>
    <definedName name="Rz_2_adj">'Control Loop2'!$F$3</definedName>
    <definedName name="Rz_adj">'Pdiss &amp; Compensation'!$C$133</definedName>
    <definedName name="rz_cal">'Pdiss &amp; Compensation'!$C$93</definedName>
    <definedName name="Se">'Control Loop1'!$F$17</definedName>
    <definedName name="Se_adj">'Control Loop2'!$F$17</definedName>
    <definedName name="SLEW_rate">'Pdiss &amp; Compensation'!$X$163</definedName>
    <definedName name="Sn">'Control Loop1'!$F$18</definedName>
    <definedName name="Sn_adj">'Control Loop2'!$F$18</definedName>
    <definedName name="t_fall_boost">'Pdiss &amp; Compensation'!$C$64</definedName>
    <definedName name="t_off_min">'Pdiss &amp; Compensation'!$S$162</definedName>
    <definedName name="t_on_min_Boost">'Pdiss &amp; Compensation'!$G$12</definedName>
    <definedName name="t_rise_boost">'Pdiss &amp; Compensation'!$C$63</definedName>
    <definedName name="Ta">'Pdiss &amp; Compensation'!$C$13</definedName>
    <definedName name="td">'Pdiss &amp; Compensation'!$M$181</definedName>
    <definedName name="Tj">'Pdiss &amp; Compensation'!$C$31</definedName>
    <definedName name="Topology">'Pdiss &amp; Compensation'!$C$4</definedName>
    <definedName name="Topology1">'Pdiss &amp; Compensation'!$G$3</definedName>
    <definedName name="Topology2">'Pdiss &amp; Compensation'!$G$88</definedName>
    <definedName name="Type">'Control Loop1'!$B$1</definedName>
    <definedName name="Use_drop_R">'Pdiss &amp; Compensation'!#REF!</definedName>
    <definedName name="V_AbsMax">'Pdiss &amp; Compensation'!$C$10</definedName>
    <definedName name="V_transient">'Pdiss &amp; Compensation'!$C$50</definedName>
    <definedName name="V_transient2">'Pdiss &amp; Compensation'!$C$116</definedName>
    <definedName name="Vd_1">'Diode Curve'!$G$58</definedName>
    <definedName name="Vd_1_boost">'Diode Curve'!$K$58</definedName>
    <definedName name="Vd_3">'Diode Curve'!$G$68</definedName>
    <definedName name="Vd_3_boost">'Diode Curve'!$K$68</definedName>
    <definedName name="vd_boost_temp_coeff">'Diode Curve'!$J$69</definedName>
    <definedName name="vd_temp_coeff">'Diode Curve'!$F$69</definedName>
    <definedName name="Vdrop">'Pdiss &amp; Compensation'!#REF!</definedName>
    <definedName name="VFB">'Control Loop1'!$F$11</definedName>
    <definedName name="VFB_adj">'Control Loop2'!$F$11</definedName>
    <definedName name="Vin_max">'Pdiss &amp; Compensation'!$C$9</definedName>
    <definedName name="Vin_min">'Pdiss &amp; Compensation'!$C$7</definedName>
    <definedName name="Vin_min_Buck">'Pdiss &amp; Compensation'!$C$8</definedName>
    <definedName name="Vin_min_transient">'Pdiss &amp; Compensation'!$C$51</definedName>
    <definedName name="Vin_min_transient2">'Pdiss &amp; Compensation'!$C$117</definedName>
    <definedName name="Vin_nom">'Pdiss &amp; Compensation'!$C$6</definedName>
    <definedName name="Vout_5V0">'Pdiss &amp; Compensation'!$T$176</definedName>
    <definedName name="Vout_sync_buck">'Pdiss &amp; Compensation'!$C$16</definedName>
    <definedName name="Vout_V5">'Pdiss &amp; Compensation'!$T$177</definedName>
    <definedName name="Vreg">'Pdiss &amp; Compensation'!$C$15</definedName>
    <definedName name="w_n">'Control Loop1'!$J$8</definedName>
    <definedName name="wn">'Control Loop1'!$F$19</definedName>
    <definedName name="wn_adj">'Control Loop2'!$F$19</definedName>
    <definedName name="wp">'Control Loop1'!$F$23</definedName>
    <definedName name="wp_adj">'Control Loop2'!$F$23</definedName>
    <definedName name="wz">'Control Loop1'!$F$24</definedName>
    <definedName name="wz_adj">'Control Loop2'!$F$24</definedName>
  </definedNames>
  <calcPr calcId="152511" iterate="1"/>
</workbook>
</file>

<file path=xl/calcChain.xml><?xml version="1.0" encoding="utf-8"?>
<calcChain xmlns="http://schemas.openxmlformats.org/spreadsheetml/2006/main">
  <c r="C136" i="1" l="1"/>
  <c r="C97" i="1"/>
  <c r="C12" i="1" l="1"/>
  <c r="C21" i="1" l="1"/>
  <c r="C126" i="1"/>
  <c r="C132" i="1"/>
  <c r="F17" i="4" l="1"/>
  <c r="F17" i="3"/>
  <c r="C87" i="1"/>
  <c r="I34" i="3"/>
  <c r="C27" i="1" l="1"/>
  <c r="O35" i="3" l="1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34" i="3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34" i="4"/>
  <c r="F6" i="3"/>
  <c r="F6" i="4"/>
  <c r="AA34" i="4" l="1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B33" i="4"/>
  <c r="AA33" i="4"/>
  <c r="F10" i="4" l="1"/>
  <c r="J130" i="1" l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I130" i="1"/>
  <c r="C83" i="1"/>
  <c r="C69" i="1"/>
  <c r="C136" i="3" l="1"/>
  <c r="B135" i="3"/>
  <c r="O135" i="3" s="1"/>
  <c r="C141" i="4"/>
  <c r="C140" i="4"/>
  <c r="B138" i="4"/>
  <c r="O138" i="4" s="1"/>
  <c r="B136" i="4"/>
  <c r="B134" i="4"/>
  <c r="B135" i="4"/>
  <c r="O135" i="4" s="1"/>
  <c r="I135" i="4" l="1"/>
  <c r="I135" i="3"/>
  <c r="I138" i="4"/>
  <c r="I35" i="4" l="1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34" i="4"/>
  <c r="F24" i="4"/>
  <c r="C130" i="1" s="1"/>
  <c r="F18" i="4"/>
  <c r="F16" i="4" s="1"/>
  <c r="F13" i="4"/>
  <c r="C4" i="4"/>
  <c r="C9" i="4" s="1"/>
  <c r="C3" i="4"/>
  <c r="C2" i="4"/>
  <c r="C3" i="3"/>
  <c r="C4" i="3"/>
  <c r="F19" i="4"/>
  <c r="C128" i="1"/>
  <c r="Y171" i="1"/>
  <c r="X171" i="1"/>
  <c r="C93" i="1" s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C131" i="1" l="1"/>
  <c r="N38" i="4"/>
  <c r="N42" i="4"/>
  <c r="N46" i="4"/>
  <c r="N50" i="4"/>
  <c r="N54" i="4"/>
  <c r="N58" i="4"/>
  <c r="N62" i="4"/>
  <c r="N66" i="4"/>
  <c r="N70" i="4"/>
  <c r="N74" i="4"/>
  <c r="N78" i="4"/>
  <c r="N82" i="4"/>
  <c r="N86" i="4"/>
  <c r="N90" i="4"/>
  <c r="N94" i="4"/>
  <c r="N98" i="4"/>
  <c r="N102" i="4"/>
  <c r="N106" i="4"/>
  <c r="N110" i="4"/>
  <c r="N114" i="4"/>
  <c r="N118" i="4"/>
  <c r="N122" i="4"/>
  <c r="N126" i="4"/>
  <c r="N130" i="4"/>
  <c r="N135" i="4"/>
  <c r="N36" i="4"/>
  <c r="N48" i="4"/>
  <c r="N60" i="4"/>
  <c r="N68" i="4"/>
  <c r="N84" i="4"/>
  <c r="N96" i="4"/>
  <c r="N108" i="4"/>
  <c r="N120" i="4"/>
  <c r="N34" i="4"/>
  <c r="N41" i="4"/>
  <c r="N53" i="4"/>
  <c r="N65" i="4"/>
  <c r="N81" i="4"/>
  <c r="N97" i="4"/>
  <c r="N113" i="4"/>
  <c r="N125" i="4"/>
  <c r="N40" i="4"/>
  <c r="N56" i="4"/>
  <c r="N72" i="4"/>
  <c r="N88" i="4"/>
  <c r="N100" i="4"/>
  <c r="N116" i="4"/>
  <c r="N128" i="4"/>
  <c r="N37" i="4"/>
  <c r="N57" i="4"/>
  <c r="N73" i="4"/>
  <c r="N85" i="4"/>
  <c r="N101" i="4"/>
  <c r="N121" i="4"/>
  <c r="N35" i="4"/>
  <c r="N39" i="4"/>
  <c r="N43" i="4"/>
  <c r="N47" i="4"/>
  <c r="N51" i="4"/>
  <c r="N55" i="4"/>
  <c r="N59" i="4"/>
  <c r="N63" i="4"/>
  <c r="N67" i="4"/>
  <c r="N71" i="4"/>
  <c r="N75" i="4"/>
  <c r="N79" i="4"/>
  <c r="N83" i="4"/>
  <c r="N87" i="4"/>
  <c r="N91" i="4"/>
  <c r="N95" i="4"/>
  <c r="N99" i="4"/>
  <c r="N103" i="4"/>
  <c r="N107" i="4"/>
  <c r="N111" i="4"/>
  <c r="N115" i="4"/>
  <c r="N119" i="4"/>
  <c r="N123" i="4"/>
  <c r="N127" i="4"/>
  <c r="N131" i="4"/>
  <c r="N138" i="4"/>
  <c r="N44" i="4"/>
  <c r="N52" i="4"/>
  <c r="N64" i="4"/>
  <c r="N76" i="4"/>
  <c r="N92" i="4"/>
  <c r="N104" i="4"/>
  <c r="N112" i="4"/>
  <c r="N124" i="4"/>
  <c r="N45" i="4"/>
  <c r="N61" i="4"/>
  <c r="N77" i="4"/>
  <c r="N89" i="4"/>
  <c r="N105" i="4"/>
  <c r="N117" i="4"/>
  <c r="N80" i="4"/>
  <c r="N132" i="4"/>
  <c r="N49" i="4"/>
  <c r="N69" i="4"/>
  <c r="N93" i="4"/>
  <c r="N109" i="4"/>
  <c r="N129" i="4"/>
  <c r="N133" i="4"/>
  <c r="J135" i="4"/>
  <c r="K135" i="4" s="1"/>
  <c r="J138" i="4"/>
  <c r="K138" i="4" s="1"/>
  <c r="L75" i="4"/>
  <c r="F15" i="4"/>
  <c r="F20" i="4"/>
  <c r="F23" i="4"/>
  <c r="C129" i="1" s="1"/>
  <c r="C134" i="1" s="1"/>
  <c r="L103" i="4"/>
  <c r="J43" i="4"/>
  <c r="K43" i="4" s="1"/>
  <c r="J47" i="4"/>
  <c r="K47" i="4" s="1"/>
  <c r="J50" i="4"/>
  <c r="K50" i="4" s="1"/>
  <c r="J57" i="4"/>
  <c r="K57" i="4" s="1"/>
  <c r="J61" i="4"/>
  <c r="K61" i="4" s="1"/>
  <c r="J68" i="4"/>
  <c r="K68" i="4" s="1"/>
  <c r="J72" i="4"/>
  <c r="K72" i="4" s="1"/>
  <c r="J83" i="4"/>
  <c r="K83" i="4" s="1"/>
  <c r="J87" i="4"/>
  <c r="K87" i="4" s="1"/>
  <c r="J91" i="4"/>
  <c r="K91" i="4" s="1"/>
  <c r="J95" i="4"/>
  <c r="K95" i="4" s="1"/>
  <c r="J102" i="4"/>
  <c r="K102" i="4" s="1"/>
  <c r="J113" i="4"/>
  <c r="K113" i="4" s="1"/>
  <c r="J128" i="4"/>
  <c r="K128" i="4" s="1"/>
  <c r="J99" i="4"/>
  <c r="K99" i="4" s="1"/>
  <c r="J117" i="4"/>
  <c r="K117" i="4" s="1"/>
  <c r="J121" i="4"/>
  <c r="K121" i="4" s="1"/>
  <c r="J125" i="4"/>
  <c r="K125" i="4" s="1"/>
  <c r="J115" i="4"/>
  <c r="K115" i="4" s="1"/>
  <c r="J42" i="4"/>
  <c r="K42" i="4" s="1"/>
  <c r="J86" i="4"/>
  <c r="K86" i="4" s="1"/>
  <c r="J94" i="4"/>
  <c r="K94" i="4" s="1"/>
  <c r="J101" i="4"/>
  <c r="K101" i="4" s="1"/>
  <c r="J112" i="4"/>
  <c r="K112" i="4" s="1"/>
  <c r="J116" i="4"/>
  <c r="K116" i="4" s="1"/>
  <c r="J39" i="4"/>
  <c r="K39" i="4" s="1"/>
  <c r="J53" i="4"/>
  <c r="K53" i="4" s="1"/>
  <c r="J79" i="4"/>
  <c r="K79" i="4" s="1"/>
  <c r="J36" i="4"/>
  <c r="K36" i="4" s="1"/>
  <c r="J40" i="4"/>
  <c r="K40" i="4" s="1"/>
  <c r="J54" i="4"/>
  <c r="K54" i="4" s="1"/>
  <c r="J65" i="4"/>
  <c r="K65" i="4" s="1"/>
  <c r="J76" i="4"/>
  <c r="K76" i="4" s="1"/>
  <c r="J80" i="4"/>
  <c r="K80" i="4" s="1"/>
  <c r="J106" i="4"/>
  <c r="K106" i="4" s="1"/>
  <c r="J110" i="4"/>
  <c r="K110" i="4" s="1"/>
  <c r="J132" i="4"/>
  <c r="K132" i="4" s="1"/>
  <c r="J34" i="4"/>
  <c r="K34" i="4" s="1"/>
  <c r="J49" i="4"/>
  <c r="K49" i="4" s="1"/>
  <c r="J108" i="4"/>
  <c r="K108" i="4" s="1"/>
  <c r="J60" i="4"/>
  <c r="K60" i="4" s="1"/>
  <c r="J71" i="4"/>
  <c r="K71" i="4" s="1"/>
  <c r="J44" i="4"/>
  <c r="K44" i="4" s="1"/>
  <c r="J48" i="4"/>
  <c r="K48" i="4" s="1"/>
  <c r="J51" i="4"/>
  <c r="K51" i="4" s="1"/>
  <c r="J58" i="4"/>
  <c r="K58" i="4" s="1"/>
  <c r="J62" i="4"/>
  <c r="K62" i="4" s="1"/>
  <c r="J69" i="4"/>
  <c r="K69" i="4" s="1"/>
  <c r="J84" i="4"/>
  <c r="K84" i="4" s="1"/>
  <c r="J88" i="4"/>
  <c r="K88" i="4" s="1"/>
  <c r="J92" i="4"/>
  <c r="K92" i="4" s="1"/>
  <c r="J96" i="4"/>
  <c r="K96" i="4" s="1"/>
  <c r="J103" i="4"/>
  <c r="K103" i="4" s="1"/>
  <c r="J114" i="4"/>
  <c r="K114" i="4" s="1"/>
  <c r="J70" i="4"/>
  <c r="K70" i="4" s="1"/>
  <c r="J81" i="4"/>
  <c r="K81" i="4" s="1"/>
  <c r="J85" i="4"/>
  <c r="K85" i="4" s="1"/>
  <c r="J89" i="4"/>
  <c r="K89" i="4" s="1"/>
  <c r="J93" i="4"/>
  <c r="K93" i="4" s="1"/>
  <c r="J97" i="4"/>
  <c r="K97" i="4" s="1"/>
  <c r="J104" i="4"/>
  <c r="K104" i="4" s="1"/>
  <c r="J78" i="4"/>
  <c r="K78" i="4" s="1"/>
  <c r="J127" i="4"/>
  <c r="K127" i="4" s="1"/>
  <c r="J82" i="4"/>
  <c r="K82" i="4" s="1"/>
  <c r="J90" i="4"/>
  <c r="K90" i="4" s="1"/>
  <c r="J64" i="4"/>
  <c r="K64" i="4" s="1"/>
  <c r="J75" i="4"/>
  <c r="K75" i="4" s="1"/>
  <c r="J98" i="4"/>
  <c r="K98" i="4" s="1"/>
  <c r="J105" i="4"/>
  <c r="K105" i="4" s="1"/>
  <c r="J109" i="4"/>
  <c r="K109" i="4" s="1"/>
  <c r="J37" i="4"/>
  <c r="K37" i="4" s="1"/>
  <c r="J55" i="4"/>
  <c r="K55" i="4" s="1"/>
  <c r="J73" i="4"/>
  <c r="K73" i="4" s="1"/>
  <c r="J77" i="4"/>
  <c r="K77" i="4" s="1"/>
  <c r="J100" i="4"/>
  <c r="K100" i="4" s="1"/>
  <c r="J107" i="4"/>
  <c r="K107" i="4" s="1"/>
  <c r="J111" i="4"/>
  <c r="K111" i="4" s="1"/>
  <c r="J118" i="4"/>
  <c r="K118" i="4" s="1"/>
  <c r="J122" i="4"/>
  <c r="K122" i="4" s="1"/>
  <c r="J126" i="4"/>
  <c r="K126" i="4" s="1"/>
  <c r="J129" i="4"/>
  <c r="K129" i="4" s="1"/>
  <c r="J41" i="4"/>
  <c r="K41" i="4" s="1"/>
  <c r="J45" i="4"/>
  <c r="K45" i="4" s="1"/>
  <c r="J52" i="4"/>
  <c r="K52" i="4" s="1"/>
  <c r="J59" i="4"/>
  <c r="K59" i="4" s="1"/>
  <c r="J63" i="4"/>
  <c r="K63" i="4" s="1"/>
  <c r="J66" i="4"/>
  <c r="K66" i="4" s="1"/>
  <c r="J133" i="4"/>
  <c r="K133" i="4" s="1"/>
  <c r="J38" i="4"/>
  <c r="K38" i="4" s="1"/>
  <c r="J56" i="4"/>
  <c r="K56" i="4" s="1"/>
  <c r="J74" i="4"/>
  <c r="K74" i="4" s="1"/>
  <c r="J119" i="4"/>
  <c r="K119" i="4" s="1"/>
  <c r="J123" i="4"/>
  <c r="K123" i="4" s="1"/>
  <c r="J130" i="4"/>
  <c r="K130" i="4" s="1"/>
  <c r="J46" i="4"/>
  <c r="K46" i="4" s="1"/>
  <c r="J67" i="4"/>
  <c r="K67" i="4" s="1"/>
  <c r="J35" i="4"/>
  <c r="K35" i="4" s="1"/>
  <c r="J120" i="4"/>
  <c r="K120" i="4" s="1"/>
  <c r="J124" i="4"/>
  <c r="K124" i="4" s="1"/>
  <c r="J131" i="4"/>
  <c r="K131" i="4" s="1"/>
  <c r="C105" i="1"/>
  <c r="I51" i="1"/>
  <c r="L99" i="4" l="1"/>
  <c r="M99" i="4" s="1"/>
  <c r="P93" i="4"/>
  <c r="P46" i="4"/>
  <c r="P138" i="4"/>
  <c r="P131" i="4"/>
  <c r="P95" i="4"/>
  <c r="P106" i="4"/>
  <c r="P73" i="4"/>
  <c r="P84" i="4"/>
  <c r="P114" i="4"/>
  <c r="P88" i="4"/>
  <c r="P59" i="4"/>
  <c r="P110" i="4"/>
  <c r="P90" i="4"/>
  <c r="P81" i="4"/>
  <c r="P82" i="4"/>
  <c r="P104" i="4"/>
  <c r="P40" i="4"/>
  <c r="P47" i="4"/>
  <c r="P92" i="4"/>
  <c r="P77" i="4"/>
  <c r="P103" i="4"/>
  <c r="P42" i="4"/>
  <c r="P71" i="4"/>
  <c r="P45" i="4"/>
  <c r="P41" i="4"/>
  <c r="P70" i="4"/>
  <c r="P62" i="4"/>
  <c r="P75" i="4"/>
  <c r="P76" i="4"/>
  <c r="P101" i="4"/>
  <c r="P37" i="4"/>
  <c r="P113" i="4"/>
  <c r="P89" i="4"/>
  <c r="P68" i="4"/>
  <c r="P111" i="4"/>
  <c r="P109" i="4"/>
  <c r="P105" i="4"/>
  <c r="P98" i="4"/>
  <c r="P83" i="4"/>
  <c r="P132" i="4"/>
  <c r="P61" i="4"/>
  <c r="P35" i="4"/>
  <c r="P127" i="4"/>
  <c r="P48" i="4"/>
  <c r="P120" i="4"/>
  <c r="P122" i="4"/>
  <c r="P58" i="4"/>
  <c r="P116" i="4"/>
  <c r="P49" i="4"/>
  <c r="P119" i="4"/>
  <c r="P72" i="4"/>
  <c r="P108" i="4"/>
  <c r="P124" i="4"/>
  <c r="P60" i="4"/>
  <c r="P39" i="4"/>
  <c r="P123" i="4"/>
  <c r="P80" i="4"/>
  <c r="P64" i="4"/>
  <c r="P67" i="4"/>
  <c r="P34" i="4"/>
  <c r="P86" i="4"/>
  <c r="P125" i="4"/>
  <c r="P52" i="4"/>
  <c r="P53" i="4"/>
  <c r="P63" i="4"/>
  <c r="P129" i="4"/>
  <c r="P54" i="4"/>
  <c r="P56" i="4"/>
  <c r="P102" i="4"/>
  <c r="P38" i="4"/>
  <c r="P107" i="4"/>
  <c r="P43" i="4"/>
  <c r="P133" i="4"/>
  <c r="P69" i="4"/>
  <c r="P99" i="4"/>
  <c r="P121" i="4"/>
  <c r="P57" i="4"/>
  <c r="P65" i="4"/>
  <c r="P85" i="4"/>
  <c r="P128" i="4"/>
  <c r="P55" i="4"/>
  <c r="P94" i="4"/>
  <c r="P74" i="4"/>
  <c r="P44" i="4"/>
  <c r="P78" i="4"/>
  <c r="P135" i="4"/>
  <c r="P118" i="4"/>
  <c r="P100" i="4"/>
  <c r="P50" i="4"/>
  <c r="P96" i="4"/>
  <c r="P126" i="4"/>
  <c r="P87" i="4"/>
  <c r="P117" i="4"/>
  <c r="P130" i="4"/>
  <c r="P66" i="4"/>
  <c r="P79" i="4"/>
  <c r="P115" i="4"/>
  <c r="P112" i="4"/>
  <c r="P91" i="4"/>
  <c r="P51" i="4"/>
  <c r="P97" i="4"/>
  <c r="P36" i="4"/>
  <c r="L84" i="4"/>
  <c r="M84" i="4" s="1"/>
  <c r="L118" i="4"/>
  <c r="M118" i="4" s="1"/>
  <c r="L138" i="4"/>
  <c r="M138" i="4" s="1"/>
  <c r="L128" i="4"/>
  <c r="M128" i="4" s="1"/>
  <c r="L76" i="4"/>
  <c r="M76" i="4" s="1"/>
  <c r="L50" i="4"/>
  <c r="M50" i="4" s="1"/>
  <c r="L37" i="4"/>
  <c r="M37" i="4" s="1"/>
  <c r="L129" i="4"/>
  <c r="M129" i="4" s="1"/>
  <c r="L40" i="4"/>
  <c r="M40" i="4" s="1"/>
  <c r="L58" i="4"/>
  <c r="M58" i="4" s="1"/>
  <c r="L46" i="4"/>
  <c r="M46" i="4" s="1"/>
  <c r="L130" i="4"/>
  <c r="M130" i="4" s="1"/>
  <c r="L88" i="4"/>
  <c r="M88" i="4" s="1"/>
  <c r="L54" i="4"/>
  <c r="M54" i="4" s="1"/>
  <c r="L133" i="4"/>
  <c r="M133" i="4" s="1"/>
  <c r="L117" i="4"/>
  <c r="M117" i="4" s="1"/>
  <c r="L110" i="4"/>
  <c r="M110" i="4" s="1"/>
  <c r="L55" i="4"/>
  <c r="M55" i="4" s="1"/>
  <c r="L79" i="4"/>
  <c r="M79" i="4" s="1"/>
  <c r="L62" i="4"/>
  <c r="M62" i="4" s="1"/>
  <c r="L126" i="4"/>
  <c r="M126" i="4" s="1"/>
  <c r="L92" i="4"/>
  <c r="M92" i="4" s="1"/>
  <c r="L66" i="4"/>
  <c r="M66" i="4" s="1"/>
  <c r="L122" i="4"/>
  <c r="M122" i="4" s="1"/>
  <c r="L81" i="4"/>
  <c r="M81" i="4" s="1"/>
  <c r="L56" i="4"/>
  <c r="M56" i="4" s="1"/>
  <c r="L61" i="4"/>
  <c r="M61" i="4" s="1"/>
  <c r="L97" i="4"/>
  <c r="M97" i="4" s="1"/>
  <c r="L105" i="4"/>
  <c r="M105" i="4" s="1"/>
  <c r="Q135" i="4"/>
  <c r="Q138" i="4"/>
  <c r="M103" i="4"/>
  <c r="L70" i="4"/>
  <c r="M70" i="4" s="1"/>
  <c r="L36" i="4"/>
  <c r="M36" i="4" s="1"/>
  <c r="L100" i="4"/>
  <c r="M100" i="4" s="1"/>
  <c r="L69" i="4"/>
  <c r="M69" i="4" s="1"/>
  <c r="L39" i="4"/>
  <c r="M39" i="4" s="1"/>
  <c r="L87" i="4"/>
  <c r="M87" i="4" s="1"/>
  <c r="L85" i="4"/>
  <c r="M85" i="4" s="1"/>
  <c r="L64" i="4"/>
  <c r="M64" i="4" s="1"/>
  <c r="L35" i="4"/>
  <c r="M35" i="4" s="1"/>
  <c r="L111" i="4"/>
  <c r="M111" i="4" s="1"/>
  <c r="L78" i="4"/>
  <c r="M78" i="4" s="1"/>
  <c r="L108" i="4"/>
  <c r="M108" i="4" s="1"/>
  <c r="L72" i="4"/>
  <c r="M72" i="4" s="1"/>
  <c r="L114" i="4"/>
  <c r="M114" i="4" s="1"/>
  <c r="L90" i="4"/>
  <c r="M90" i="4" s="1"/>
  <c r="L41" i="4"/>
  <c r="M41" i="4" s="1"/>
  <c r="L131" i="4"/>
  <c r="M131" i="4" s="1"/>
  <c r="M75" i="4"/>
  <c r="L86" i="4"/>
  <c r="M86" i="4" s="1"/>
  <c r="L52" i="4"/>
  <c r="M52" i="4" s="1"/>
  <c r="L116" i="4"/>
  <c r="M116" i="4" s="1"/>
  <c r="L98" i="4"/>
  <c r="M98" i="4" s="1"/>
  <c r="L123" i="4"/>
  <c r="M123" i="4" s="1"/>
  <c r="L113" i="4"/>
  <c r="M113" i="4" s="1"/>
  <c r="L120" i="4"/>
  <c r="M120" i="4" s="1"/>
  <c r="L93" i="4"/>
  <c r="M93" i="4" s="1"/>
  <c r="L47" i="4"/>
  <c r="M47" i="4" s="1"/>
  <c r="L53" i="4"/>
  <c r="M53" i="4" s="1"/>
  <c r="L44" i="4"/>
  <c r="M44" i="4" s="1"/>
  <c r="L65" i="4"/>
  <c r="M65" i="4" s="1"/>
  <c r="L94" i="4"/>
  <c r="M94" i="4" s="1"/>
  <c r="L60" i="4"/>
  <c r="M60" i="4" s="1"/>
  <c r="L124" i="4"/>
  <c r="M124" i="4" s="1"/>
  <c r="L101" i="4"/>
  <c r="M101" i="4" s="1"/>
  <c r="L43" i="4"/>
  <c r="M43" i="4" s="1"/>
  <c r="L119" i="4"/>
  <c r="M119" i="4" s="1"/>
  <c r="L59" i="4"/>
  <c r="M59" i="4" s="1"/>
  <c r="L96" i="4"/>
  <c r="M96" i="4" s="1"/>
  <c r="L67" i="4"/>
  <c r="M67" i="4" s="1"/>
  <c r="L82" i="4"/>
  <c r="M82" i="4" s="1"/>
  <c r="L107" i="4"/>
  <c r="M107" i="4" s="1"/>
  <c r="L102" i="4"/>
  <c r="M102" i="4" s="1"/>
  <c r="L68" i="4"/>
  <c r="M68" i="4" s="1"/>
  <c r="L132" i="4"/>
  <c r="M132" i="4" s="1"/>
  <c r="L104" i="4"/>
  <c r="M104" i="4" s="1"/>
  <c r="L49" i="4"/>
  <c r="M49" i="4" s="1"/>
  <c r="L34" i="4"/>
  <c r="M34" i="4" s="1"/>
  <c r="L71" i="4"/>
  <c r="M71" i="4" s="1"/>
  <c r="L125" i="4"/>
  <c r="M125" i="4" s="1"/>
  <c r="L73" i="4"/>
  <c r="M73" i="4" s="1"/>
  <c r="L91" i="4"/>
  <c r="M91" i="4" s="1"/>
  <c r="L38" i="4"/>
  <c r="M38" i="4" s="1"/>
  <c r="L135" i="4"/>
  <c r="M135" i="4" s="1"/>
  <c r="C135" i="4" s="1"/>
  <c r="L74" i="4"/>
  <c r="M74" i="4" s="1"/>
  <c r="L80" i="4"/>
  <c r="M80" i="4" s="1"/>
  <c r="L42" i="4"/>
  <c r="M42" i="4" s="1"/>
  <c r="L48" i="4"/>
  <c r="M48" i="4" s="1"/>
  <c r="L95" i="4"/>
  <c r="M95" i="4" s="1"/>
  <c r="L109" i="4"/>
  <c r="M109" i="4" s="1"/>
  <c r="L115" i="4"/>
  <c r="M115" i="4" s="1"/>
  <c r="L89" i="4"/>
  <c r="M89" i="4" s="1"/>
  <c r="L63" i="4"/>
  <c r="M63" i="4" s="1"/>
  <c r="L77" i="4"/>
  <c r="M77" i="4" s="1"/>
  <c r="L83" i="4"/>
  <c r="M83" i="4" s="1"/>
  <c r="L57" i="4"/>
  <c r="M57" i="4" s="1"/>
  <c r="L45" i="4"/>
  <c r="M45" i="4" s="1"/>
  <c r="L51" i="4"/>
  <c r="M51" i="4" s="1"/>
  <c r="L106" i="4"/>
  <c r="M106" i="4" s="1"/>
  <c r="L112" i="4"/>
  <c r="M112" i="4" s="1"/>
  <c r="L127" i="4"/>
  <c r="M127" i="4" s="1"/>
  <c r="L121" i="4"/>
  <c r="M121" i="4" s="1"/>
  <c r="Q35" i="4"/>
  <c r="Q43" i="4"/>
  <c r="Q51" i="4"/>
  <c r="Q59" i="4"/>
  <c r="Q67" i="4"/>
  <c r="Q75" i="4"/>
  <c r="Q83" i="4"/>
  <c r="Q91" i="4"/>
  <c r="Q99" i="4"/>
  <c r="Q107" i="4"/>
  <c r="Q115" i="4"/>
  <c r="Q123" i="4"/>
  <c r="Q131" i="4"/>
  <c r="Q63" i="4"/>
  <c r="Q48" i="4"/>
  <c r="Q72" i="4"/>
  <c r="Q96" i="4"/>
  <c r="Q112" i="4"/>
  <c r="Q105" i="4"/>
  <c r="Q36" i="4"/>
  <c r="Q44" i="4"/>
  <c r="Q52" i="4"/>
  <c r="Q60" i="4"/>
  <c r="Q68" i="4"/>
  <c r="Q76" i="4"/>
  <c r="Q84" i="4"/>
  <c r="Q92" i="4"/>
  <c r="Q100" i="4"/>
  <c r="Q108" i="4"/>
  <c r="Q116" i="4"/>
  <c r="Q124" i="4"/>
  <c r="Q132" i="4"/>
  <c r="Q47" i="4"/>
  <c r="Q71" i="4"/>
  <c r="Q79" i="4"/>
  <c r="Q95" i="4"/>
  <c r="Q103" i="4"/>
  <c r="Q119" i="4"/>
  <c r="Q56" i="4"/>
  <c r="Q49" i="4"/>
  <c r="Q73" i="4"/>
  <c r="Q89" i="4"/>
  <c r="Q37" i="4"/>
  <c r="Q45" i="4"/>
  <c r="Q53" i="4"/>
  <c r="Q61" i="4"/>
  <c r="Q69" i="4"/>
  <c r="Q77" i="4"/>
  <c r="Q85" i="4"/>
  <c r="Q93" i="4"/>
  <c r="Q101" i="4"/>
  <c r="Q109" i="4"/>
  <c r="Q117" i="4"/>
  <c r="Q125" i="4"/>
  <c r="Q133" i="4"/>
  <c r="Q55" i="4"/>
  <c r="Q88" i="4"/>
  <c r="Q120" i="4"/>
  <c r="Q38" i="4"/>
  <c r="Q46" i="4"/>
  <c r="Q54" i="4"/>
  <c r="Q62" i="4"/>
  <c r="Q70" i="4"/>
  <c r="Q78" i="4"/>
  <c r="Q86" i="4"/>
  <c r="Q94" i="4"/>
  <c r="Q102" i="4"/>
  <c r="Q110" i="4"/>
  <c r="Q118" i="4"/>
  <c r="Q126" i="4"/>
  <c r="Q39" i="4"/>
  <c r="Q87" i="4"/>
  <c r="Q111" i="4"/>
  <c r="Q127" i="4"/>
  <c r="Q40" i="4"/>
  <c r="Q64" i="4"/>
  <c r="Q80" i="4"/>
  <c r="Q104" i="4"/>
  <c r="Q128" i="4"/>
  <c r="Q41" i="4"/>
  <c r="Q65" i="4"/>
  <c r="Q81" i="4"/>
  <c r="Q97" i="4"/>
  <c r="Q57" i="4"/>
  <c r="Q113" i="4"/>
  <c r="Q58" i="4"/>
  <c r="Q114" i="4"/>
  <c r="Q66" i="4"/>
  <c r="Q121" i="4"/>
  <c r="Q129" i="4"/>
  <c r="Q130" i="4"/>
  <c r="Q98" i="4"/>
  <c r="Q50" i="4"/>
  <c r="Q34" i="4"/>
  <c r="Q90" i="4"/>
  <c r="Q74" i="4"/>
  <c r="Q122" i="4"/>
  <c r="Q82" i="4"/>
  <c r="Q42" i="4"/>
  <c r="Q106" i="4"/>
  <c r="C135" i="1"/>
  <c r="U169" i="1"/>
  <c r="U168" i="1"/>
  <c r="C138" i="4" l="1"/>
  <c r="D138" i="4"/>
  <c r="D135" i="4"/>
  <c r="C136" i="4" l="1"/>
  <c r="C134" i="4"/>
  <c r="F13" i="3"/>
  <c r="F24" i="3" l="1"/>
  <c r="C91" i="1" s="1"/>
  <c r="C2" i="3" l="1"/>
  <c r="I35" i="3" l="1"/>
  <c r="I70" i="3"/>
  <c r="I95" i="3"/>
  <c r="I119" i="3"/>
  <c r="I40" i="3"/>
  <c r="I48" i="3"/>
  <c r="I56" i="3"/>
  <c r="I64" i="3"/>
  <c r="I72" i="3"/>
  <c r="I80" i="3"/>
  <c r="I88" i="3"/>
  <c r="I96" i="3"/>
  <c r="I104" i="3"/>
  <c r="I112" i="3"/>
  <c r="I120" i="3"/>
  <c r="I128" i="3"/>
  <c r="I42" i="3"/>
  <c r="I58" i="3"/>
  <c r="I74" i="3"/>
  <c r="I90" i="3"/>
  <c r="I98" i="3"/>
  <c r="I122" i="3"/>
  <c r="I130" i="3"/>
  <c r="I51" i="3"/>
  <c r="I67" i="3"/>
  <c r="I83" i="3"/>
  <c r="I107" i="3"/>
  <c r="I115" i="3"/>
  <c r="I131" i="3"/>
  <c r="I44" i="3"/>
  <c r="I68" i="3"/>
  <c r="I84" i="3"/>
  <c r="I100" i="3"/>
  <c r="I108" i="3"/>
  <c r="I132" i="3"/>
  <c r="I45" i="3"/>
  <c r="I61" i="3"/>
  <c r="I77" i="3"/>
  <c r="I93" i="3"/>
  <c r="I109" i="3"/>
  <c r="I125" i="3"/>
  <c r="I38" i="3"/>
  <c r="I54" i="3"/>
  <c r="I78" i="3"/>
  <c r="I102" i="3"/>
  <c r="I118" i="3"/>
  <c r="I126" i="3"/>
  <c r="I39" i="3"/>
  <c r="I55" i="3"/>
  <c r="I71" i="3"/>
  <c r="I79" i="3"/>
  <c r="I103" i="3"/>
  <c r="I127" i="3"/>
  <c r="I41" i="3"/>
  <c r="I49" i="3"/>
  <c r="I57" i="3"/>
  <c r="I65" i="3"/>
  <c r="I73" i="3"/>
  <c r="I81" i="3"/>
  <c r="I89" i="3"/>
  <c r="I97" i="3"/>
  <c r="I105" i="3"/>
  <c r="I113" i="3"/>
  <c r="I121" i="3"/>
  <c r="I129" i="3"/>
  <c r="I50" i="3"/>
  <c r="I66" i="3"/>
  <c r="I82" i="3"/>
  <c r="I106" i="3"/>
  <c r="I114" i="3"/>
  <c r="I43" i="3"/>
  <c r="I59" i="3"/>
  <c r="I75" i="3"/>
  <c r="I91" i="3"/>
  <c r="I99" i="3"/>
  <c r="I123" i="3"/>
  <c r="I36" i="3"/>
  <c r="I52" i="3"/>
  <c r="I60" i="3"/>
  <c r="I76" i="3"/>
  <c r="I92" i="3"/>
  <c r="I116" i="3"/>
  <c r="I124" i="3"/>
  <c r="I37" i="3"/>
  <c r="I53" i="3"/>
  <c r="I69" i="3"/>
  <c r="I85" i="3"/>
  <c r="I101" i="3"/>
  <c r="I117" i="3"/>
  <c r="I133" i="3"/>
  <c r="I46" i="3"/>
  <c r="I62" i="3"/>
  <c r="I86" i="3"/>
  <c r="I94" i="3"/>
  <c r="I110" i="3"/>
  <c r="I47" i="3"/>
  <c r="I63" i="3"/>
  <c r="I87" i="3"/>
  <c r="I111" i="3"/>
  <c r="F19" i="3"/>
  <c r="F18" i="3"/>
  <c r="C9" i="3"/>
  <c r="J135" i="3" s="1"/>
  <c r="K135" i="3" s="1"/>
  <c r="J129" i="3" l="1"/>
  <c r="K129" i="3" s="1"/>
  <c r="F16" i="3"/>
  <c r="J68" i="3"/>
  <c r="K68" i="3" s="1"/>
  <c r="J46" i="3"/>
  <c r="K46" i="3" s="1"/>
  <c r="J39" i="3"/>
  <c r="K39" i="3" s="1"/>
  <c r="J50" i="3"/>
  <c r="K50" i="3" s="1"/>
  <c r="J73" i="3"/>
  <c r="K73" i="3" s="1"/>
  <c r="J87" i="3"/>
  <c r="K87" i="3" s="1"/>
  <c r="J101" i="3"/>
  <c r="K101" i="3" s="1"/>
  <c r="J81" i="3"/>
  <c r="K81" i="3" s="1"/>
  <c r="J95" i="3"/>
  <c r="K95" i="3" s="1"/>
  <c r="J41" i="3"/>
  <c r="K41" i="3" s="1"/>
  <c r="J69" i="3"/>
  <c r="K69" i="3" s="1"/>
  <c r="J52" i="3"/>
  <c r="K52" i="3" s="1"/>
  <c r="J62" i="3"/>
  <c r="K62" i="3" s="1"/>
  <c r="J71" i="3"/>
  <c r="K71" i="3" s="1"/>
  <c r="J89" i="3"/>
  <c r="K89" i="3" s="1"/>
  <c r="J121" i="3"/>
  <c r="K121" i="3" s="1"/>
  <c r="J56" i="3"/>
  <c r="K56" i="3" s="1"/>
  <c r="J44" i="3"/>
  <c r="K44" i="3" s="1"/>
  <c r="J40" i="3"/>
  <c r="K40" i="3" s="1"/>
  <c r="J34" i="3"/>
  <c r="K34" i="3" s="1"/>
  <c r="J49" i="3"/>
  <c r="K49" i="3" s="1"/>
  <c r="J79" i="3"/>
  <c r="K79" i="3" s="1"/>
  <c r="J85" i="3"/>
  <c r="K85" i="3" s="1"/>
  <c r="J97" i="3"/>
  <c r="K97" i="3" s="1"/>
  <c r="J103" i="3"/>
  <c r="K103" i="3" s="1"/>
  <c r="J109" i="3"/>
  <c r="K109" i="3" s="1"/>
  <c r="J105" i="3"/>
  <c r="K105" i="3" s="1"/>
  <c r="J119" i="3"/>
  <c r="K119" i="3" s="1"/>
  <c r="J125" i="3"/>
  <c r="K125" i="3" s="1"/>
  <c r="J54" i="3"/>
  <c r="K54" i="3" s="1"/>
  <c r="J133" i="3"/>
  <c r="K133" i="3" s="1"/>
  <c r="J75" i="3"/>
  <c r="K75" i="3" s="1"/>
  <c r="J91" i="3"/>
  <c r="K91" i="3" s="1"/>
  <c r="J38" i="3"/>
  <c r="K38" i="3" s="1"/>
  <c r="J48" i="3"/>
  <c r="K48" i="3" s="1"/>
  <c r="J55" i="3"/>
  <c r="K55" i="3" s="1"/>
  <c r="J58" i="3"/>
  <c r="K58" i="3" s="1"/>
  <c r="J77" i="3"/>
  <c r="K77" i="3" s="1"/>
  <c r="J93" i="3"/>
  <c r="K93" i="3" s="1"/>
  <c r="J117" i="3"/>
  <c r="K117" i="3" s="1"/>
  <c r="J64" i="3"/>
  <c r="K64" i="3" s="1"/>
  <c r="J83" i="3"/>
  <c r="K83" i="3" s="1"/>
  <c r="J99" i="3"/>
  <c r="K99" i="3" s="1"/>
  <c r="J111" i="3"/>
  <c r="K111" i="3" s="1"/>
  <c r="J127" i="3"/>
  <c r="K127" i="3" s="1"/>
  <c r="J115" i="3"/>
  <c r="K115" i="3" s="1"/>
  <c r="J131" i="3"/>
  <c r="K131" i="3" s="1"/>
  <c r="J113" i="3"/>
  <c r="K113" i="3" s="1"/>
  <c r="J126" i="3"/>
  <c r="K126" i="3" s="1"/>
  <c r="J118" i="3"/>
  <c r="K118" i="3" s="1"/>
  <c r="J110" i="3"/>
  <c r="K110" i="3" s="1"/>
  <c r="J102" i="3"/>
  <c r="K102" i="3" s="1"/>
  <c r="J94" i="3"/>
  <c r="K94" i="3" s="1"/>
  <c r="J86" i="3"/>
  <c r="K86" i="3" s="1"/>
  <c r="J78" i="3"/>
  <c r="K78" i="3" s="1"/>
  <c r="J70" i="3"/>
  <c r="K70" i="3" s="1"/>
  <c r="J132" i="3"/>
  <c r="K132" i="3" s="1"/>
  <c r="J124" i="3"/>
  <c r="K124" i="3" s="1"/>
  <c r="J116" i="3"/>
  <c r="K116" i="3" s="1"/>
  <c r="J108" i="3"/>
  <c r="K108" i="3" s="1"/>
  <c r="J100" i="3"/>
  <c r="K100" i="3" s="1"/>
  <c r="J92" i="3"/>
  <c r="K92" i="3" s="1"/>
  <c r="J84" i="3"/>
  <c r="K84" i="3" s="1"/>
  <c r="J76" i="3"/>
  <c r="K76" i="3" s="1"/>
  <c r="J130" i="3"/>
  <c r="K130" i="3" s="1"/>
  <c r="J122" i="3"/>
  <c r="K122" i="3" s="1"/>
  <c r="J114" i="3"/>
  <c r="K114" i="3" s="1"/>
  <c r="J106" i="3"/>
  <c r="K106" i="3" s="1"/>
  <c r="J98" i="3"/>
  <c r="K98" i="3" s="1"/>
  <c r="J90" i="3"/>
  <c r="K90" i="3" s="1"/>
  <c r="J82" i="3"/>
  <c r="K82" i="3" s="1"/>
  <c r="J74" i="3"/>
  <c r="K74" i="3" s="1"/>
  <c r="J128" i="3"/>
  <c r="K128" i="3" s="1"/>
  <c r="J120" i="3"/>
  <c r="K120" i="3" s="1"/>
  <c r="J112" i="3"/>
  <c r="K112" i="3" s="1"/>
  <c r="J104" i="3"/>
  <c r="K104" i="3" s="1"/>
  <c r="J96" i="3"/>
  <c r="K96" i="3" s="1"/>
  <c r="J88" i="3"/>
  <c r="K88" i="3" s="1"/>
  <c r="J80" i="3"/>
  <c r="K80" i="3" s="1"/>
  <c r="J72" i="3"/>
  <c r="K72" i="3" s="1"/>
  <c r="J61" i="3"/>
  <c r="K61" i="3" s="1"/>
  <c r="J53" i="3"/>
  <c r="K53" i="3" s="1"/>
  <c r="J45" i="3"/>
  <c r="K45" i="3" s="1"/>
  <c r="J37" i="3"/>
  <c r="K37" i="3" s="1"/>
  <c r="J59" i="3"/>
  <c r="K59" i="3" s="1"/>
  <c r="J51" i="3"/>
  <c r="K51" i="3" s="1"/>
  <c r="J43" i="3"/>
  <c r="K43" i="3" s="1"/>
  <c r="J35" i="3"/>
  <c r="K35" i="3" s="1"/>
  <c r="J67" i="3"/>
  <c r="K67" i="3" s="1"/>
  <c r="J66" i="3"/>
  <c r="K66" i="3" s="1"/>
  <c r="J65" i="3"/>
  <c r="K65" i="3" s="1"/>
  <c r="J57" i="3"/>
  <c r="K57" i="3" s="1"/>
  <c r="J36" i="3"/>
  <c r="K36" i="3" s="1"/>
  <c r="J42" i="3"/>
  <c r="K42" i="3" s="1"/>
  <c r="J47" i="3"/>
  <c r="K47" i="3" s="1"/>
  <c r="J60" i="3"/>
  <c r="K60" i="3" s="1"/>
  <c r="J63" i="3"/>
  <c r="K63" i="3" s="1"/>
  <c r="J107" i="3"/>
  <c r="K107" i="3" s="1"/>
  <c r="J123" i="3"/>
  <c r="K123" i="3" s="1"/>
  <c r="C76" i="1"/>
  <c r="E49" i="2"/>
  <c r="N35" i="3" l="1"/>
  <c r="N67" i="3"/>
  <c r="N99" i="3"/>
  <c r="N131" i="3"/>
  <c r="N117" i="3"/>
  <c r="N34" i="3"/>
  <c r="N106" i="3"/>
  <c r="N60" i="3"/>
  <c r="N92" i="3"/>
  <c r="N124" i="3"/>
  <c r="N77" i="3"/>
  <c r="N54" i="3"/>
  <c r="N42" i="3"/>
  <c r="N43" i="3"/>
  <c r="N107" i="3"/>
  <c r="N50" i="3"/>
  <c r="N36" i="3"/>
  <c r="N100" i="3"/>
  <c r="N93" i="3"/>
  <c r="N98" i="3"/>
  <c r="N44" i="3"/>
  <c r="N49" i="3"/>
  <c r="N135" i="3"/>
  <c r="N119" i="3"/>
  <c r="N48" i="3"/>
  <c r="N114" i="3"/>
  <c r="N91" i="3"/>
  <c r="N78" i="3"/>
  <c r="N116" i="3"/>
  <c r="N130" i="3"/>
  <c r="N105" i="3"/>
  <c r="N88" i="3"/>
  <c r="N41" i="3"/>
  <c r="N39" i="3"/>
  <c r="N71" i="3"/>
  <c r="N103" i="3"/>
  <c r="N45" i="3"/>
  <c r="N125" i="3"/>
  <c r="N53" i="3"/>
  <c r="N122" i="3"/>
  <c r="N64" i="3"/>
  <c r="N96" i="3"/>
  <c r="N128" i="3"/>
  <c r="N85" i="3"/>
  <c r="N58" i="3"/>
  <c r="N74" i="3"/>
  <c r="N75" i="3"/>
  <c r="N65" i="3"/>
  <c r="N109" i="3"/>
  <c r="N68" i="3"/>
  <c r="N132" i="3"/>
  <c r="N70" i="3"/>
  <c r="N82" i="3"/>
  <c r="N76" i="3"/>
  <c r="N113" i="3"/>
  <c r="N55" i="3"/>
  <c r="N89" i="3"/>
  <c r="N62" i="3"/>
  <c r="N57" i="3"/>
  <c r="N123" i="3"/>
  <c r="N110" i="3"/>
  <c r="N52" i="3"/>
  <c r="N61" i="3"/>
  <c r="N95" i="3"/>
  <c r="N90" i="3"/>
  <c r="N69" i="3"/>
  <c r="N112" i="3"/>
  <c r="N63" i="3"/>
  <c r="N126" i="3"/>
  <c r="N120" i="3"/>
  <c r="N47" i="3"/>
  <c r="N79" i="3"/>
  <c r="N111" i="3"/>
  <c r="N73" i="3"/>
  <c r="N66" i="3"/>
  <c r="N129" i="3"/>
  <c r="N40" i="3"/>
  <c r="N72" i="3"/>
  <c r="N104" i="3"/>
  <c r="N37" i="3"/>
  <c r="N101" i="3"/>
  <c r="N86" i="3"/>
  <c r="N118" i="3"/>
  <c r="N51" i="3"/>
  <c r="N83" i="3"/>
  <c r="N115" i="3"/>
  <c r="N81" i="3"/>
  <c r="N46" i="3"/>
  <c r="N108" i="3"/>
  <c r="N102" i="3"/>
  <c r="N87" i="3"/>
  <c r="N94" i="3"/>
  <c r="N80" i="3"/>
  <c r="N121" i="3"/>
  <c r="N59" i="3"/>
  <c r="N97" i="3"/>
  <c r="N84" i="3"/>
  <c r="N133" i="3"/>
  <c r="N127" i="3"/>
  <c r="N56" i="3"/>
  <c r="N38" i="3"/>
  <c r="D111" i="4"/>
  <c r="C111" i="4"/>
  <c r="D43" i="4"/>
  <c r="C43" i="4"/>
  <c r="D98" i="4"/>
  <c r="C98" i="4"/>
  <c r="C96" i="4"/>
  <c r="D96" i="4"/>
  <c r="D93" i="4"/>
  <c r="C93" i="4"/>
  <c r="D58" i="4"/>
  <c r="C58" i="4"/>
  <c r="D53" i="4"/>
  <c r="C53" i="4"/>
  <c r="C99" i="4"/>
  <c r="D99" i="4"/>
  <c r="D97" i="4"/>
  <c r="C97" i="4"/>
  <c r="C63" i="4"/>
  <c r="D63" i="4"/>
  <c r="C59" i="4"/>
  <c r="D59" i="4"/>
  <c r="D103" i="4"/>
  <c r="C103" i="4"/>
  <c r="C101" i="4"/>
  <c r="D101" i="4"/>
  <c r="C66" i="4"/>
  <c r="D66" i="4"/>
  <c r="C70" i="4"/>
  <c r="D70" i="4"/>
  <c r="D38" i="4"/>
  <c r="C38" i="4"/>
  <c r="D122" i="4"/>
  <c r="C122" i="4"/>
  <c r="D57" i="4"/>
  <c r="C57" i="4"/>
  <c r="D41" i="4"/>
  <c r="C41" i="4"/>
  <c r="D107" i="4"/>
  <c r="C107" i="4"/>
  <c r="D42" i="4"/>
  <c r="C42" i="4"/>
  <c r="D94" i="4"/>
  <c r="C94" i="4"/>
  <c r="D77" i="4"/>
  <c r="C77" i="4"/>
  <c r="D44" i="4"/>
  <c r="C44" i="4"/>
  <c r="D82" i="4"/>
  <c r="C82" i="4"/>
  <c r="D88" i="4"/>
  <c r="C88" i="4"/>
  <c r="D50" i="4"/>
  <c r="C50" i="4"/>
  <c r="D110" i="4"/>
  <c r="C110" i="4"/>
  <c r="D71" i="4"/>
  <c r="C71" i="4"/>
  <c r="D130" i="4"/>
  <c r="C130" i="4"/>
  <c r="D92" i="4"/>
  <c r="C92" i="4"/>
  <c r="C131" i="4"/>
  <c r="D131" i="4"/>
  <c r="D126" i="4"/>
  <c r="C126" i="4"/>
  <c r="D73" i="4"/>
  <c r="C73" i="4"/>
  <c r="D39" i="4"/>
  <c r="C39" i="4"/>
  <c r="D81" i="4"/>
  <c r="C81" i="4"/>
  <c r="D129" i="4"/>
  <c r="C129" i="4"/>
  <c r="C80" i="4"/>
  <c r="D80" i="4"/>
  <c r="D60" i="4"/>
  <c r="C60" i="4"/>
  <c r="D85" i="4"/>
  <c r="C85" i="4"/>
  <c r="C133" i="4"/>
  <c r="D133" i="4"/>
  <c r="D84" i="4"/>
  <c r="C84" i="4"/>
  <c r="C79" i="4"/>
  <c r="D79" i="4"/>
  <c r="D106" i="4"/>
  <c r="C106" i="4"/>
  <c r="C51" i="4"/>
  <c r="D51" i="4"/>
  <c r="C128" i="4"/>
  <c r="D128" i="4"/>
  <c r="D76" i="4"/>
  <c r="C76" i="4"/>
  <c r="D46" i="4"/>
  <c r="C46" i="4"/>
  <c r="D112" i="4"/>
  <c r="C112" i="4"/>
  <c r="D47" i="4"/>
  <c r="C47" i="4"/>
  <c r="D105" i="4"/>
  <c r="C105" i="4"/>
  <c r="C87" i="4"/>
  <c r="D87" i="4"/>
  <c r="C55" i="4"/>
  <c r="D55" i="4"/>
  <c r="D86" i="4"/>
  <c r="C86" i="4"/>
  <c r="D91" i="4"/>
  <c r="C91" i="4"/>
  <c r="D54" i="4"/>
  <c r="C54" i="4"/>
  <c r="D121" i="4"/>
  <c r="C121" i="4"/>
  <c r="D65" i="4"/>
  <c r="C65" i="4"/>
  <c r="D108" i="4"/>
  <c r="C108" i="4"/>
  <c r="C74" i="4"/>
  <c r="D74" i="4"/>
  <c r="C104" i="4"/>
  <c r="D104" i="4"/>
  <c r="D114" i="4"/>
  <c r="C114" i="4"/>
  <c r="D116" i="4"/>
  <c r="C116" i="4"/>
  <c r="C120" i="4"/>
  <c r="D120" i="4"/>
  <c r="D34" i="4"/>
  <c r="C34" i="4"/>
  <c r="D45" i="4"/>
  <c r="C45" i="4"/>
  <c r="D119" i="4"/>
  <c r="C119" i="4"/>
  <c r="D124" i="4"/>
  <c r="C124" i="4"/>
  <c r="D40" i="4"/>
  <c r="C40" i="4"/>
  <c r="D35" i="4"/>
  <c r="C35" i="4"/>
  <c r="D127" i="4"/>
  <c r="C127" i="4"/>
  <c r="C37" i="4"/>
  <c r="D37" i="4"/>
  <c r="C64" i="4"/>
  <c r="D64" i="4"/>
  <c r="D56" i="4"/>
  <c r="C56" i="4"/>
  <c r="D90" i="4"/>
  <c r="C90" i="4"/>
  <c r="D61" i="4"/>
  <c r="C61" i="4"/>
  <c r="D123" i="4"/>
  <c r="C123" i="4"/>
  <c r="D52" i="4"/>
  <c r="C52" i="4"/>
  <c r="D115" i="4"/>
  <c r="C115" i="4"/>
  <c r="C102" i="4"/>
  <c r="D102" i="4"/>
  <c r="D75" i="4"/>
  <c r="C75" i="4"/>
  <c r="C100" i="4"/>
  <c r="D100" i="4"/>
  <c r="D95" i="4"/>
  <c r="C95" i="4"/>
  <c r="C67" i="4"/>
  <c r="D67" i="4"/>
  <c r="C125" i="4"/>
  <c r="D125" i="4"/>
  <c r="C68" i="4"/>
  <c r="D68" i="4"/>
  <c r="D62" i="4"/>
  <c r="C62" i="4"/>
  <c r="C36" i="4"/>
  <c r="D36" i="4"/>
  <c r="C89" i="4"/>
  <c r="D89" i="4"/>
  <c r="C72" i="4"/>
  <c r="D72" i="4"/>
  <c r="D118" i="4"/>
  <c r="C118" i="4"/>
  <c r="D83" i="4"/>
  <c r="C83" i="4"/>
  <c r="C132" i="4"/>
  <c r="D132" i="4"/>
  <c r="D69" i="4"/>
  <c r="C69" i="4"/>
  <c r="C48" i="4"/>
  <c r="D48" i="4"/>
  <c r="D113" i="4"/>
  <c r="C113" i="4"/>
  <c r="D117" i="4"/>
  <c r="C117" i="4"/>
  <c r="C49" i="4"/>
  <c r="D49" i="4"/>
  <c r="C109" i="4"/>
  <c r="D109" i="4"/>
  <c r="D78" i="4"/>
  <c r="C78" i="4"/>
  <c r="F15" i="3"/>
  <c r="F23" i="3"/>
  <c r="C90" i="1" s="1"/>
  <c r="F20" i="3"/>
  <c r="Q135" i="3" s="1"/>
  <c r="D83" i="1"/>
  <c r="D82" i="1"/>
  <c r="D81" i="1"/>
  <c r="D80" i="1"/>
  <c r="D69" i="1"/>
  <c r="D68" i="1"/>
  <c r="D66" i="1"/>
  <c r="D65" i="1"/>
  <c r="P135" i="3" l="1"/>
  <c r="R135" i="3" s="1"/>
  <c r="T135" i="3" s="1"/>
  <c r="F135" i="3" s="1"/>
  <c r="R138" i="4"/>
  <c r="R135" i="4"/>
  <c r="R39" i="4"/>
  <c r="R64" i="4"/>
  <c r="R38" i="4"/>
  <c r="R112" i="4"/>
  <c r="R42" i="4"/>
  <c r="R55" i="4"/>
  <c r="R63" i="4"/>
  <c r="R59" i="4"/>
  <c r="R90" i="4"/>
  <c r="R92" i="4"/>
  <c r="R85" i="4"/>
  <c r="R70" i="4"/>
  <c r="R104" i="4"/>
  <c r="R65" i="4"/>
  <c r="R103" i="4"/>
  <c r="R127" i="4"/>
  <c r="R83" i="4"/>
  <c r="R105" i="4"/>
  <c r="R48" i="4"/>
  <c r="R52" i="4"/>
  <c r="R75" i="4"/>
  <c r="R107" i="4"/>
  <c r="R122" i="4"/>
  <c r="R69" i="4"/>
  <c r="R78" i="4"/>
  <c r="R93" i="4"/>
  <c r="R128" i="4"/>
  <c r="R36" i="4"/>
  <c r="R98" i="4"/>
  <c r="R80" i="4"/>
  <c r="R44" i="4"/>
  <c r="R35" i="4"/>
  <c r="R57" i="4"/>
  <c r="R129" i="4"/>
  <c r="R68" i="4"/>
  <c r="R91" i="4"/>
  <c r="R47" i="4"/>
  <c r="R58" i="4"/>
  <c r="R66" i="4"/>
  <c r="R109" i="4"/>
  <c r="R94" i="4"/>
  <c r="R120" i="4"/>
  <c r="R116" i="4"/>
  <c r="R118" i="4"/>
  <c r="R56" i="4"/>
  <c r="R132" i="4"/>
  <c r="R125" i="4"/>
  <c r="R60" i="4"/>
  <c r="R97" i="4"/>
  <c r="R106" i="4"/>
  <c r="R67" i="4"/>
  <c r="R46" i="4"/>
  <c r="R43" i="4"/>
  <c r="R89" i="4"/>
  <c r="R86" i="4"/>
  <c r="R110" i="4"/>
  <c r="R54" i="4"/>
  <c r="R45" i="4"/>
  <c r="R49" i="4"/>
  <c r="R95" i="4"/>
  <c r="R99" i="4"/>
  <c r="R74" i="4"/>
  <c r="R124" i="4"/>
  <c r="R114" i="4"/>
  <c r="R61" i="4"/>
  <c r="R87" i="4"/>
  <c r="R40" i="4"/>
  <c r="R53" i="4"/>
  <c r="R113" i="4"/>
  <c r="R111" i="4"/>
  <c r="R79" i="4"/>
  <c r="R100" i="4"/>
  <c r="R96" i="4"/>
  <c r="R131" i="4"/>
  <c r="R37" i="4"/>
  <c r="R119" i="4"/>
  <c r="R121" i="4"/>
  <c r="R34" i="4"/>
  <c r="R82" i="4"/>
  <c r="R115" i="4"/>
  <c r="R81" i="4"/>
  <c r="R101" i="4"/>
  <c r="R50" i="4"/>
  <c r="R126" i="4"/>
  <c r="R71" i="4"/>
  <c r="R72" i="4"/>
  <c r="R108" i="4"/>
  <c r="R62" i="4"/>
  <c r="R88" i="4"/>
  <c r="R73" i="4"/>
  <c r="R133" i="4"/>
  <c r="R130" i="4"/>
  <c r="R51" i="4"/>
  <c r="R41" i="4"/>
  <c r="R77" i="4"/>
  <c r="R117" i="4"/>
  <c r="R123" i="4"/>
  <c r="R76" i="4"/>
  <c r="R84" i="4"/>
  <c r="R102" i="4"/>
  <c r="Q37" i="3"/>
  <c r="Q39" i="3"/>
  <c r="Q46" i="3"/>
  <c r="Q35" i="3"/>
  <c r="Q52" i="3"/>
  <c r="Q54" i="3"/>
  <c r="Q61" i="3"/>
  <c r="Q63" i="3"/>
  <c r="Q68" i="3"/>
  <c r="Q72" i="3"/>
  <c r="Q81" i="3"/>
  <c r="Q89" i="3"/>
  <c r="Q97" i="3"/>
  <c r="Q105" i="3"/>
  <c r="Q36" i="3"/>
  <c r="Q38" i="3"/>
  <c r="Q53" i="3"/>
  <c r="Q55" i="3"/>
  <c r="Q60" i="3"/>
  <c r="Q64" i="3"/>
  <c r="Q73" i="3"/>
  <c r="Q41" i="3"/>
  <c r="Q48" i="3"/>
  <c r="Q58" i="3"/>
  <c r="Q67" i="3"/>
  <c r="Q82" i="3"/>
  <c r="Q90" i="3"/>
  <c r="Q98" i="3"/>
  <c r="Q106" i="3"/>
  <c r="Q74" i="3"/>
  <c r="Q108" i="3"/>
  <c r="Q114" i="3"/>
  <c r="Q129" i="3"/>
  <c r="Q131" i="3"/>
  <c r="Q47" i="3"/>
  <c r="Q56" i="3"/>
  <c r="Q80" i="3"/>
  <c r="Q83" i="3"/>
  <c r="Q120" i="3"/>
  <c r="Q51" i="3"/>
  <c r="Q124" i="3"/>
  <c r="Q34" i="3"/>
  <c r="Q71" i="3"/>
  <c r="Q75" i="3"/>
  <c r="Q112" i="3"/>
  <c r="Q122" i="3"/>
  <c r="Q132" i="3"/>
  <c r="Q76" i="3"/>
  <c r="Q88" i="3"/>
  <c r="Q91" i="3"/>
  <c r="Q115" i="3"/>
  <c r="Q130" i="3"/>
  <c r="Q44" i="3"/>
  <c r="Q57" i="3"/>
  <c r="Q65" i="3"/>
  <c r="Q69" i="3"/>
  <c r="Q84" i="3"/>
  <c r="Q96" i="3"/>
  <c r="Q99" i="3"/>
  <c r="Q113" i="3"/>
  <c r="Q128" i="3"/>
  <c r="Q92" i="3"/>
  <c r="Q104" i="3"/>
  <c r="Q107" i="3"/>
  <c r="Q121" i="3"/>
  <c r="Q123" i="3"/>
  <c r="Q40" i="3"/>
  <c r="Q45" i="3"/>
  <c r="Q62" i="3"/>
  <c r="Q66" i="3"/>
  <c r="Q100" i="3"/>
  <c r="Q116" i="3"/>
  <c r="Q125" i="3"/>
  <c r="Q93" i="3"/>
  <c r="Q119" i="3"/>
  <c r="Q87" i="3"/>
  <c r="Q50" i="3"/>
  <c r="Q102" i="3"/>
  <c r="Q42" i="3"/>
  <c r="Q117" i="3"/>
  <c r="Q85" i="3"/>
  <c r="Q43" i="3"/>
  <c r="Q59" i="3"/>
  <c r="Q111" i="3"/>
  <c r="Q79" i="3"/>
  <c r="Q126" i="3"/>
  <c r="Q94" i="3"/>
  <c r="Q49" i="3"/>
  <c r="Q109" i="3"/>
  <c r="Q77" i="3"/>
  <c r="Q103" i="3"/>
  <c r="Q118" i="3"/>
  <c r="Q86" i="3"/>
  <c r="Q133" i="3"/>
  <c r="Q101" i="3"/>
  <c r="Q70" i="3"/>
  <c r="Q127" i="3"/>
  <c r="Q95" i="3"/>
  <c r="Q110" i="3"/>
  <c r="Q78" i="3"/>
  <c r="C95" i="1"/>
  <c r="C92" i="1"/>
  <c r="S135" i="3" l="1"/>
  <c r="E135" i="3" s="1"/>
  <c r="T135" i="4"/>
  <c r="F135" i="4" s="1"/>
  <c r="H135" i="4" s="1"/>
  <c r="S135" i="4"/>
  <c r="E135" i="4" s="1"/>
  <c r="S138" i="4"/>
  <c r="E138" i="4" s="1"/>
  <c r="G138" i="4" s="1"/>
  <c r="A138" i="4" s="1"/>
  <c r="T138" i="4"/>
  <c r="F138" i="4" s="1"/>
  <c r="H138" i="4" s="1"/>
  <c r="S88" i="4"/>
  <c r="E88" i="4" s="1"/>
  <c r="G88" i="4" s="1"/>
  <c r="A88" i="4" s="1"/>
  <c r="T88" i="4"/>
  <c r="F88" i="4" s="1"/>
  <c r="H88" i="4" s="1"/>
  <c r="S54" i="4"/>
  <c r="E54" i="4" s="1"/>
  <c r="G54" i="4" s="1"/>
  <c r="A54" i="4" s="1"/>
  <c r="T54" i="4"/>
  <c r="F54" i="4" s="1"/>
  <c r="H54" i="4" s="1"/>
  <c r="S78" i="4"/>
  <c r="E78" i="4" s="1"/>
  <c r="G78" i="4" s="1"/>
  <c r="A78" i="4" s="1"/>
  <c r="T78" i="4"/>
  <c r="F78" i="4" s="1"/>
  <c r="H78" i="4" s="1"/>
  <c r="T117" i="4"/>
  <c r="F117" i="4" s="1"/>
  <c r="H117" i="4" s="1"/>
  <c r="S117" i="4"/>
  <c r="E117" i="4" s="1"/>
  <c r="G117" i="4" s="1"/>
  <c r="A117" i="4" s="1"/>
  <c r="T62" i="4"/>
  <c r="F62" i="4" s="1"/>
  <c r="H62" i="4" s="1"/>
  <c r="S62" i="4"/>
  <c r="E62" i="4" s="1"/>
  <c r="G62" i="4" s="1"/>
  <c r="A62" i="4" s="1"/>
  <c r="T115" i="4"/>
  <c r="F115" i="4" s="1"/>
  <c r="H115" i="4" s="1"/>
  <c r="S115" i="4"/>
  <c r="E115" i="4" s="1"/>
  <c r="G115" i="4" s="1"/>
  <c r="A115" i="4" s="1"/>
  <c r="T100" i="4"/>
  <c r="F100" i="4" s="1"/>
  <c r="H100" i="4" s="1"/>
  <c r="S100" i="4"/>
  <c r="E100" i="4" s="1"/>
  <c r="G100" i="4" s="1"/>
  <c r="A100" i="4" s="1"/>
  <c r="T114" i="4"/>
  <c r="F114" i="4" s="1"/>
  <c r="H114" i="4" s="1"/>
  <c r="S114" i="4"/>
  <c r="E114" i="4" s="1"/>
  <c r="G114" i="4" s="1"/>
  <c r="A114" i="4" s="1"/>
  <c r="T110" i="4"/>
  <c r="F110" i="4" s="1"/>
  <c r="H110" i="4" s="1"/>
  <c r="S110" i="4"/>
  <c r="E110" i="4" s="1"/>
  <c r="G110" i="4" s="1"/>
  <c r="A110" i="4" s="1"/>
  <c r="S60" i="4"/>
  <c r="E60" i="4" s="1"/>
  <c r="G60" i="4" s="1"/>
  <c r="A60" i="4" s="1"/>
  <c r="T60" i="4"/>
  <c r="F60" i="4" s="1"/>
  <c r="H60" i="4" s="1"/>
  <c r="T109" i="4"/>
  <c r="F109" i="4" s="1"/>
  <c r="H109" i="4" s="1"/>
  <c r="S109" i="4"/>
  <c r="E109" i="4" s="1"/>
  <c r="G109" i="4" s="1"/>
  <c r="A109" i="4" s="1"/>
  <c r="S35" i="4"/>
  <c r="E35" i="4" s="1"/>
  <c r="G35" i="4" s="1"/>
  <c r="A35" i="4" s="1"/>
  <c r="T35" i="4"/>
  <c r="F35" i="4" s="1"/>
  <c r="H35" i="4" s="1"/>
  <c r="S69" i="4"/>
  <c r="E69" i="4" s="1"/>
  <c r="G69" i="4" s="1"/>
  <c r="A69" i="4" s="1"/>
  <c r="T69" i="4"/>
  <c r="F69" i="4" s="1"/>
  <c r="H69" i="4" s="1"/>
  <c r="T127" i="4"/>
  <c r="F127" i="4" s="1"/>
  <c r="H127" i="4" s="1"/>
  <c r="S127" i="4"/>
  <c r="E127" i="4" s="1"/>
  <c r="G127" i="4" s="1"/>
  <c r="A127" i="4" s="1"/>
  <c r="T59" i="4"/>
  <c r="F59" i="4" s="1"/>
  <c r="H59" i="4" s="1"/>
  <c r="S59" i="4"/>
  <c r="E59" i="4" s="1"/>
  <c r="G59" i="4" s="1"/>
  <c r="A59" i="4" s="1"/>
  <c r="S77" i="4"/>
  <c r="E77" i="4" s="1"/>
  <c r="G77" i="4" s="1"/>
  <c r="A77" i="4" s="1"/>
  <c r="T77" i="4"/>
  <c r="F77" i="4" s="1"/>
  <c r="H77" i="4" s="1"/>
  <c r="S108" i="4"/>
  <c r="E108" i="4" s="1"/>
  <c r="G108" i="4" s="1"/>
  <c r="A108" i="4" s="1"/>
  <c r="T108" i="4"/>
  <c r="F108" i="4" s="1"/>
  <c r="H108" i="4" s="1"/>
  <c r="S82" i="4"/>
  <c r="E82" i="4" s="1"/>
  <c r="G82" i="4" s="1"/>
  <c r="A82" i="4" s="1"/>
  <c r="T82" i="4"/>
  <c r="F82" i="4" s="1"/>
  <c r="H82" i="4" s="1"/>
  <c r="S79" i="4"/>
  <c r="E79" i="4" s="1"/>
  <c r="G79" i="4" s="1"/>
  <c r="A79" i="4" s="1"/>
  <c r="T79" i="4"/>
  <c r="F79" i="4" s="1"/>
  <c r="H79" i="4" s="1"/>
  <c r="S124" i="4"/>
  <c r="E124" i="4" s="1"/>
  <c r="G124" i="4" s="1"/>
  <c r="A124" i="4" s="1"/>
  <c r="T124" i="4"/>
  <c r="F124" i="4" s="1"/>
  <c r="H124" i="4" s="1"/>
  <c r="T86" i="4"/>
  <c r="F86" i="4" s="1"/>
  <c r="H86" i="4" s="1"/>
  <c r="S86" i="4"/>
  <c r="E86" i="4" s="1"/>
  <c r="G86" i="4" s="1"/>
  <c r="A86" i="4" s="1"/>
  <c r="S125" i="4"/>
  <c r="E125" i="4" s="1"/>
  <c r="G125" i="4" s="1"/>
  <c r="A125" i="4" s="1"/>
  <c r="T125" i="4"/>
  <c r="F125" i="4" s="1"/>
  <c r="H125" i="4" s="1"/>
  <c r="S66" i="4"/>
  <c r="E66" i="4" s="1"/>
  <c r="G66" i="4" s="1"/>
  <c r="A66" i="4" s="1"/>
  <c r="T66" i="4"/>
  <c r="F66" i="4" s="1"/>
  <c r="H66" i="4" s="1"/>
  <c r="T44" i="4"/>
  <c r="F44" i="4" s="1"/>
  <c r="H44" i="4" s="1"/>
  <c r="S44" i="4"/>
  <c r="E44" i="4" s="1"/>
  <c r="G44" i="4" s="1"/>
  <c r="A44" i="4" s="1"/>
  <c r="T122" i="4"/>
  <c r="F122" i="4" s="1"/>
  <c r="H122" i="4" s="1"/>
  <c r="S122" i="4"/>
  <c r="E122" i="4" s="1"/>
  <c r="G122" i="4" s="1"/>
  <c r="A122" i="4" s="1"/>
  <c r="S103" i="4"/>
  <c r="E103" i="4" s="1"/>
  <c r="G103" i="4" s="1"/>
  <c r="A103" i="4" s="1"/>
  <c r="T103" i="4"/>
  <c r="F103" i="4" s="1"/>
  <c r="H103" i="4" s="1"/>
  <c r="T63" i="4"/>
  <c r="F63" i="4" s="1"/>
  <c r="H63" i="4" s="1"/>
  <c r="S63" i="4"/>
  <c r="E63" i="4" s="1"/>
  <c r="G63" i="4" s="1"/>
  <c r="A63" i="4" s="1"/>
  <c r="S81" i="4"/>
  <c r="E81" i="4" s="1"/>
  <c r="G81" i="4" s="1"/>
  <c r="A81" i="4" s="1"/>
  <c r="T81" i="4"/>
  <c r="F81" i="4" s="1"/>
  <c r="H81" i="4" s="1"/>
  <c r="T94" i="4"/>
  <c r="F94" i="4" s="1"/>
  <c r="H94" i="4" s="1"/>
  <c r="S94" i="4"/>
  <c r="E94" i="4" s="1"/>
  <c r="G94" i="4" s="1"/>
  <c r="A94" i="4" s="1"/>
  <c r="S39" i="4"/>
  <c r="E39" i="4" s="1"/>
  <c r="G39" i="4" s="1"/>
  <c r="A39" i="4" s="1"/>
  <c r="T39" i="4"/>
  <c r="F39" i="4" s="1"/>
  <c r="H39" i="4" s="1"/>
  <c r="S41" i="4"/>
  <c r="E41" i="4" s="1"/>
  <c r="G41" i="4" s="1"/>
  <c r="A41" i="4" s="1"/>
  <c r="T41" i="4"/>
  <c r="F41" i="4" s="1"/>
  <c r="H41" i="4" s="1"/>
  <c r="T111" i="4"/>
  <c r="F111" i="4" s="1"/>
  <c r="H111" i="4" s="1"/>
  <c r="S111" i="4"/>
  <c r="E111" i="4" s="1"/>
  <c r="G111" i="4" s="1"/>
  <c r="A111" i="4" s="1"/>
  <c r="T132" i="4"/>
  <c r="F132" i="4" s="1"/>
  <c r="H132" i="4" s="1"/>
  <c r="S132" i="4"/>
  <c r="E132" i="4" s="1"/>
  <c r="G132" i="4" s="1"/>
  <c r="A132" i="4" s="1"/>
  <c r="S55" i="4"/>
  <c r="E55" i="4" s="1"/>
  <c r="G55" i="4" s="1"/>
  <c r="A55" i="4" s="1"/>
  <c r="T55" i="4"/>
  <c r="F55" i="4" s="1"/>
  <c r="H55" i="4" s="1"/>
  <c r="T51" i="4"/>
  <c r="F51" i="4" s="1"/>
  <c r="H51" i="4" s="1"/>
  <c r="S51" i="4"/>
  <c r="E51" i="4" s="1"/>
  <c r="G51" i="4" s="1"/>
  <c r="A51" i="4" s="1"/>
  <c r="S113" i="4"/>
  <c r="E113" i="4" s="1"/>
  <c r="G113" i="4" s="1"/>
  <c r="A113" i="4" s="1"/>
  <c r="T113" i="4"/>
  <c r="F113" i="4" s="1"/>
  <c r="H113" i="4" s="1"/>
  <c r="S56" i="4"/>
  <c r="E56" i="4" s="1"/>
  <c r="G56" i="4" s="1"/>
  <c r="A56" i="4" s="1"/>
  <c r="T56" i="4"/>
  <c r="F56" i="4" s="1"/>
  <c r="H56" i="4" s="1"/>
  <c r="T42" i="4"/>
  <c r="F42" i="4" s="1"/>
  <c r="H42" i="4" s="1"/>
  <c r="S42" i="4"/>
  <c r="E42" i="4" s="1"/>
  <c r="G42" i="4" s="1"/>
  <c r="A42" i="4" s="1"/>
  <c r="T130" i="4"/>
  <c r="F130" i="4" s="1"/>
  <c r="H130" i="4" s="1"/>
  <c r="S130" i="4"/>
  <c r="E130" i="4" s="1"/>
  <c r="G130" i="4" s="1"/>
  <c r="A130" i="4" s="1"/>
  <c r="S126" i="4"/>
  <c r="E126" i="4" s="1"/>
  <c r="G126" i="4" s="1"/>
  <c r="A126" i="4" s="1"/>
  <c r="T126" i="4"/>
  <c r="F126" i="4" s="1"/>
  <c r="H126" i="4" s="1"/>
  <c r="S119" i="4"/>
  <c r="E119" i="4" s="1"/>
  <c r="G119" i="4" s="1"/>
  <c r="A119" i="4" s="1"/>
  <c r="T119" i="4"/>
  <c r="F119" i="4" s="1"/>
  <c r="H119" i="4" s="1"/>
  <c r="T53" i="4"/>
  <c r="F53" i="4" s="1"/>
  <c r="H53" i="4" s="1"/>
  <c r="S53" i="4"/>
  <c r="E53" i="4" s="1"/>
  <c r="G53" i="4" s="1"/>
  <c r="A53" i="4" s="1"/>
  <c r="T95" i="4"/>
  <c r="F95" i="4" s="1"/>
  <c r="H95" i="4" s="1"/>
  <c r="S95" i="4"/>
  <c r="E95" i="4" s="1"/>
  <c r="G95" i="4" s="1"/>
  <c r="A95" i="4" s="1"/>
  <c r="T46" i="4"/>
  <c r="F46" i="4" s="1"/>
  <c r="H46" i="4" s="1"/>
  <c r="S46" i="4"/>
  <c r="E46" i="4" s="1"/>
  <c r="G46" i="4" s="1"/>
  <c r="A46" i="4" s="1"/>
  <c r="S118" i="4"/>
  <c r="E118" i="4" s="1"/>
  <c r="G118" i="4" s="1"/>
  <c r="A118" i="4" s="1"/>
  <c r="T118" i="4"/>
  <c r="F118" i="4" s="1"/>
  <c r="H118" i="4" s="1"/>
  <c r="T91" i="4"/>
  <c r="F91" i="4" s="1"/>
  <c r="H91" i="4" s="1"/>
  <c r="S91" i="4"/>
  <c r="E91" i="4" s="1"/>
  <c r="G91" i="4" s="1"/>
  <c r="A91" i="4" s="1"/>
  <c r="S36" i="4"/>
  <c r="E36" i="4" s="1"/>
  <c r="G36" i="4" s="1"/>
  <c r="A36" i="4" s="1"/>
  <c r="T36" i="4"/>
  <c r="F36" i="4" s="1"/>
  <c r="H36" i="4" s="1"/>
  <c r="T52" i="4"/>
  <c r="F52" i="4" s="1"/>
  <c r="H52" i="4" s="1"/>
  <c r="S52" i="4"/>
  <c r="E52" i="4" s="1"/>
  <c r="G52" i="4" s="1"/>
  <c r="A52" i="4" s="1"/>
  <c r="S70" i="4"/>
  <c r="E70" i="4" s="1"/>
  <c r="G70" i="4" s="1"/>
  <c r="A70" i="4" s="1"/>
  <c r="T70" i="4"/>
  <c r="F70" i="4" s="1"/>
  <c r="H70" i="4" s="1"/>
  <c r="S112" i="4"/>
  <c r="E112" i="4" s="1"/>
  <c r="G112" i="4" s="1"/>
  <c r="A112" i="4" s="1"/>
  <c r="T112" i="4"/>
  <c r="F112" i="4" s="1"/>
  <c r="H112" i="4" s="1"/>
  <c r="T123" i="4"/>
  <c r="F123" i="4" s="1"/>
  <c r="H123" i="4" s="1"/>
  <c r="S123" i="4"/>
  <c r="E123" i="4" s="1"/>
  <c r="G123" i="4" s="1"/>
  <c r="A123" i="4" s="1"/>
  <c r="T61" i="4"/>
  <c r="F61" i="4" s="1"/>
  <c r="H61" i="4" s="1"/>
  <c r="S61" i="4"/>
  <c r="E61" i="4" s="1"/>
  <c r="G61" i="4" s="1"/>
  <c r="A61" i="4" s="1"/>
  <c r="S57" i="4"/>
  <c r="E57" i="4" s="1"/>
  <c r="G57" i="4" s="1"/>
  <c r="A57" i="4" s="1"/>
  <c r="T57" i="4"/>
  <c r="F57" i="4" s="1"/>
  <c r="H57" i="4" s="1"/>
  <c r="T83" i="4"/>
  <c r="F83" i="4" s="1"/>
  <c r="H83" i="4" s="1"/>
  <c r="S83" i="4"/>
  <c r="E83" i="4" s="1"/>
  <c r="G83" i="4" s="1"/>
  <c r="A83" i="4" s="1"/>
  <c r="T34" i="4"/>
  <c r="F34" i="4" s="1"/>
  <c r="H34" i="4" s="1"/>
  <c r="S34" i="4"/>
  <c r="E34" i="4" s="1"/>
  <c r="G34" i="4" s="1"/>
  <c r="A34" i="4" s="1"/>
  <c r="T89" i="4"/>
  <c r="F89" i="4" s="1"/>
  <c r="H89" i="4" s="1"/>
  <c r="S89" i="4"/>
  <c r="E89" i="4" s="1"/>
  <c r="G89" i="4" s="1"/>
  <c r="A89" i="4" s="1"/>
  <c r="T80" i="4"/>
  <c r="F80" i="4" s="1"/>
  <c r="H80" i="4" s="1"/>
  <c r="S80" i="4"/>
  <c r="E80" i="4" s="1"/>
  <c r="G80" i="4" s="1"/>
  <c r="A80" i="4" s="1"/>
  <c r="S65" i="4"/>
  <c r="E65" i="4" s="1"/>
  <c r="G65" i="4" s="1"/>
  <c r="A65" i="4" s="1"/>
  <c r="T65" i="4"/>
  <c r="F65" i="4" s="1"/>
  <c r="H65" i="4" s="1"/>
  <c r="T121" i="4"/>
  <c r="F121" i="4" s="1"/>
  <c r="H121" i="4" s="1"/>
  <c r="S121" i="4"/>
  <c r="E121" i="4" s="1"/>
  <c r="G121" i="4" s="1"/>
  <c r="A121" i="4" s="1"/>
  <c r="T99" i="4"/>
  <c r="F99" i="4" s="1"/>
  <c r="H99" i="4" s="1"/>
  <c r="S99" i="4"/>
  <c r="E99" i="4" s="1"/>
  <c r="G99" i="4" s="1"/>
  <c r="A99" i="4" s="1"/>
  <c r="S47" i="4"/>
  <c r="E47" i="4" s="1"/>
  <c r="G47" i="4" s="1"/>
  <c r="A47" i="4" s="1"/>
  <c r="T47" i="4"/>
  <c r="F47" i="4" s="1"/>
  <c r="H47" i="4" s="1"/>
  <c r="T75" i="4"/>
  <c r="F75" i="4" s="1"/>
  <c r="H75" i="4" s="1"/>
  <c r="S75" i="4"/>
  <c r="E75" i="4" s="1"/>
  <c r="G75" i="4" s="1"/>
  <c r="A75" i="4" s="1"/>
  <c r="T84" i="4"/>
  <c r="F84" i="4" s="1"/>
  <c r="H84" i="4" s="1"/>
  <c r="S84" i="4"/>
  <c r="E84" i="4" s="1"/>
  <c r="G84" i="4" s="1"/>
  <c r="A84" i="4" s="1"/>
  <c r="T50" i="4"/>
  <c r="F50" i="4" s="1"/>
  <c r="H50" i="4" s="1"/>
  <c r="S50" i="4"/>
  <c r="E50" i="4" s="1"/>
  <c r="G50" i="4" s="1"/>
  <c r="A50" i="4" s="1"/>
  <c r="T37" i="4"/>
  <c r="F37" i="4" s="1"/>
  <c r="H37" i="4" s="1"/>
  <c r="S37" i="4"/>
  <c r="E37" i="4" s="1"/>
  <c r="G37" i="4" s="1"/>
  <c r="A37" i="4" s="1"/>
  <c r="S40" i="4"/>
  <c r="E40" i="4" s="1"/>
  <c r="G40" i="4" s="1"/>
  <c r="A40" i="4" s="1"/>
  <c r="T40" i="4"/>
  <c r="F40" i="4" s="1"/>
  <c r="H40" i="4" s="1"/>
  <c r="S49" i="4"/>
  <c r="E49" i="4" s="1"/>
  <c r="G49" i="4" s="1"/>
  <c r="A49" i="4" s="1"/>
  <c r="T49" i="4"/>
  <c r="F49" i="4" s="1"/>
  <c r="H49" i="4" s="1"/>
  <c r="T67" i="4"/>
  <c r="F67" i="4" s="1"/>
  <c r="H67" i="4" s="1"/>
  <c r="S67" i="4"/>
  <c r="E67" i="4" s="1"/>
  <c r="G67" i="4" s="1"/>
  <c r="A67" i="4" s="1"/>
  <c r="S116" i="4"/>
  <c r="E116" i="4" s="1"/>
  <c r="G116" i="4" s="1"/>
  <c r="A116" i="4" s="1"/>
  <c r="T116" i="4"/>
  <c r="F116" i="4" s="1"/>
  <c r="H116" i="4" s="1"/>
  <c r="S68" i="4"/>
  <c r="E68" i="4" s="1"/>
  <c r="G68" i="4" s="1"/>
  <c r="A68" i="4" s="1"/>
  <c r="T68" i="4"/>
  <c r="F68" i="4" s="1"/>
  <c r="H68" i="4" s="1"/>
  <c r="S128" i="4"/>
  <c r="E128" i="4" s="1"/>
  <c r="G128" i="4" s="1"/>
  <c r="A128" i="4" s="1"/>
  <c r="T128" i="4"/>
  <c r="F128" i="4" s="1"/>
  <c r="H128" i="4" s="1"/>
  <c r="S48" i="4"/>
  <c r="E48" i="4" s="1"/>
  <c r="G48" i="4" s="1"/>
  <c r="A48" i="4" s="1"/>
  <c r="T48" i="4"/>
  <c r="F48" i="4" s="1"/>
  <c r="H48" i="4" s="1"/>
  <c r="S85" i="4"/>
  <c r="E85" i="4" s="1"/>
  <c r="G85" i="4" s="1"/>
  <c r="A85" i="4" s="1"/>
  <c r="T85" i="4"/>
  <c r="F85" i="4" s="1"/>
  <c r="H85" i="4" s="1"/>
  <c r="S38" i="4"/>
  <c r="E38" i="4" s="1"/>
  <c r="G38" i="4" s="1"/>
  <c r="A38" i="4" s="1"/>
  <c r="T38" i="4"/>
  <c r="F38" i="4" s="1"/>
  <c r="H38" i="4" s="1"/>
  <c r="T96" i="4"/>
  <c r="F96" i="4" s="1"/>
  <c r="H96" i="4" s="1"/>
  <c r="S96" i="4"/>
  <c r="E96" i="4" s="1"/>
  <c r="G96" i="4" s="1"/>
  <c r="A96" i="4" s="1"/>
  <c r="T97" i="4"/>
  <c r="F97" i="4" s="1"/>
  <c r="H97" i="4" s="1"/>
  <c r="S97" i="4"/>
  <c r="E97" i="4" s="1"/>
  <c r="G97" i="4" s="1"/>
  <c r="A97" i="4" s="1"/>
  <c r="T90" i="4"/>
  <c r="F90" i="4" s="1"/>
  <c r="H90" i="4" s="1"/>
  <c r="S90" i="4"/>
  <c r="E90" i="4" s="1"/>
  <c r="G90" i="4" s="1"/>
  <c r="A90" i="4" s="1"/>
  <c r="T72" i="4"/>
  <c r="F72" i="4" s="1"/>
  <c r="H72" i="4" s="1"/>
  <c r="S72" i="4"/>
  <c r="E72" i="4" s="1"/>
  <c r="G72" i="4" s="1"/>
  <c r="A72" i="4" s="1"/>
  <c r="S74" i="4"/>
  <c r="E74" i="4" s="1"/>
  <c r="G74" i="4" s="1"/>
  <c r="A74" i="4" s="1"/>
  <c r="T74" i="4"/>
  <c r="F74" i="4" s="1"/>
  <c r="H74" i="4" s="1"/>
  <c r="T58" i="4"/>
  <c r="F58" i="4" s="1"/>
  <c r="H58" i="4" s="1"/>
  <c r="S58" i="4"/>
  <c r="E58" i="4" s="1"/>
  <c r="G58" i="4" s="1"/>
  <c r="A58" i="4" s="1"/>
  <c r="T107" i="4"/>
  <c r="F107" i="4" s="1"/>
  <c r="H107" i="4" s="1"/>
  <c r="S107" i="4"/>
  <c r="E107" i="4" s="1"/>
  <c r="G107" i="4" s="1"/>
  <c r="A107" i="4" s="1"/>
  <c r="T71" i="4"/>
  <c r="F71" i="4" s="1"/>
  <c r="H71" i="4" s="1"/>
  <c r="S71" i="4"/>
  <c r="E71" i="4" s="1"/>
  <c r="G71" i="4" s="1"/>
  <c r="A71" i="4" s="1"/>
  <c r="S43" i="4"/>
  <c r="E43" i="4" s="1"/>
  <c r="G43" i="4" s="1"/>
  <c r="A43" i="4" s="1"/>
  <c r="T43" i="4"/>
  <c r="F43" i="4" s="1"/>
  <c r="H43" i="4" s="1"/>
  <c r="T98" i="4"/>
  <c r="F98" i="4" s="1"/>
  <c r="H98" i="4" s="1"/>
  <c r="S98" i="4"/>
  <c r="E98" i="4" s="1"/>
  <c r="G98" i="4" s="1"/>
  <c r="A98" i="4" s="1"/>
  <c r="T104" i="4"/>
  <c r="F104" i="4" s="1"/>
  <c r="H104" i="4" s="1"/>
  <c r="S104" i="4"/>
  <c r="E104" i="4" s="1"/>
  <c r="G104" i="4" s="1"/>
  <c r="A104" i="4" s="1"/>
  <c r="T102" i="4"/>
  <c r="F102" i="4" s="1"/>
  <c r="H102" i="4" s="1"/>
  <c r="S102" i="4"/>
  <c r="E102" i="4" s="1"/>
  <c r="G102" i="4" s="1"/>
  <c r="A102" i="4" s="1"/>
  <c r="T133" i="4"/>
  <c r="F133" i="4" s="1"/>
  <c r="H133" i="4" s="1"/>
  <c r="S133" i="4"/>
  <c r="E133" i="4" s="1"/>
  <c r="G133" i="4" s="1"/>
  <c r="A133" i="4" s="1"/>
  <c r="S76" i="4"/>
  <c r="E76" i="4" s="1"/>
  <c r="G76" i="4" s="1"/>
  <c r="A76" i="4" s="1"/>
  <c r="T76" i="4"/>
  <c r="F76" i="4" s="1"/>
  <c r="H76" i="4" s="1"/>
  <c r="T73" i="4"/>
  <c r="F73" i="4" s="1"/>
  <c r="H73" i="4" s="1"/>
  <c r="S73" i="4"/>
  <c r="E73" i="4" s="1"/>
  <c r="G73" i="4" s="1"/>
  <c r="A73" i="4" s="1"/>
  <c r="T101" i="4"/>
  <c r="F101" i="4" s="1"/>
  <c r="H101" i="4" s="1"/>
  <c r="S101" i="4"/>
  <c r="E101" i="4" s="1"/>
  <c r="G101" i="4" s="1"/>
  <c r="A101" i="4" s="1"/>
  <c r="T131" i="4"/>
  <c r="F131" i="4" s="1"/>
  <c r="H131" i="4" s="1"/>
  <c r="S131" i="4"/>
  <c r="E131" i="4" s="1"/>
  <c r="G131" i="4" s="1"/>
  <c r="A131" i="4" s="1"/>
  <c r="T87" i="4"/>
  <c r="F87" i="4" s="1"/>
  <c r="H87" i="4" s="1"/>
  <c r="S87" i="4"/>
  <c r="E87" i="4" s="1"/>
  <c r="G87" i="4" s="1"/>
  <c r="A87" i="4" s="1"/>
  <c r="S45" i="4"/>
  <c r="E45" i="4" s="1"/>
  <c r="G45" i="4" s="1"/>
  <c r="A45" i="4" s="1"/>
  <c r="T45" i="4"/>
  <c r="F45" i="4" s="1"/>
  <c r="H45" i="4" s="1"/>
  <c r="T106" i="4"/>
  <c r="F106" i="4" s="1"/>
  <c r="H106" i="4" s="1"/>
  <c r="S106" i="4"/>
  <c r="E106" i="4" s="1"/>
  <c r="G106" i="4" s="1"/>
  <c r="A106" i="4" s="1"/>
  <c r="T120" i="4"/>
  <c r="F120" i="4" s="1"/>
  <c r="H120" i="4" s="1"/>
  <c r="S120" i="4"/>
  <c r="E120" i="4" s="1"/>
  <c r="G120" i="4" s="1"/>
  <c r="A120" i="4" s="1"/>
  <c r="T129" i="4"/>
  <c r="F129" i="4" s="1"/>
  <c r="H129" i="4" s="1"/>
  <c r="S129" i="4"/>
  <c r="E129" i="4" s="1"/>
  <c r="G129" i="4" s="1"/>
  <c r="A129" i="4" s="1"/>
  <c r="T93" i="4"/>
  <c r="F93" i="4" s="1"/>
  <c r="H93" i="4" s="1"/>
  <c r="S93" i="4"/>
  <c r="E93" i="4" s="1"/>
  <c r="G93" i="4" s="1"/>
  <c r="A93" i="4" s="1"/>
  <c r="T105" i="4"/>
  <c r="F105" i="4" s="1"/>
  <c r="H105" i="4" s="1"/>
  <c r="S105" i="4"/>
  <c r="E105" i="4" s="1"/>
  <c r="G105" i="4" s="1"/>
  <c r="A105" i="4" s="1"/>
  <c r="S92" i="4"/>
  <c r="E92" i="4" s="1"/>
  <c r="G92" i="4" s="1"/>
  <c r="A92" i="4" s="1"/>
  <c r="T92" i="4"/>
  <c r="F92" i="4" s="1"/>
  <c r="H92" i="4" s="1"/>
  <c r="S64" i="4"/>
  <c r="E64" i="4" s="1"/>
  <c r="G64" i="4" s="1"/>
  <c r="A64" i="4" s="1"/>
  <c r="T64" i="4"/>
  <c r="F64" i="4" s="1"/>
  <c r="H64" i="4" s="1"/>
  <c r="J87" i="1"/>
  <c r="B22" i="4" l="1"/>
  <c r="C140" i="1" s="1"/>
  <c r="B21" i="4"/>
  <c r="C139" i="1" s="1"/>
  <c r="E134" i="4"/>
  <c r="G134" i="4" s="1"/>
  <c r="A134" i="4" s="1"/>
  <c r="G135" i="4"/>
  <c r="A135" i="4" s="1"/>
  <c r="E136" i="4"/>
  <c r="G136" i="4" s="1"/>
  <c r="A136" i="4" s="1"/>
  <c r="K87" i="1"/>
  <c r="J90" i="1"/>
  <c r="L87" i="1" l="1"/>
  <c r="K90" i="1"/>
  <c r="M87" i="1" l="1"/>
  <c r="L90" i="1"/>
  <c r="BH2" i="1"/>
  <c r="BN25" i="1"/>
  <c r="N87" i="1" l="1"/>
  <c r="M90" i="1"/>
  <c r="BH87" i="1"/>
  <c r="BH90" i="1" s="1"/>
  <c r="BH5" i="1"/>
  <c r="E51" i="2"/>
  <c r="F50" i="2"/>
  <c r="G50" i="2" s="1"/>
  <c r="F48" i="2"/>
  <c r="G48" i="2" s="1"/>
  <c r="H48" i="2" s="1"/>
  <c r="I48" i="2" s="1"/>
  <c r="J48" i="2" s="1"/>
  <c r="K48" i="2" s="1"/>
  <c r="L48" i="2" s="1"/>
  <c r="M48" i="2" s="1"/>
  <c r="N48" i="2" s="1"/>
  <c r="O48" i="2" s="1"/>
  <c r="O49" i="2" s="1"/>
  <c r="I47" i="2"/>
  <c r="I46" i="2"/>
  <c r="G47" i="2"/>
  <c r="G46" i="2"/>
  <c r="F45" i="2"/>
  <c r="G45" i="2"/>
  <c r="H45" i="2"/>
  <c r="I45" i="2"/>
  <c r="J45" i="2"/>
  <c r="K45" i="2"/>
  <c r="L45" i="2"/>
  <c r="M45" i="2"/>
  <c r="N45" i="2"/>
  <c r="O45" i="2"/>
  <c r="E45" i="2"/>
  <c r="O87" i="1" l="1"/>
  <c r="N90" i="1"/>
  <c r="F51" i="2"/>
  <c r="H50" i="2"/>
  <c r="G51" i="2"/>
  <c r="M49" i="2"/>
  <c r="J49" i="2"/>
  <c r="I49" i="2"/>
  <c r="L49" i="2"/>
  <c r="F49" i="2"/>
  <c r="H49" i="2"/>
  <c r="G49" i="2"/>
  <c r="N49" i="2"/>
  <c r="K49" i="2"/>
  <c r="T167" i="1"/>
  <c r="S167" i="1" s="1"/>
  <c r="M163" i="1"/>
  <c r="N163" i="1"/>
  <c r="M164" i="1"/>
  <c r="N164" i="1"/>
  <c r="M169" i="1"/>
  <c r="N169" i="1"/>
  <c r="P87" i="1" l="1"/>
  <c r="O90" i="1"/>
  <c r="I50" i="2"/>
  <c r="H51" i="2"/>
  <c r="T166" i="1"/>
  <c r="T165" i="1"/>
  <c r="S165" i="1"/>
  <c r="U167" i="1"/>
  <c r="S166" i="1"/>
  <c r="I2" i="1"/>
  <c r="I87" i="1" s="1"/>
  <c r="J2" i="1"/>
  <c r="J5" i="1" s="1"/>
  <c r="Q87" i="1" l="1"/>
  <c r="P90" i="1"/>
  <c r="J50" i="2"/>
  <c r="I51" i="2"/>
  <c r="U165" i="1"/>
  <c r="U166" i="1"/>
  <c r="Q179" i="1"/>
  <c r="Q178" i="1" s="1"/>
  <c r="S163" i="1"/>
  <c r="Y167" i="1" l="1"/>
  <c r="Y168" i="1"/>
  <c r="X167" i="1"/>
  <c r="X168" i="1"/>
  <c r="R87" i="1"/>
  <c r="Q90" i="1"/>
  <c r="K50" i="2"/>
  <c r="J51" i="2"/>
  <c r="P34" i="3" l="1"/>
  <c r="R34" i="3" s="1"/>
  <c r="S34" i="3" s="1"/>
  <c r="C89" i="1"/>
  <c r="C96" i="1" s="1"/>
  <c r="S87" i="1"/>
  <c r="R90" i="1"/>
  <c r="C39" i="1"/>
  <c r="BM24" i="1"/>
  <c r="BN24" i="1"/>
  <c r="L50" i="2"/>
  <c r="K51" i="2"/>
  <c r="P74" i="3" l="1"/>
  <c r="R74" i="3" s="1"/>
  <c r="P59" i="3"/>
  <c r="R59" i="3" s="1"/>
  <c r="P58" i="3"/>
  <c r="R58" i="3" s="1"/>
  <c r="P106" i="3"/>
  <c r="R106" i="3" s="1"/>
  <c r="P57" i="3"/>
  <c r="R57" i="3" s="1"/>
  <c r="P126" i="3"/>
  <c r="R126" i="3" s="1"/>
  <c r="P41" i="3"/>
  <c r="R41" i="3" s="1"/>
  <c r="P114" i="3"/>
  <c r="R114" i="3" s="1"/>
  <c r="P103" i="3"/>
  <c r="R103" i="3" s="1"/>
  <c r="P52" i="3"/>
  <c r="R52" i="3" s="1"/>
  <c r="P91" i="3"/>
  <c r="R91" i="3" s="1"/>
  <c r="P111" i="3"/>
  <c r="R111" i="3" s="1"/>
  <c r="P76" i="3"/>
  <c r="R76" i="3" s="1"/>
  <c r="P127" i="3"/>
  <c r="R127" i="3" s="1"/>
  <c r="P75" i="3"/>
  <c r="R75" i="3" s="1"/>
  <c r="P88" i="3"/>
  <c r="R88" i="3" s="1"/>
  <c r="P89" i="3"/>
  <c r="R89" i="3" s="1"/>
  <c r="P85" i="3"/>
  <c r="R85" i="3" s="1"/>
  <c r="P63" i="3"/>
  <c r="R63" i="3" s="1"/>
  <c r="P49" i="3"/>
  <c r="R49" i="3" s="1"/>
  <c r="P77" i="3"/>
  <c r="R77" i="3" s="1"/>
  <c r="P121" i="3"/>
  <c r="R121" i="3" s="1"/>
  <c r="P60" i="3"/>
  <c r="R60" i="3" s="1"/>
  <c r="P36" i="3"/>
  <c r="R36" i="3" s="1"/>
  <c r="P40" i="3"/>
  <c r="R40" i="3" s="1"/>
  <c r="P82" i="3"/>
  <c r="R82" i="3" s="1"/>
  <c r="P95" i="3"/>
  <c r="R95" i="3" s="1"/>
  <c r="P113" i="3"/>
  <c r="R113" i="3" s="1"/>
  <c r="P124" i="3"/>
  <c r="R124" i="3" s="1"/>
  <c r="P128" i="3"/>
  <c r="R128" i="3" s="1"/>
  <c r="P123" i="3"/>
  <c r="R123" i="3" s="1"/>
  <c r="P56" i="3"/>
  <c r="R56" i="3" s="1"/>
  <c r="P109" i="3"/>
  <c r="R109" i="3" s="1"/>
  <c r="P107" i="3"/>
  <c r="R107" i="3" s="1"/>
  <c r="P64" i="3"/>
  <c r="R64" i="3" s="1"/>
  <c r="P99" i="3"/>
  <c r="R99" i="3" s="1"/>
  <c r="P94" i="3"/>
  <c r="R94" i="3" s="1"/>
  <c r="P110" i="3"/>
  <c r="R110" i="3" s="1"/>
  <c r="P43" i="3"/>
  <c r="R43" i="3" s="1"/>
  <c r="P78" i="3"/>
  <c r="R78" i="3" s="1"/>
  <c r="P90" i="3"/>
  <c r="R90" i="3" s="1"/>
  <c r="P62" i="3"/>
  <c r="R62" i="3" s="1"/>
  <c r="P117" i="3"/>
  <c r="R117" i="3" s="1"/>
  <c r="P66" i="3"/>
  <c r="R66" i="3" s="1"/>
  <c r="P71" i="3"/>
  <c r="R71" i="3" s="1"/>
  <c r="P68" i="3"/>
  <c r="R68" i="3" s="1"/>
  <c r="P47" i="3"/>
  <c r="R47" i="3" s="1"/>
  <c r="P42" i="3"/>
  <c r="R42" i="3" s="1"/>
  <c r="P45" i="3"/>
  <c r="R45" i="3" s="1"/>
  <c r="P112" i="3"/>
  <c r="R112" i="3" s="1"/>
  <c r="P130" i="3"/>
  <c r="R130" i="3" s="1"/>
  <c r="P83" i="3"/>
  <c r="R83" i="3" s="1"/>
  <c r="P96" i="3"/>
  <c r="R96" i="3" s="1"/>
  <c r="P133" i="3"/>
  <c r="R133" i="3" s="1"/>
  <c r="P87" i="3"/>
  <c r="R87" i="3" s="1"/>
  <c r="P98" i="3"/>
  <c r="R98" i="3" s="1"/>
  <c r="P108" i="3"/>
  <c r="R108" i="3" s="1"/>
  <c r="P55" i="3"/>
  <c r="R55" i="3" s="1"/>
  <c r="P102" i="3"/>
  <c r="R102" i="3" s="1"/>
  <c r="P46" i="3"/>
  <c r="R46" i="3" s="1"/>
  <c r="P125" i="3"/>
  <c r="R125" i="3" s="1"/>
  <c r="P35" i="3"/>
  <c r="R35" i="3" s="1"/>
  <c r="P132" i="3"/>
  <c r="R132" i="3" s="1"/>
  <c r="P53" i="3"/>
  <c r="R53" i="3" s="1"/>
  <c r="P131" i="3"/>
  <c r="R131" i="3" s="1"/>
  <c r="P65" i="3"/>
  <c r="R65" i="3" s="1"/>
  <c r="P129" i="3"/>
  <c r="R129" i="3" s="1"/>
  <c r="P48" i="3"/>
  <c r="R48" i="3" s="1"/>
  <c r="P39" i="3"/>
  <c r="R39" i="3" s="1"/>
  <c r="P37" i="3"/>
  <c r="R37" i="3" s="1"/>
  <c r="P119" i="3"/>
  <c r="R119" i="3" s="1"/>
  <c r="P84" i="3"/>
  <c r="R84" i="3" s="1"/>
  <c r="P86" i="3"/>
  <c r="R86" i="3" s="1"/>
  <c r="P105" i="3"/>
  <c r="R105" i="3" s="1"/>
  <c r="P67" i="3"/>
  <c r="R67" i="3" s="1"/>
  <c r="P120" i="3"/>
  <c r="R120" i="3" s="1"/>
  <c r="P70" i="3"/>
  <c r="R70" i="3" s="1"/>
  <c r="P80" i="3"/>
  <c r="R80" i="3" s="1"/>
  <c r="P73" i="3"/>
  <c r="R73" i="3" s="1"/>
  <c r="P79" i="3"/>
  <c r="R79" i="3" s="1"/>
  <c r="P69" i="3"/>
  <c r="R69" i="3" s="1"/>
  <c r="P51" i="3"/>
  <c r="R51" i="3" s="1"/>
  <c r="P97" i="3"/>
  <c r="R97" i="3" s="1"/>
  <c r="P101" i="3"/>
  <c r="R101" i="3" s="1"/>
  <c r="P104" i="3"/>
  <c r="R104" i="3" s="1"/>
  <c r="P54" i="3"/>
  <c r="R54" i="3" s="1"/>
  <c r="P93" i="3"/>
  <c r="R93" i="3" s="1"/>
  <c r="P61" i="3"/>
  <c r="R61" i="3" s="1"/>
  <c r="P116" i="3"/>
  <c r="R116" i="3" s="1"/>
  <c r="P72" i="3"/>
  <c r="R72" i="3" s="1"/>
  <c r="P115" i="3"/>
  <c r="R115" i="3" s="1"/>
  <c r="P100" i="3"/>
  <c r="R100" i="3" s="1"/>
  <c r="P122" i="3"/>
  <c r="R122" i="3" s="1"/>
  <c r="P92" i="3"/>
  <c r="R92" i="3" s="1"/>
  <c r="P118" i="3"/>
  <c r="R118" i="3" s="1"/>
  <c r="P50" i="3"/>
  <c r="R50" i="3" s="1"/>
  <c r="P44" i="3"/>
  <c r="R44" i="3" s="1"/>
  <c r="P81" i="3"/>
  <c r="R81" i="3" s="1"/>
  <c r="P38" i="3"/>
  <c r="R38" i="3" s="1"/>
  <c r="T87" i="1"/>
  <c r="S90" i="1"/>
  <c r="M50" i="2"/>
  <c r="L51" i="2"/>
  <c r="E34" i="3" l="1"/>
  <c r="T34" i="3"/>
  <c r="F34" i="3" s="1"/>
  <c r="S80" i="3"/>
  <c r="E80" i="3" s="1"/>
  <c r="T80" i="3"/>
  <c r="F80" i="3" s="1"/>
  <c r="T35" i="3"/>
  <c r="F35" i="3" s="1"/>
  <c r="S35" i="3"/>
  <c r="E35" i="3" s="1"/>
  <c r="S128" i="3"/>
  <c r="E128" i="3" s="1"/>
  <c r="T128" i="3"/>
  <c r="F128" i="3" s="1"/>
  <c r="S126" i="3"/>
  <c r="E126" i="3" s="1"/>
  <c r="T126" i="3"/>
  <c r="F126" i="3" s="1"/>
  <c r="S104" i="3"/>
  <c r="E104" i="3" s="1"/>
  <c r="T104" i="3"/>
  <c r="F104" i="3" s="1"/>
  <c r="T125" i="3"/>
  <c r="F125" i="3" s="1"/>
  <c r="S125" i="3"/>
  <c r="E125" i="3" s="1"/>
  <c r="S94" i="3"/>
  <c r="E94" i="3" s="1"/>
  <c r="T94" i="3"/>
  <c r="F94" i="3" s="1"/>
  <c r="S76" i="3"/>
  <c r="E76" i="3" s="1"/>
  <c r="T76" i="3"/>
  <c r="F76" i="3" s="1"/>
  <c r="S100" i="3"/>
  <c r="E100" i="3" s="1"/>
  <c r="T100" i="3"/>
  <c r="F100" i="3" s="1"/>
  <c r="T101" i="3"/>
  <c r="F101" i="3" s="1"/>
  <c r="S101" i="3"/>
  <c r="E101" i="3" s="1"/>
  <c r="S120" i="3"/>
  <c r="E120" i="3" s="1"/>
  <c r="T120" i="3"/>
  <c r="F120" i="3" s="1"/>
  <c r="S48" i="3"/>
  <c r="E48" i="3" s="1"/>
  <c r="T48" i="3"/>
  <c r="F48" i="3" s="1"/>
  <c r="S46" i="3"/>
  <c r="E46" i="3" s="1"/>
  <c r="T46" i="3"/>
  <c r="F46" i="3" s="1"/>
  <c r="T83" i="3"/>
  <c r="F83" i="3" s="1"/>
  <c r="S83" i="3"/>
  <c r="E83" i="3" s="1"/>
  <c r="S66" i="3"/>
  <c r="E66" i="3" s="1"/>
  <c r="T66" i="3"/>
  <c r="F66" i="3" s="1"/>
  <c r="T99" i="3"/>
  <c r="F99" i="3" s="1"/>
  <c r="S99" i="3"/>
  <c r="E99" i="3" s="1"/>
  <c r="T113" i="3"/>
  <c r="F113" i="3" s="1"/>
  <c r="S113" i="3"/>
  <c r="E113" i="3" s="1"/>
  <c r="T49" i="3"/>
  <c r="F49" i="3" s="1"/>
  <c r="S49" i="3"/>
  <c r="E49" i="3" s="1"/>
  <c r="T111" i="3"/>
  <c r="F111" i="3" s="1"/>
  <c r="S111" i="3"/>
  <c r="E111" i="3" s="1"/>
  <c r="S106" i="3"/>
  <c r="E106" i="3" s="1"/>
  <c r="T106" i="3"/>
  <c r="F106" i="3" s="1"/>
  <c r="S38" i="3"/>
  <c r="E38" i="3" s="1"/>
  <c r="T38" i="3"/>
  <c r="F38" i="3" s="1"/>
  <c r="T115" i="3"/>
  <c r="F115" i="3" s="1"/>
  <c r="S115" i="3"/>
  <c r="E115" i="3" s="1"/>
  <c r="T97" i="3"/>
  <c r="F97" i="3" s="1"/>
  <c r="S97" i="3"/>
  <c r="E97" i="3" s="1"/>
  <c r="T67" i="3"/>
  <c r="F67" i="3" s="1"/>
  <c r="S67" i="3"/>
  <c r="E67" i="3" s="1"/>
  <c r="T129" i="3"/>
  <c r="F129" i="3" s="1"/>
  <c r="S129" i="3"/>
  <c r="E129" i="3" s="1"/>
  <c r="S102" i="3"/>
  <c r="E102" i="3" s="1"/>
  <c r="T102" i="3"/>
  <c r="F102" i="3" s="1"/>
  <c r="S130" i="3"/>
  <c r="E130" i="3" s="1"/>
  <c r="T130" i="3"/>
  <c r="F130" i="3" s="1"/>
  <c r="T117" i="3"/>
  <c r="F117" i="3" s="1"/>
  <c r="S117" i="3"/>
  <c r="E117" i="3" s="1"/>
  <c r="S64" i="3"/>
  <c r="E64" i="3" s="1"/>
  <c r="T64" i="3"/>
  <c r="F64" i="3" s="1"/>
  <c r="T95" i="3"/>
  <c r="F95" i="3" s="1"/>
  <c r="S95" i="3"/>
  <c r="E95" i="3" s="1"/>
  <c r="T63" i="3"/>
  <c r="F63" i="3" s="1"/>
  <c r="S63" i="3"/>
  <c r="E63" i="3" s="1"/>
  <c r="T91" i="3"/>
  <c r="F91" i="3" s="1"/>
  <c r="S91" i="3"/>
  <c r="E91" i="3" s="1"/>
  <c r="S58" i="3"/>
  <c r="E58" i="3" s="1"/>
  <c r="T58" i="3"/>
  <c r="F58" i="3" s="1"/>
  <c r="S92" i="3"/>
  <c r="E92" i="3" s="1"/>
  <c r="T92" i="3"/>
  <c r="F92" i="3" s="1"/>
  <c r="T37" i="3"/>
  <c r="F37" i="3" s="1"/>
  <c r="S37" i="3"/>
  <c r="E37" i="3" s="1"/>
  <c r="S68" i="3"/>
  <c r="E68" i="3" s="1"/>
  <c r="T68" i="3"/>
  <c r="F68" i="3" s="1"/>
  <c r="T121" i="3"/>
  <c r="F121" i="3" s="1"/>
  <c r="S121" i="3"/>
  <c r="E121" i="3" s="1"/>
  <c r="S122" i="3"/>
  <c r="E122" i="3" s="1"/>
  <c r="T122" i="3"/>
  <c r="F122" i="3" s="1"/>
  <c r="T39" i="3"/>
  <c r="F39" i="3" s="1"/>
  <c r="S39" i="3"/>
  <c r="E39" i="3" s="1"/>
  <c r="T71" i="3"/>
  <c r="F71" i="3" s="1"/>
  <c r="S71" i="3"/>
  <c r="E71" i="3" s="1"/>
  <c r="T77" i="3"/>
  <c r="F77" i="3" s="1"/>
  <c r="S77" i="3"/>
  <c r="E77" i="3" s="1"/>
  <c r="T81" i="3"/>
  <c r="F81" i="3" s="1"/>
  <c r="S81" i="3"/>
  <c r="E81" i="3" s="1"/>
  <c r="T51" i="3"/>
  <c r="F51" i="3" s="1"/>
  <c r="S51" i="3"/>
  <c r="E51" i="3" s="1"/>
  <c r="T105" i="3"/>
  <c r="F105" i="3" s="1"/>
  <c r="S105" i="3"/>
  <c r="E105" i="3" s="1"/>
  <c r="T65" i="3"/>
  <c r="F65" i="3" s="1"/>
  <c r="S65" i="3"/>
  <c r="E65" i="3" s="1"/>
  <c r="T55" i="3"/>
  <c r="F55" i="3" s="1"/>
  <c r="S55" i="3"/>
  <c r="E55" i="3" s="1"/>
  <c r="S112" i="3"/>
  <c r="E112" i="3" s="1"/>
  <c r="T112" i="3"/>
  <c r="F112" i="3" s="1"/>
  <c r="S62" i="3"/>
  <c r="E62" i="3" s="1"/>
  <c r="T62" i="3"/>
  <c r="F62" i="3" s="1"/>
  <c r="T107" i="3"/>
  <c r="F107" i="3" s="1"/>
  <c r="S107" i="3"/>
  <c r="E107" i="3" s="1"/>
  <c r="S82" i="3"/>
  <c r="E82" i="3" s="1"/>
  <c r="T82" i="3"/>
  <c r="F82" i="3" s="1"/>
  <c r="T85" i="3"/>
  <c r="F85" i="3" s="1"/>
  <c r="S85" i="3"/>
  <c r="E85" i="3" s="1"/>
  <c r="S52" i="3"/>
  <c r="E52" i="3" s="1"/>
  <c r="T52" i="3"/>
  <c r="F52" i="3" s="1"/>
  <c r="T59" i="3"/>
  <c r="F59" i="3" s="1"/>
  <c r="S59" i="3"/>
  <c r="E59" i="3" s="1"/>
  <c r="S44" i="3"/>
  <c r="E44" i="3" s="1"/>
  <c r="T44" i="3"/>
  <c r="F44" i="3" s="1"/>
  <c r="S116" i="3"/>
  <c r="E116" i="3" s="1"/>
  <c r="T116" i="3"/>
  <c r="F116" i="3" s="1"/>
  <c r="T69" i="3"/>
  <c r="F69" i="3" s="1"/>
  <c r="S69" i="3"/>
  <c r="E69" i="3" s="1"/>
  <c r="S86" i="3"/>
  <c r="E86" i="3" s="1"/>
  <c r="T86" i="3"/>
  <c r="F86" i="3" s="1"/>
  <c r="T131" i="3"/>
  <c r="F131" i="3" s="1"/>
  <c r="S131" i="3"/>
  <c r="E131" i="3" s="1"/>
  <c r="S108" i="3"/>
  <c r="E108" i="3" s="1"/>
  <c r="T108" i="3"/>
  <c r="F108" i="3" s="1"/>
  <c r="T45" i="3"/>
  <c r="F45" i="3" s="1"/>
  <c r="S45" i="3"/>
  <c r="E45" i="3" s="1"/>
  <c r="S90" i="3"/>
  <c r="E90" i="3" s="1"/>
  <c r="T90" i="3"/>
  <c r="F90" i="3" s="1"/>
  <c r="T109" i="3"/>
  <c r="F109" i="3" s="1"/>
  <c r="S109" i="3"/>
  <c r="E109" i="3" s="1"/>
  <c r="S40" i="3"/>
  <c r="E40" i="3" s="1"/>
  <c r="T40" i="3"/>
  <c r="F40" i="3" s="1"/>
  <c r="T89" i="3"/>
  <c r="F89" i="3" s="1"/>
  <c r="S89" i="3"/>
  <c r="E89" i="3" s="1"/>
  <c r="T103" i="3"/>
  <c r="F103" i="3" s="1"/>
  <c r="S103" i="3"/>
  <c r="E103" i="3" s="1"/>
  <c r="S74" i="3"/>
  <c r="E74" i="3" s="1"/>
  <c r="T74" i="3"/>
  <c r="F74" i="3" s="1"/>
  <c r="S54" i="3"/>
  <c r="E54" i="3" s="1"/>
  <c r="T54" i="3"/>
  <c r="F54" i="3" s="1"/>
  <c r="T133" i="3"/>
  <c r="F133" i="3" s="1"/>
  <c r="S133" i="3"/>
  <c r="E133" i="3" s="1"/>
  <c r="S110" i="3"/>
  <c r="E110" i="3" s="1"/>
  <c r="T110" i="3"/>
  <c r="F110" i="3" s="1"/>
  <c r="T127" i="3"/>
  <c r="F127" i="3" s="1"/>
  <c r="S127" i="3"/>
  <c r="E127" i="3" s="1"/>
  <c r="S70" i="3"/>
  <c r="E70" i="3" s="1"/>
  <c r="T70" i="3"/>
  <c r="F70" i="3" s="1"/>
  <c r="S96" i="3"/>
  <c r="E96" i="3" s="1"/>
  <c r="T96" i="3"/>
  <c r="F96" i="3" s="1"/>
  <c r="S124" i="3"/>
  <c r="E124" i="3" s="1"/>
  <c r="T124" i="3"/>
  <c r="F124" i="3" s="1"/>
  <c r="T57" i="3"/>
  <c r="F57" i="3" s="1"/>
  <c r="S57" i="3"/>
  <c r="E57" i="3" s="1"/>
  <c r="S72" i="3"/>
  <c r="E72" i="3" s="1"/>
  <c r="T72" i="3"/>
  <c r="F72" i="3" s="1"/>
  <c r="S50" i="3"/>
  <c r="E50" i="3" s="1"/>
  <c r="T50" i="3"/>
  <c r="F50" i="3" s="1"/>
  <c r="T61" i="3"/>
  <c r="F61" i="3" s="1"/>
  <c r="S61" i="3"/>
  <c r="E61" i="3" s="1"/>
  <c r="T79" i="3"/>
  <c r="F79" i="3" s="1"/>
  <c r="S79" i="3"/>
  <c r="E79" i="3" s="1"/>
  <c r="S84" i="3"/>
  <c r="E84" i="3" s="1"/>
  <c r="T84" i="3"/>
  <c r="F84" i="3" s="1"/>
  <c r="T53" i="3"/>
  <c r="F53" i="3" s="1"/>
  <c r="S53" i="3"/>
  <c r="E53" i="3" s="1"/>
  <c r="S98" i="3"/>
  <c r="E98" i="3" s="1"/>
  <c r="T98" i="3"/>
  <c r="F98" i="3" s="1"/>
  <c r="S42" i="3"/>
  <c r="E42" i="3" s="1"/>
  <c r="T42" i="3"/>
  <c r="F42" i="3" s="1"/>
  <c r="S78" i="3"/>
  <c r="E78" i="3" s="1"/>
  <c r="T78" i="3"/>
  <c r="F78" i="3" s="1"/>
  <c r="S56" i="3"/>
  <c r="E56" i="3" s="1"/>
  <c r="T56" i="3"/>
  <c r="F56" i="3" s="1"/>
  <c r="S36" i="3"/>
  <c r="E36" i="3" s="1"/>
  <c r="T36" i="3"/>
  <c r="F36" i="3" s="1"/>
  <c r="S88" i="3"/>
  <c r="E88" i="3" s="1"/>
  <c r="T88" i="3"/>
  <c r="F88" i="3" s="1"/>
  <c r="S114" i="3"/>
  <c r="E114" i="3" s="1"/>
  <c r="T114" i="3"/>
  <c r="F114" i="3" s="1"/>
  <c r="S118" i="3"/>
  <c r="E118" i="3" s="1"/>
  <c r="T118" i="3"/>
  <c r="F118" i="3" s="1"/>
  <c r="T93" i="3"/>
  <c r="F93" i="3" s="1"/>
  <c r="S93" i="3"/>
  <c r="E93" i="3" s="1"/>
  <c r="T73" i="3"/>
  <c r="F73" i="3" s="1"/>
  <c r="S73" i="3"/>
  <c r="E73" i="3" s="1"/>
  <c r="T119" i="3"/>
  <c r="F119" i="3" s="1"/>
  <c r="S119" i="3"/>
  <c r="E119" i="3" s="1"/>
  <c r="S132" i="3"/>
  <c r="E132" i="3" s="1"/>
  <c r="T132" i="3"/>
  <c r="F132" i="3" s="1"/>
  <c r="T87" i="3"/>
  <c r="F87" i="3" s="1"/>
  <c r="S87" i="3"/>
  <c r="E87" i="3" s="1"/>
  <c r="T47" i="3"/>
  <c r="F47" i="3" s="1"/>
  <c r="S47" i="3"/>
  <c r="E47" i="3" s="1"/>
  <c r="T43" i="3"/>
  <c r="F43" i="3" s="1"/>
  <c r="S43" i="3"/>
  <c r="E43" i="3" s="1"/>
  <c r="T123" i="3"/>
  <c r="F123" i="3" s="1"/>
  <c r="S123" i="3"/>
  <c r="E123" i="3" s="1"/>
  <c r="S60" i="3"/>
  <c r="E60" i="3" s="1"/>
  <c r="T60" i="3"/>
  <c r="F60" i="3" s="1"/>
  <c r="T75" i="3"/>
  <c r="F75" i="3" s="1"/>
  <c r="S75" i="3"/>
  <c r="E75" i="3" s="1"/>
  <c r="T41" i="3"/>
  <c r="F41" i="3" s="1"/>
  <c r="S41" i="3"/>
  <c r="E41" i="3" s="1"/>
  <c r="U87" i="1"/>
  <c r="T90" i="1"/>
  <c r="N50" i="2"/>
  <c r="M51" i="2"/>
  <c r="M179" i="1"/>
  <c r="V87" i="1" l="1"/>
  <c r="U90" i="1"/>
  <c r="O50" i="2"/>
  <c r="O51" i="2" s="1"/>
  <c r="N51" i="2"/>
  <c r="N179" i="1"/>
  <c r="BH13" i="1" s="1"/>
  <c r="I13" i="1" l="1"/>
  <c r="W87" i="1"/>
  <c r="V90" i="1"/>
  <c r="J13" i="1"/>
  <c r="K2" i="1"/>
  <c r="K5" i="1" s="1"/>
  <c r="X87" i="1" l="1"/>
  <c r="W90" i="1"/>
  <c r="K13" i="1"/>
  <c r="L2" i="1"/>
  <c r="L5" i="1" s="1"/>
  <c r="Y87" i="1" l="1"/>
  <c r="X90" i="1"/>
  <c r="L13" i="1"/>
  <c r="M2" i="1"/>
  <c r="M5" i="1" s="1"/>
  <c r="Z87" i="1" l="1"/>
  <c r="Y90" i="1"/>
  <c r="M13" i="1"/>
  <c r="N2" i="1"/>
  <c r="N5" i="1" s="1"/>
  <c r="AA87" i="1" l="1"/>
  <c r="Z90" i="1"/>
  <c r="N13" i="1"/>
  <c r="O2" i="1"/>
  <c r="O5" i="1" s="1"/>
  <c r="AB87" i="1" l="1"/>
  <c r="AA90" i="1"/>
  <c r="O13" i="1"/>
  <c r="P2" i="1"/>
  <c r="P5" i="1" s="1"/>
  <c r="AC87" i="1" l="1"/>
  <c r="AB90" i="1"/>
  <c r="P13" i="1"/>
  <c r="Q2" i="1"/>
  <c r="Q5" i="1" s="1"/>
  <c r="AD87" i="1" l="1"/>
  <c r="AC90" i="1"/>
  <c r="Q13" i="1"/>
  <c r="R2" i="1"/>
  <c r="R5" i="1" s="1"/>
  <c r="AE87" i="1" l="1"/>
  <c r="AD90" i="1"/>
  <c r="R13" i="1"/>
  <c r="S2" i="1"/>
  <c r="S5" i="1" s="1"/>
  <c r="AF87" i="1" l="1"/>
  <c r="AE90" i="1"/>
  <c r="S13" i="1"/>
  <c r="T2" i="1"/>
  <c r="T5" i="1" s="1"/>
  <c r="AG87" i="1" l="1"/>
  <c r="AF90" i="1"/>
  <c r="T13" i="1"/>
  <c r="U2" i="1"/>
  <c r="U5" i="1" s="1"/>
  <c r="AH87" i="1" l="1"/>
  <c r="AG90" i="1"/>
  <c r="U13" i="1"/>
  <c r="V2" i="1"/>
  <c r="V5" i="1" s="1"/>
  <c r="AI87" i="1" l="1"/>
  <c r="AH90" i="1"/>
  <c r="V13" i="1"/>
  <c r="W2" i="1"/>
  <c r="W5" i="1" s="1"/>
  <c r="AJ87" i="1" l="1"/>
  <c r="AI90" i="1"/>
  <c r="W13" i="1"/>
  <c r="X2" i="1"/>
  <c r="X5" i="1" s="1"/>
  <c r="AK87" i="1" l="1"/>
  <c r="AJ90" i="1"/>
  <c r="X13" i="1"/>
  <c r="Y2" i="1"/>
  <c r="Y5" i="1" s="1"/>
  <c r="AL87" i="1" l="1"/>
  <c r="AK90" i="1"/>
  <c r="Y13" i="1"/>
  <c r="Z2" i="1"/>
  <c r="Z5" i="1" s="1"/>
  <c r="AM87" i="1" l="1"/>
  <c r="AL90" i="1"/>
  <c r="Z13" i="1"/>
  <c r="AA2" i="1"/>
  <c r="AA5" i="1" s="1"/>
  <c r="AN87" i="1" l="1"/>
  <c r="AM90" i="1"/>
  <c r="AA13" i="1"/>
  <c r="AB2" i="1"/>
  <c r="AB5" i="1" s="1"/>
  <c r="AO87" i="1" l="1"/>
  <c r="AN90" i="1"/>
  <c r="AB13" i="1"/>
  <c r="AC2" i="1"/>
  <c r="AC5" i="1" s="1"/>
  <c r="AP87" i="1" l="1"/>
  <c r="AO90" i="1"/>
  <c r="AC13" i="1"/>
  <c r="AD2" i="1"/>
  <c r="AD5" i="1" s="1"/>
  <c r="AQ87" i="1" l="1"/>
  <c r="AP90" i="1"/>
  <c r="AD13" i="1"/>
  <c r="AE2" i="1"/>
  <c r="AE5" i="1" s="1"/>
  <c r="AR87" i="1" l="1"/>
  <c r="AQ90" i="1"/>
  <c r="AE13" i="1"/>
  <c r="AF2" i="1"/>
  <c r="AF5" i="1" s="1"/>
  <c r="AS87" i="1" l="1"/>
  <c r="AR90" i="1"/>
  <c r="AF13" i="1"/>
  <c r="AG2" i="1"/>
  <c r="AG5" i="1" s="1"/>
  <c r="AT87" i="1" l="1"/>
  <c r="AS90" i="1"/>
  <c r="AG13" i="1"/>
  <c r="AH2" i="1"/>
  <c r="AH5" i="1" s="1"/>
  <c r="AU87" i="1" l="1"/>
  <c r="AT90" i="1"/>
  <c r="AH13" i="1"/>
  <c r="AI2" i="1"/>
  <c r="AI5" i="1" s="1"/>
  <c r="AV87" i="1" l="1"/>
  <c r="AU90" i="1"/>
  <c r="AI13" i="1"/>
  <c r="AJ2" i="1"/>
  <c r="AJ5" i="1" s="1"/>
  <c r="AW87" i="1" l="1"/>
  <c r="AV90" i="1"/>
  <c r="AJ13" i="1"/>
  <c r="AK2" i="1"/>
  <c r="AK5" i="1" s="1"/>
  <c r="AX87" i="1" l="1"/>
  <c r="AW90" i="1"/>
  <c r="AK13" i="1"/>
  <c r="AL2" i="1"/>
  <c r="AL5" i="1" s="1"/>
  <c r="AY87" i="1" l="1"/>
  <c r="AX90" i="1"/>
  <c r="AL13" i="1"/>
  <c r="AM2" i="1"/>
  <c r="AM5" i="1" s="1"/>
  <c r="AZ87" i="1" l="1"/>
  <c r="AY90" i="1"/>
  <c r="AM13" i="1"/>
  <c r="AN2" i="1"/>
  <c r="AN5" i="1" s="1"/>
  <c r="BA87" i="1" l="1"/>
  <c r="AZ90" i="1"/>
  <c r="AN13" i="1"/>
  <c r="AO2" i="1"/>
  <c r="AO5" i="1" s="1"/>
  <c r="BB87" i="1" l="1"/>
  <c r="BA90" i="1"/>
  <c r="AO13" i="1"/>
  <c r="AP2" i="1"/>
  <c r="AP5" i="1" s="1"/>
  <c r="BC87" i="1" l="1"/>
  <c r="BB90" i="1"/>
  <c r="AP13" i="1"/>
  <c r="AQ2" i="1"/>
  <c r="AQ5" i="1" s="1"/>
  <c r="BD87" i="1" l="1"/>
  <c r="BC90" i="1"/>
  <c r="AQ13" i="1"/>
  <c r="AR2" i="1"/>
  <c r="AR5" i="1" s="1"/>
  <c r="BE87" i="1" l="1"/>
  <c r="BD90" i="1"/>
  <c r="AR13" i="1"/>
  <c r="AS2" i="1"/>
  <c r="AS5" i="1" s="1"/>
  <c r="BF87" i="1" l="1"/>
  <c r="BE90" i="1"/>
  <c r="AS13" i="1"/>
  <c r="AT2" i="1"/>
  <c r="AT5" i="1" s="1"/>
  <c r="BG87" i="1" l="1"/>
  <c r="BG90" i="1" s="1"/>
  <c r="BF90" i="1"/>
  <c r="AT13" i="1"/>
  <c r="AU2" i="1"/>
  <c r="AU5" i="1" s="1"/>
  <c r="AU13" i="1" l="1"/>
  <c r="AV2" i="1"/>
  <c r="AV5" i="1" s="1"/>
  <c r="AV13" i="1" l="1"/>
  <c r="AW2" i="1"/>
  <c r="AW5" i="1" s="1"/>
  <c r="AW13" i="1" l="1"/>
  <c r="AX2" i="1"/>
  <c r="AX5" i="1" s="1"/>
  <c r="AX13" i="1" l="1"/>
  <c r="AY2" i="1"/>
  <c r="AY5" i="1" s="1"/>
  <c r="AY13" i="1" l="1"/>
  <c r="AZ2" i="1"/>
  <c r="AZ5" i="1" s="1"/>
  <c r="AZ13" i="1" l="1"/>
  <c r="BA2" i="1"/>
  <c r="BA5" i="1" s="1"/>
  <c r="BA13" i="1" l="1"/>
  <c r="BB2" i="1"/>
  <c r="BB5" i="1" s="1"/>
  <c r="BB13" i="1" l="1"/>
  <c r="BC2" i="1"/>
  <c r="BC5" i="1" s="1"/>
  <c r="BC13" i="1" l="1"/>
  <c r="BD2" i="1"/>
  <c r="BD5" i="1" s="1"/>
  <c r="BD13" i="1" l="1"/>
  <c r="BE2" i="1"/>
  <c r="BE5" i="1" s="1"/>
  <c r="BE13" i="1" l="1"/>
  <c r="BF2" i="1"/>
  <c r="BF5" i="1" s="1"/>
  <c r="BF13" i="1" l="1"/>
  <c r="BG2" i="1"/>
  <c r="BG5" i="1" s="1"/>
  <c r="BG13" i="1" l="1"/>
  <c r="F8" i="3" l="1"/>
  <c r="L36" i="3" s="1"/>
  <c r="M36" i="3" s="1"/>
  <c r="C36" i="3" s="1"/>
  <c r="G36" i="3" s="1"/>
  <c r="A36" i="3" s="1"/>
  <c r="L41" i="3"/>
  <c r="M41" i="3" s="1"/>
  <c r="L44" i="3"/>
  <c r="M44" i="3" s="1"/>
  <c r="L45" i="3"/>
  <c r="M45" i="3" s="1"/>
  <c r="L48" i="3"/>
  <c r="M48" i="3" s="1"/>
  <c r="L49" i="3"/>
  <c r="M49" i="3" s="1"/>
  <c r="D49" i="3" s="1"/>
  <c r="H49" i="3" s="1"/>
  <c r="L52" i="3"/>
  <c r="M52" i="3" s="1"/>
  <c r="L53" i="3"/>
  <c r="M53" i="3" s="1"/>
  <c r="C53" i="3" s="1"/>
  <c r="G53" i="3" s="1"/>
  <c r="A53" i="3" s="1"/>
  <c r="L56" i="3"/>
  <c r="M56" i="3" s="1"/>
  <c r="L57" i="3"/>
  <c r="M57" i="3" s="1"/>
  <c r="L60" i="3"/>
  <c r="M60" i="3" s="1"/>
  <c r="L61" i="3"/>
  <c r="M61" i="3" s="1"/>
  <c r="C61" i="3" s="1"/>
  <c r="G61" i="3" s="1"/>
  <c r="A61" i="3" s="1"/>
  <c r="L64" i="3"/>
  <c r="M64" i="3" s="1"/>
  <c r="L65" i="3"/>
  <c r="M65" i="3" s="1"/>
  <c r="L68" i="3"/>
  <c r="M68" i="3" s="1"/>
  <c r="C68" i="3" s="1"/>
  <c r="G68" i="3" s="1"/>
  <c r="A68" i="3" s="1"/>
  <c r="L69" i="3"/>
  <c r="M69" i="3" s="1"/>
  <c r="C69" i="3" s="1"/>
  <c r="G69" i="3" s="1"/>
  <c r="A69" i="3" s="1"/>
  <c r="L72" i="3"/>
  <c r="M72" i="3" s="1"/>
  <c r="L73" i="3"/>
  <c r="M73" i="3" s="1"/>
  <c r="D73" i="3" s="1"/>
  <c r="H73" i="3" s="1"/>
  <c r="L76" i="3"/>
  <c r="M76" i="3" s="1"/>
  <c r="D76" i="3" s="1"/>
  <c r="H76" i="3" s="1"/>
  <c r="L77" i="3"/>
  <c r="M77" i="3" s="1"/>
  <c r="L80" i="3"/>
  <c r="M80" i="3" s="1"/>
  <c r="L81" i="3"/>
  <c r="M81" i="3" s="1"/>
  <c r="D81" i="3" s="1"/>
  <c r="H81" i="3" s="1"/>
  <c r="L83" i="3"/>
  <c r="M83" i="3" s="1"/>
  <c r="L84" i="3"/>
  <c r="M84" i="3" s="1"/>
  <c r="C84" i="3" s="1"/>
  <c r="G84" i="3" s="1"/>
  <c r="A84" i="3" s="1"/>
  <c r="L86" i="3"/>
  <c r="M86" i="3" s="1"/>
  <c r="L87" i="3"/>
  <c r="M87" i="3" s="1"/>
  <c r="L88" i="3"/>
  <c r="M88" i="3" s="1"/>
  <c r="C88" i="3" s="1"/>
  <c r="G88" i="3" s="1"/>
  <c r="A88" i="3" s="1"/>
  <c r="L90" i="3"/>
  <c r="M90" i="3" s="1"/>
  <c r="L91" i="3"/>
  <c r="M91" i="3" s="1"/>
  <c r="C91" i="3" s="1"/>
  <c r="G91" i="3" s="1"/>
  <c r="A91" i="3" s="1"/>
  <c r="L92" i="3"/>
  <c r="M92" i="3" s="1"/>
  <c r="L94" i="3"/>
  <c r="M94" i="3" s="1"/>
  <c r="C94" i="3" s="1"/>
  <c r="G94" i="3" s="1"/>
  <c r="A94" i="3" s="1"/>
  <c r="L95" i="3"/>
  <c r="M95" i="3" s="1"/>
  <c r="L96" i="3"/>
  <c r="M96" i="3" s="1"/>
  <c r="L98" i="3"/>
  <c r="M98" i="3" s="1"/>
  <c r="C98" i="3" s="1"/>
  <c r="G98" i="3" s="1"/>
  <c r="A98" i="3" s="1"/>
  <c r="L99" i="3"/>
  <c r="M99" i="3" s="1"/>
  <c r="L100" i="3"/>
  <c r="M100" i="3" s="1"/>
  <c r="C100" i="3" s="1"/>
  <c r="G100" i="3" s="1"/>
  <c r="A100" i="3" s="1"/>
  <c r="L101" i="3"/>
  <c r="M101" i="3" s="1"/>
  <c r="C101" i="3" s="1"/>
  <c r="G101" i="3" s="1"/>
  <c r="A101" i="3" s="1"/>
  <c r="L102" i="3"/>
  <c r="M102" i="3" s="1"/>
  <c r="L103" i="3"/>
  <c r="M103" i="3" s="1"/>
  <c r="D103" i="3" s="1"/>
  <c r="H103" i="3" s="1"/>
  <c r="L104" i="3"/>
  <c r="M104" i="3" s="1"/>
  <c r="C104" i="3" s="1"/>
  <c r="G104" i="3" s="1"/>
  <c r="A104" i="3" s="1"/>
  <c r="L105" i="3"/>
  <c r="M105" i="3" s="1"/>
  <c r="L106" i="3"/>
  <c r="M106" i="3" s="1"/>
  <c r="D106" i="3" s="1"/>
  <c r="H106" i="3" s="1"/>
  <c r="L107" i="3"/>
  <c r="M107" i="3" s="1"/>
  <c r="C107" i="3" s="1"/>
  <c r="G107" i="3" s="1"/>
  <c r="A107" i="3" s="1"/>
  <c r="L108" i="3"/>
  <c r="M108" i="3" s="1"/>
  <c r="C108" i="3" s="1"/>
  <c r="G108" i="3" s="1"/>
  <c r="A108" i="3" s="1"/>
  <c r="L109" i="3"/>
  <c r="M109" i="3" s="1"/>
  <c r="D109" i="3" s="1"/>
  <c r="H109" i="3" s="1"/>
  <c r="L110" i="3"/>
  <c r="M110" i="3" s="1"/>
  <c r="L111" i="3"/>
  <c r="M111" i="3" s="1"/>
  <c r="L112" i="3"/>
  <c r="M112" i="3" s="1"/>
  <c r="L113" i="3"/>
  <c r="M113" i="3" s="1"/>
  <c r="D113" i="3" s="1"/>
  <c r="H113" i="3" s="1"/>
  <c r="L114" i="3"/>
  <c r="M114" i="3" s="1"/>
  <c r="L115" i="3"/>
  <c r="M115" i="3" s="1"/>
  <c r="C115" i="3" s="1"/>
  <c r="G115" i="3" s="1"/>
  <c r="A115" i="3" s="1"/>
  <c r="L116" i="3"/>
  <c r="M116" i="3" s="1"/>
  <c r="L117" i="3"/>
  <c r="M117" i="3" s="1"/>
  <c r="C117" i="3" s="1"/>
  <c r="G117" i="3" s="1"/>
  <c r="A117" i="3" s="1"/>
  <c r="L118" i="3"/>
  <c r="M118" i="3" s="1"/>
  <c r="C118" i="3" s="1"/>
  <c r="G118" i="3" s="1"/>
  <c r="A118" i="3" s="1"/>
  <c r="L119" i="3"/>
  <c r="M119" i="3" s="1"/>
  <c r="L120" i="3"/>
  <c r="M120" i="3" s="1"/>
  <c r="C120" i="3" s="1"/>
  <c r="G120" i="3" s="1"/>
  <c r="A120" i="3" s="1"/>
  <c r="L121" i="3"/>
  <c r="M121" i="3" s="1"/>
  <c r="D121" i="3" s="1"/>
  <c r="H121" i="3" s="1"/>
  <c r="L122" i="3"/>
  <c r="M122" i="3" s="1"/>
  <c r="L123" i="3"/>
  <c r="M123" i="3" s="1"/>
  <c r="D123" i="3" s="1"/>
  <c r="H123" i="3" s="1"/>
  <c r="L124" i="3"/>
  <c r="M124" i="3" s="1"/>
  <c r="C124" i="3" s="1"/>
  <c r="G124" i="3" s="1"/>
  <c r="A124" i="3" s="1"/>
  <c r="L125" i="3"/>
  <c r="M125" i="3" s="1"/>
  <c r="D125" i="3" s="1"/>
  <c r="H125" i="3" s="1"/>
  <c r="L126" i="3"/>
  <c r="M126" i="3" s="1"/>
  <c r="C126" i="3" s="1"/>
  <c r="G126" i="3" s="1"/>
  <c r="A126" i="3" s="1"/>
  <c r="L127" i="3"/>
  <c r="M127" i="3" s="1"/>
  <c r="L128" i="3"/>
  <c r="M128" i="3" s="1"/>
  <c r="L129" i="3"/>
  <c r="M129" i="3" s="1"/>
  <c r="D129" i="3" s="1"/>
  <c r="H129" i="3" s="1"/>
  <c r="L130" i="3"/>
  <c r="M130" i="3" s="1"/>
  <c r="L131" i="3"/>
  <c r="M131" i="3" s="1"/>
  <c r="C131" i="3" s="1"/>
  <c r="G131" i="3" s="1"/>
  <c r="A131" i="3" s="1"/>
  <c r="L132" i="3"/>
  <c r="M132" i="3" s="1"/>
  <c r="C132" i="3" s="1"/>
  <c r="G132" i="3" s="1"/>
  <c r="A132" i="3" s="1"/>
  <c r="L133" i="3"/>
  <c r="M133" i="3" s="1"/>
  <c r="L135" i="3"/>
  <c r="M135" i="3" s="1"/>
  <c r="C135" i="3" s="1"/>
  <c r="G135" i="3" s="1"/>
  <c r="A135" i="3" s="1"/>
  <c r="L40" i="3" l="1"/>
  <c r="M40" i="3" s="1"/>
  <c r="L79" i="3"/>
  <c r="M79" i="3" s="1"/>
  <c r="C79" i="3" s="1"/>
  <c r="G79" i="3" s="1"/>
  <c r="A79" i="3" s="1"/>
  <c r="L75" i="3"/>
  <c r="M75" i="3" s="1"/>
  <c r="D75" i="3" s="1"/>
  <c r="H75" i="3" s="1"/>
  <c r="L71" i="3"/>
  <c r="M71" i="3" s="1"/>
  <c r="C71" i="3" s="1"/>
  <c r="G71" i="3" s="1"/>
  <c r="A71" i="3" s="1"/>
  <c r="L67" i="3"/>
  <c r="M67" i="3" s="1"/>
  <c r="D67" i="3" s="1"/>
  <c r="H67" i="3" s="1"/>
  <c r="L63" i="3"/>
  <c r="M63" i="3" s="1"/>
  <c r="L59" i="3"/>
  <c r="M59" i="3" s="1"/>
  <c r="D59" i="3" s="1"/>
  <c r="H59" i="3" s="1"/>
  <c r="L55" i="3"/>
  <c r="M55" i="3" s="1"/>
  <c r="C55" i="3" s="1"/>
  <c r="G55" i="3" s="1"/>
  <c r="A55" i="3" s="1"/>
  <c r="L51" i="3"/>
  <c r="M51" i="3" s="1"/>
  <c r="C51" i="3" s="1"/>
  <c r="G51" i="3" s="1"/>
  <c r="A51" i="3" s="1"/>
  <c r="L47" i="3"/>
  <c r="M47" i="3" s="1"/>
  <c r="L43" i="3"/>
  <c r="M43" i="3" s="1"/>
  <c r="D43" i="3" s="1"/>
  <c r="H43" i="3" s="1"/>
  <c r="L39" i="3"/>
  <c r="M39" i="3" s="1"/>
  <c r="C39" i="3" s="1"/>
  <c r="G39" i="3" s="1"/>
  <c r="A39" i="3" s="1"/>
  <c r="L97" i="3"/>
  <c r="M97" i="3" s="1"/>
  <c r="C97" i="3" s="1"/>
  <c r="G97" i="3" s="1"/>
  <c r="A97" i="3" s="1"/>
  <c r="L93" i="3"/>
  <c r="M93" i="3" s="1"/>
  <c r="L89" i="3"/>
  <c r="M89" i="3" s="1"/>
  <c r="D89" i="3" s="1"/>
  <c r="H89" i="3" s="1"/>
  <c r="L85" i="3"/>
  <c r="M85" i="3" s="1"/>
  <c r="C85" i="3" s="1"/>
  <c r="G85" i="3" s="1"/>
  <c r="A85" i="3" s="1"/>
  <c r="L82" i="3"/>
  <c r="M82" i="3" s="1"/>
  <c r="C82" i="3" s="1"/>
  <c r="G82" i="3" s="1"/>
  <c r="A82" i="3" s="1"/>
  <c r="L78" i="3"/>
  <c r="M78" i="3" s="1"/>
  <c r="D78" i="3" s="1"/>
  <c r="H78" i="3" s="1"/>
  <c r="L74" i="3"/>
  <c r="M74" i="3" s="1"/>
  <c r="C74" i="3" s="1"/>
  <c r="G74" i="3" s="1"/>
  <c r="A74" i="3" s="1"/>
  <c r="L70" i="3"/>
  <c r="M70" i="3" s="1"/>
  <c r="D70" i="3" s="1"/>
  <c r="H70" i="3" s="1"/>
  <c r="L66" i="3"/>
  <c r="M66" i="3" s="1"/>
  <c r="D66" i="3" s="1"/>
  <c r="H66" i="3" s="1"/>
  <c r="L62" i="3"/>
  <c r="M62" i="3" s="1"/>
  <c r="L58" i="3"/>
  <c r="M58" i="3" s="1"/>
  <c r="C58" i="3" s="1"/>
  <c r="G58" i="3" s="1"/>
  <c r="A58" i="3" s="1"/>
  <c r="L54" i="3"/>
  <c r="M54" i="3" s="1"/>
  <c r="C54" i="3" s="1"/>
  <c r="G54" i="3" s="1"/>
  <c r="A54" i="3" s="1"/>
  <c r="L50" i="3"/>
  <c r="M50" i="3" s="1"/>
  <c r="D50" i="3" s="1"/>
  <c r="H50" i="3" s="1"/>
  <c r="L46" i="3"/>
  <c r="M46" i="3" s="1"/>
  <c r="D46" i="3" s="1"/>
  <c r="H46" i="3" s="1"/>
  <c r="L42" i="3"/>
  <c r="M42" i="3" s="1"/>
  <c r="C42" i="3" s="1"/>
  <c r="G42" i="3" s="1"/>
  <c r="A42" i="3" s="1"/>
  <c r="L38" i="3"/>
  <c r="M38" i="3" s="1"/>
  <c r="D38" i="3" s="1"/>
  <c r="H38" i="3" s="1"/>
  <c r="L37" i="3"/>
  <c r="M37" i="3" s="1"/>
  <c r="C37" i="3" s="1"/>
  <c r="G37" i="3" s="1"/>
  <c r="A37" i="3" s="1"/>
  <c r="L35" i="3"/>
  <c r="M35" i="3" s="1"/>
  <c r="C35" i="3" s="1"/>
  <c r="G35" i="3" s="1"/>
  <c r="A35" i="3" s="1"/>
  <c r="D115" i="3"/>
  <c r="H115" i="3" s="1"/>
  <c r="D101" i="3"/>
  <c r="H101" i="3" s="1"/>
  <c r="D53" i="3"/>
  <c r="H53" i="3" s="1"/>
  <c r="D60" i="3"/>
  <c r="H60" i="3" s="1"/>
  <c r="C60" i="3"/>
  <c r="G60" i="3" s="1"/>
  <c r="A60" i="3" s="1"/>
  <c r="D41" i="3"/>
  <c r="H41" i="3" s="1"/>
  <c r="C41" i="3"/>
  <c r="G41" i="3" s="1"/>
  <c r="A41" i="3" s="1"/>
  <c r="D36" i="3"/>
  <c r="H36" i="3" s="1"/>
  <c r="C76" i="3"/>
  <c r="G76" i="3" s="1"/>
  <c r="A76" i="3" s="1"/>
  <c r="D68" i="3"/>
  <c r="H68" i="3" s="1"/>
  <c r="D119" i="3"/>
  <c r="H119" i="3" s="1"/>
  <c r="C119" i="3"/>
  <c r="G119" i="3" s="1"/>
  <c r="A119" i="3" s="1"/>
  <c r="C130" i="3"/>
  <c r="G130" i="3" s="1"/>
  <c r="A130" i="3" s="1"/>
  <c r="D130" i="3"/>
  <c r="H130" i="3" s="1"/>
  <c r="C92" i="3"/>
  <c r="G92" i="3" s="1"/>
  <c r="A92" i="3" s="1"/>
  <c r="D92" i="3"/>
  <c r="H92" i="3" s="1"/>
  <c r="D90" i="3"/>
  <c r="H90" i="3" s="1"/>
  <c r="C90" i="3"/>
  <c r="G90" i="3" s="1"/>
  <c r="A90" i="3" s="1"/>
  <c r="D44" i="3"/>
  <c r="H44" i="3" s="1"/>
  <c r="C44" i="3"/>
  <c r="G44" i="3" s="1"/>
  <c r="A44" i="3" s="1"/>
  <c r="C52" i="3"/>
  <c r="G52" i="3" s="1"/>
  <c r="A52" i="3" s="1"/>
  <c r="D52" i="3"/>
  <c r="H52" i="3" s="1"/>
  <c r="D132" i="3"/>
  <c r="H132" i="3" s="1"/>
  <c r="D117" i="3"/>
  <c r="H117" i="3" s="1"/>
  <c r="C109" i="3"/>
  <c r="G109" i="3" s="1"/>
  <c r="A109" i="3" s="1"/>
  <c r="C121" i="3"/>
  <c r="G121" i="3" s="1"/>
  <c r="A121" i="3" s="1"/>
  <c r="C73" i="3"/>
  <c r="G73" i="3" s="1"/>
  <c r="A73" i="3" s="1"/>
  <c r="D69" i="3"/>
  <c r="H69" i="3" s="1"/>
  <c r="D126" i="3"/>
  <c r="H126" i="3" s="1"/>
  <c r="D124" i="3"/>
  <c r="H124" i="3" s="1"/>
  <c r="D98" i="3"/>
  <c r="H98" i="3" s="1"/>
  <c r="D94" i="3"/>
  <c r="H94" i="3" s="1"/>
  <c r="C106" i="3"/>
  <c r="G106" i="3" s="1"/>
  <c r="A106" i="3" s="1"/>
  <c r="C103" i="3"/>
  <c r="G103" i="3" s="1"/>
  <c r="A103" i="3" s="1"/>
  <c r="D91" i="3"/>
  <c r="H91" i="3" s="1"/>
  <c r="D88" i="3"/>
  <c r="H88" i="3" s="1"/>
  <c r="D84" i="3"/>
  <c r="H84" i="3" s="1"/>
  <c r="D61" i="3"/>
  <c r="H61" i="3" s="1"/>
  <c r="D107" i="3"/>
  <c r="H107" i="3" s="1"/>
  <c r="D104" i="3"/>
  <c r="H104" i="3" s="1"/>
  <c r="D118" i="3"/>
  <c r="H118" i="3" s="1"/>
  <c r="D108" i="3"/>
  <c r="H108" i="3" s="1"/>
  <c r="D100" i="3"/>
  <c r="H100" i="3" s="1"/>
  <c r="D135" i="3"/>
  <c r="H135" i="3" s="1"/>
  <c r="C125" i="3"/>
  <c r="G125" i="3" s="1"/>
  <c r="A125" i="3" s="1"/>
  <c r="C123" i="3"/>
  <c r="G123" i="3" s="1"/>
  <c r="A123" i="3" s="1"/>
  <c r="D65" i="3"/>
  <c r="H65" i="3" s="1"/>
  <c r="C65" i="3"/>
  <c r="G65" i="3" s="1"/>
  <c r="A65" i="3" s="1"/>
  <c r="C40" i="3"/>
  <c r="G40" i="3" s="1"/>
  <c r="A40" i="3" s="1"/>
  <c r="D40" i="3"/>
  <c r="H40" i="3" s="1"/>
  <c r="C72" i="3"/>
  <c r="G72" i="3" s="1"/>
  <c r="A72" i="3" s="1"/>
  <c r="D72" i="3"/>
  <c r="H72" i="3" s="1"/>
  <c r="C47" i="3"/>
  <c r="G47" i="3" s="1"/>
  <c r="A47" i="3" s="1"/>
  <c r="D47" i="3"/>
  <c r="H47" i="3" s="1"/>
  <c r="C83" i="3"/>
  <c r="G83" i="3" s="1"/>
  <c r="A83" i="3" s="1"/>
  <c r="D83" i="3"/>
  <c r="H83" i="3" s="1"/>
  <c r="D111" i="3"/>
  <c r="H111" i="3" s="1"/>
  <c r="C111" i="3"/>
  <c r="G111" i="3" s="1"/>
  <c r="A111" i="3" s="1"/>
  <c r="D127" i="3"/>
  <c r="H127" i="3" s="1"/>
  <c r="C127" i="3"/>
  <c r="G127" i="3" s="1"/>
  <c r="A127" i="3" s="1"/>
  <c r="C122" i="3"/>
  <c r="G122" i="3" s="1"/>
  <c r="A122" i="3" s="1"/>
  <c r="D122" i="3"/>
  <c r="H122" i="3" s="1"/>
  <c r="C110" i="3"/>
  <c r="G110" i="3" s="1"/>
  <c r="A110" i="3" s="1"/>
  <c r="D110" i="3"/>
  <c r="H110" i="3" s="1"/>
  <c r="C114" i="3"/>
  <c r="G114" i="3" s="1"/>
  <c r="A114" i="3" s="1"/>
  <c r="D114" i="3"/>
  <c r="H114" i="3" s="1"/>
  <c r="C96" i="3"/>
  <c r="G96" i="3" s="1"/>
  <c r="A96" i="3" s="1"/>
  <c r="D96" i="3"/>
  <c r="H96" i="3" s="1"/>
  <c r="C93" i="3"/>
  <c r="G93" i="3" s="1"/>
  <c r="A93" i="3" s="1"/>
  <c r="D93" i="3"/>
  <c r="H93" i="3" s="1"/>
  <c r="D95" i="3"/>
  <c r="H95" i="3" s="1"/>
  <c r="C95" i="3"/>
  <c r="G95" i="3" s="1"/>
  <c r="A95" i="3" s="1"/>
  <c r="D87" i="3"/>
  <c r="H87" i="3" s="1"/>
  <c r="C87" i="3"/>
  <c r="G87" i="3" s="1"/>
  <c r="A87" i="3" s="1"/>
  <c r="D120" i="3"/>
  <c r="H120" i="3" s="1"/>
  <c r="C116" i="3"/>
  <c r="G116" i="3" s="1"/>
  <c r="A116" i="3" s="1"/>
  <c r="D116" i="3"/>
  <c r="H116" i="3" s="1"/>
  <c r="C112" i="3"/>
  <c r="G112" i="3" s="1"/>
  <c r="A112" i="3" s="1"/>
  <c r="D112" i="3"/>
  <c r="H112" i="3" s="1"/>
  <c r="C62" i="3"/>
  <c r="G62" i="3" s="1"/>
  <c r="A62" i="3" s="1"/>
  <c r="D62" i="3"/>
  <c r="H62" i="3" s="1"/>
  <c r="C46" i="3"/>
  <c r="G46" i="3" s="1"/>
  <c r="A46" i="3" s="1"/>
  <c r="C128" i="3"/>
  <c r="G128" i="3" s="1"/>
  <c r="A128" i="3" s="1"/>
  <c r="D128" i="3"/>
  <c r="H128" i="3" s="1"/>
  <c r="C133" i="3"/>
  <c r="G133" i="3" s="1"/>
  <c r="A133" i="3" s="1"/>
  <c r="D133" i="3"/>
  <c r="H133" i="3" s="1"/>
  <c r="D79" i="3"/>
  <c r="H79" i="3" s="1"/>
  <c r="D131" i="3"/>
  <c r="H131" i="3" s="1"/>
  <c r="D105" i="3"/>
  <c r="H105" i="3" s="1"/>
  <c r="C105" i="3"/>
  <c r="G105" i="3" s="1"/>
  <c r="A105" i="3" s="1"/>
  <c r="C129" i="3"/>
  <c r="G129" i="3" s="1"/>
  <c r="A129" i="3" s="1"/>
  <c r="C113" i="3"/>
  <c r="G113" i="3" s="1"/>
  <c r="A113" i="3" s="1"/>
  <c r="C78" i="3"/>
  <c r="G78" i="3" s="1"/>
  <c r="A78" i="3" s="1"/>
  <c r="C63" i="3"/>
  <c r="G63" i="3" s="1"/>
  <c r="A63" i="3" s="1"/>
  <c r="D63" i="3"/>
  <c r="H63" i="3" s="1"/>
  <c r="C102" i="3"/>
  <c r="G102" i="3" s="1"/>
  <c r="A102" i="3" s="1"/>
  <c r="D102" i="3"/>
  <c r="H102" i="3" s="1"/>
  <c r="C48" i="3"/>
  <c r="G48" i="3" s="1"/>
  <c r="A48" i="3" s="1"/>
  <c r="D48" i="3"/>
  <c r="H48" i="3" s="1"/>
  <c r="C99" i="3"/>
  <c r="G99" i="3" s="1"/>
  <c r="A99" i="3" s="1"/>
  <c r="D99" i="3"/>
  <c r="H99" i="3" s="1"/>
  <c r="C86" i="3"/>
  <c r="G86" i="3" s="1"/>
  <c r="A86" i="3" s="1"/>
  <c r="D86" i="3"/>
  <c r="H86" i="3" s="1"/>
  <c r="C80" i="3"/>
  <c r="G80" i="3" s="1"/>
  <c r="A80" i="3" s="1"/>
  <c r="D80" i="3"/>
  <c r="H80" i="3" s="1"/>
  <c r="C77" i="3"/>
  <c r="G77" i="3" s="1"/>
  <c r="A77" i="3" s="1"/>
  <c r="D77" i="3"/>
  <c r="H77" i="3" s="1"/>
  <c r="D57" i="3"/>
  <c r="H57" i="3" s="1"/>
  <c r="C57" i="3"/>
  <c r="G57" i="3" s="1"/>
  <c r="A57" i="3" s="1"/>
  <c r="D51" i="3"/>
  <c r="H51" i="3" s="1"/>
  <c r="C45" i="3"/>
  <c r="G45" i="3" s="1"/>
  <c r="A45" i="3" s="1"/>
  <c r="D45" i="3"/>
  <c r="H45" i="3" s="1"/>
  <c r="C64" i="3"/>
  <c r="G64" i="3" s="1"/>
  <c r="A64" i="3" s="1"/>
  <c r="D64" i="3"/>
  <c r="H64" i="3" s="1"/>
  <c r="C56" i="3"/>
  <c r="G56" i="3" s="1"/>
  <c r="A56" i="3" s="1"/>
  <c r="D56" i="3"/>
  <c r="H56" i="3" s="1"/>
  <c r="C81" i="3"/>
  <c r="G81" i="3" s="1"/>
  <c r="A81" i="3" s="1"/>
  <c r="C49" i="3"/>
  <c r="G49" i="3" s="1"/>
  <c r="A49" i="3" s="1"/>
  <c r="L34" i="3"/>
  <c r="M34" i="3" s="1"/>
  <c r="C34" i="3" s="1"/>
  <c r="G34" i="3" s="1"/>
  <c r="F10" i="3"/>
  <c r="E93" i="1" s="1"/>
  <c r="D35" i="3" l="1"/>
  <c r="H35" i="3" s="1"/>
  <c r="D97" i="3"/>
  <c r="H97" i="3" s="1"/>
  <c r="C50" i="3"/>
  <c r="G50" i="3" s="1"/>
  <c r="A50" i="3" s="1"/>
  <c r="C70" i="3"/>
  <c r="G70" i="3" s="1"/>
  <c r="A70" i="3" s="1"/>
  <c r="C66" i="3"/>
  <c r="G66" i="3" s="1"/>
  <c r="A66" i="3" s="1"/>
  <c r="D85" i="3"/>
  <c r="H85" i="3" s="1"/>
  <c r="C67" i="3"/>
  <c r="G67" i="3" s="1"/>
  <c r="A67" i="3" s="1"/>
  <c r="D71" i="3"/>
  <c r="H71" i="3" s="1"/>
  <c r="D54" i="3"/>
  <c r="H54" i="3" s="1"/>
  <c r="D55" i="3"/>
  <c r="H55" i="3" s="1"/>
  <c r="C38" i="3"/>
  <c r="G38" i="3" s="1"/>
  <c r="A38" i="3" s="1"/>
  <c r="C75" i="3"/>
  <c r="G75" i="3" s="1"/>
  <c r="A75" i="3" s="1"/>
  <c r="D39" i="3"/>
  <c r="H39" i="3" s="1"/>
  <c r="C89" i="3"/>
  <c r="G89" i="3" s="1"/>
  <c r="A89" i="3" s="1"/>
  <c r="C59" i="3"/>
  <c r="G59" i="3" s="1"/>
  <c r="A59" i="3" s="1"/>
  <c r="D42" i="3"/>
  <c r="H42" i="3" s="1"/>
  <c r="C43" i="3"/>
  <c r="G43" i="3" s="1"/>
  <c r="A43" i="3" s="1"/>
  <c r="D58" i="3"/>
  <c r="H58" i="3" s="1"/>
  <c r="D74" i="3"/>
  <c r="H74" i="3" s="1"/>
  <c r="D82" i="3"/>
  <c r="H82" i="3" s="1"/>
  <c r="D37" i="3"/>
  <c r="H37" i="3" s="1"/>
  <c r="A34" i="3"/>
  <c r="D34" i="3"/>
  <c r="H34" i="3" s="1"/>
  <c r="B21" i="3" l="1"/>
  <c r="C100" i="1" s="1"/>
  <c r="B22" i="3"/>
  <c r="C101" i="1" s="1"/>
  <c r="T175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C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C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C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C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C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C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C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C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C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C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C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C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C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C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C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C70" i="1"/>
  <c r="D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C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C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C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C77" i="1"/>
  <c r="D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C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C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C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C84" i="1"/>
  <c r="D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L86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C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C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C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C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C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C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C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T163" i="1"/>
  <c r="X166" i="1"/>
  <c r="Y166" i="1"/>
  <c r="U175" i="1"/>
  <c r="X175" i="1"/>
  <c r="T176" i="1"/>
  <c r="U176" i="1"/>
  <c r="X176" i="1"/>
  <c r="T177" i="1"/>
  <c r="U177" i="1"/>
  <c r="T178" i="1"/>
  <c r="U178" i="1"/>
  <c r="T179" i="1"/>
  <c r="U179" i="1"/>
  <c r="T180" i="1"/>
  <c r="U180" i="1"/>
</calcChain>
</file>

<file path=xl/comments1.xml><?xml version="1.0" encoding="utf-8"?>
<comments xmlns="http://schemas.openxmlformats.org/spreadsheetml/2006/main">
  <authors>
    <author>Garvey, Richard</author>
  </authors>
  <commentList>
    <comment ref="X163" authorId="0" shapeId="0">
      <text>
        <r>
          <rPr>
            <b/>
            <sz val="9"/>
            <color indexed="81"/>
            <rFont val="Tahoma"/>
            <family val="2"/>
          </rPr>
          <t>Garvey, Richard:</t>
        </r>
        <r>
          <rPr>
            <sz val="9"/>
            <color indexed="81"/>
            <rFont val="Tahoma"/>
            <family val="2"/>
          </rPr>
          <t xml:space="preserve">
Check this in calculations
</t>
        </r>
      </text>
    </comment>
  </commentList>
</comments>
</file>

<file path=xl/sharedStrings.xml><?xml version="1.0" encoding="utf-8"?>
<sst xmlns="http://schemas.openxmlformats.org/spreadsheetml/2006/main" count="732" uniqueCount="356">
  <si>
    <t>5V0 LDO</t>
  </si>
  <si>
    <t>V5 LDO</t>
  </si>
  <si>
    <t>Vin</t>
  </si>
  <si>
    <t>Icc</t>
  </si>
  <si>
    <t>VREG</t>
  </si>
  <si>
    <t>Conduction Losses</t>
  </si>
  <si>
    <t>Switching Losses</t>
  </si>
  <si>
    <t>Switching frequency</t>
  </si>
  <si>
    <t>Isw buck RMS</t>
  </si>
  <si>
    <t>Total Buck FET Losses</t>
  </si>
  <si>
    <t>Vout</t>
  </si>
  <si>
    <t>Buck</t>
  </si>
  <si>
    <t>Buck-Boost</t>
  </si>
  <si>
    <t>Iout_PreReg</t>
  </si>
  <si>
    <t>Pdiss Total</t>
  </si>
  <si>
    <t>Rth,j-a</t>
  </si>
  <si>
    <t>Tj estimate</t>
  </si>
  <si>
    <t>Ta</t>
  </si>
  <si>
    <t>Rds thermal Coeff</t>
  </si>
  <si>
    <t>ton boost</t>
  </si>
  <si>
    <t>toff boost</t>
  </si>
  <si>
    <t>ton buck</t>
  </si>
  <si>
    <t>toff buck</t>
  </si>
  <si>
    <t>Pdiss total</t>
  </si>
  <si>
    <t>Tj</t>
  </si>
  <si>
    <t>Select Topology:</t>
  </si>
  <si>
    <t>T rise</t>
  </si>
  <si>
    <t>= Design Entry</t>
  </si>
  <si>
    <t>Vf</t>
  </si>
  <si>
    <t>VF, Temp. Coeff.</t>
  </si>
  <si>
    <t>Lx SLEW rate</t>
  </si>
  <si>
    <r>
      <t>RTH</t>
    </r>
    <r>
      <rPr>
        <vertAlign val="subscript"/>
        <sz val="11"/>
        <color theme="1"/>
        <rFont val="Calibri"/>
        <family val="2"/>
        <scheme val="minor"/>
      </rPr>
      <t>AVG</t>
    </r>
  </si>
  <si>
    <t>If</t>
  </si>
  <si>
    <t>Rds_ON at 150</t>
  </si>
  <si>
    <t>Buck duty</t>
  </si>
  <si>
    <t>Yes</t>
  </si>
  <si>
    <t>Reset =</t>
  </si>
  <si>
    <t>Boost FET</t>
  </si>
  <si>
    <t>Rds ON boost</t>
  </si>
  <si>
    <t>t rise boost</t>
  </si>
  <si>
    <t>t fall boost</t>
  </si>
  <si>
    <t>Ilpk</t>
  </si>
  <si>
    <t>m</t>
  </si>
  <si>
    <t>b</t>
  </si>
  <si>
    <t>I boost Diode avg</t>
  </si>
  <si>
    <t>I buck Diode avg</t>
  </si>
  <si>
    <t>Lout DCR</t>
  </si>
  <si>
    <t>Boost duty</t>
  </si>
  <si>
    <t>Max RMS current</t>
  </si>
  <si>
    <t>Max Peak current</t>
  </si>
  <si>
    <t>max Power diss</t>
  </si>
  <si>
    <t>Boost Diode</t>
  </si>
  <si>
    <t>Buck Diode</t>
  </si>
  <si>
    <t>fsw</t>
  </si>
  <si>
    <t>I boost SW RMS</t>
  </si>
  <si>
    <t>Buck Boost Mode Calculations</t>
  </si>
  <si>
    <t>V1</t>
  </si>
  <si>
    <t>V2</t>
  </si>
  <si>
    <t>V3</t>
  </si>
  <si>
    <t>IL RMS</t>
  </si>
  <si>
    <t>Rds_On Buck</t>
  </si>
  <si>
    <t>BUCK FET</t>
  </si>
  <si>
    <t>Tj Boost FET</t>
  </si>
  <si>
    <t>Rthj-a</t>
  </si>
  <si>
    <t>Rds_On Boost FET</t>
  </si>
  <si>
    <t>Total Boost FET Losses</t>
  </si>
  <si>
    <t>Max TJ</t>
  </si>
  <si>
    <t>Tj Diode</t>
  </si>
  <si>
    <t>Vf buck diode</t>
  </si>
  <si>
    <t>Vf boost diode</t>
  </si>
  <si>
    <t>Tj Boost Diode</t>
  </si>
  <si>
    <t>Pdiss boost diode</t>
  </si>
  <si>
    <t>Buck  Diode Specs</t>
  </si>
  <si>
    <t>Pdiss buck diode</t>
  </si>
  <si>
    <t>Series pass resistance</t>
  </si>
  <si>
    <t>Power dissipated</t>
  </si>
  <si>
    <t>Output voltage</t>
  </si>
  <si>
    <t>Circuit Currents</t>
  </si>
  <si>
    <t>Vin max (operating)</t>
  </si>
  <si>
    <t>Vin abs max</t>
  </si>
  <si>
    <t>Pdiss_max</t>
  </si>
  <si>
    <t>Thermal coeff at 150C</t>
  </si>
  <si>
    <t>Vin nom</t>
  </si>
  <si>
    <t xml:space="preserve">Fet Power Loss </t>
  </si>
  <si>
    <t>VREG_actual</t>
  </si>
  <si>
    <t>Buck Only Mode Calculations</t>
  </si>
  <si>
    <t>Required Buck duty</t>
  </si>
  <si>
    <t>New duty cycle</t>
  </si>
  <si>
    <t>New V1</t>
  </si>
  <si>
    <t>Duty</t>
  </si>
  <si>
    <t>Tjmax</t>
  </si>
  <si>
    <t>I Buck diode ON</t>
  </si>
  <si>
    <t>I boost diode ON</t>
  </si>
  <si>
    <t>I Buck Diode ON</t>
  </si>
  <si>
    <t>I out ext</t>
  </si>
  <si>
    <t>V out buck</t>
  </si>
  <si>
    <t>Dropout</t>
  </si>
  <si>
    <t>New VREG</t>
  </si>
  <si>
    <t>5V out</t>
  </si>
  <si>
    <t>Minimum off time for regulation</t>
  </si>
  <si>
    <t>Max buck duty</t>
  </si>
  <si>
    <t>Ripple</t>
  </si>
  <si>
    <t>Tj (MAX):</t>
  </si>
  <si>
    <t>Buck Fet</t>
  </si>
  <si>
    <t>Ohms/C</t>
  </si>
  <si>
    <t>-40C</t>
  </si>
  <si>
    <t>150C</t>
  </si>
  <si>
    <t>Vin &lt; 5.5V</t>
  </si>
  <si>
    <t>Vin &gt; 7V</t>
  </si>
  <si>
    <t>Min Boost Duty</t>
  </si>
  <si>
    <t>ton min (LG)</t>
  </si>
  <si>
    <t>Vf 25</t>
  </si>
  <si>
    <t>Vf 150</t>
  </si>
  <si>
    <t>delta</t>
  </si>
  <si>
    <t>Ripple Current</t>
  </si>
  <si>
    <t>L calculated</t>
  </si>
  <si>
    <t>Irms</t>
  </si>
  <si>
    <t>DCR &lt;</t>
  </si>
  <si>
    <t>Output Capacitor</t>
  </si>
  <si>
    <t>Vripple</t>
  </si>
  <si>
    <t>I Step</t>
  </si>
  <si>
    <t>V transient</t>
  </si>
  <si>
    <t>C_Vripple</t>
  </si>
  <si>
    <t>C Istep up</t>
  </si>
  <si>
    <t>C Istep down</t>
  </si>
  <si>
    <t>ESR</t>
  </si>
  <si>
    <t>I Cout RMS</t>
  </si>
  <si>
    <t>Ipk</t>
  </si>
  <si>
    <t>DI</t>
  </si>
  <si>
    <t>IC rms</t>
  </si>
  <si>
    <t>buck</t>
  </si>
  <si>
    <t>I RMS</t>
  </si>
  <si>
    <t>I cout RMS</t>
  </si>
  <si>
    <t>Vin - VREG</t>
  </si>
  <si>
    <t>ESR =</t>
  </si>
  <si>
    <t>ESL =</t>
  </si>
  <si>
    <t>Co_tot_min</t>
  </si>
  <si>
    <t>Recommended maximum 0dB crossover frequency</t>
  </si>
  <si>
    <t>fc =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</si>
  <si>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</si>
  <si>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</si>
  <si>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t>Zero formed by the output capacitance and its ESR</t>
  </si>
  <si>
    <t>Rz</t>
  </si>
  <si>
    <t>Recommended compensation resister to achieve chosen fc</t>
  </si>
  <si>
    <t>Enter the closest available 1% standard resister value</t>
  </si>
  <si>
    <t>Recommended range for the compensation capacitor</t>
  </si>
  <si>
    <t>Cp</t>
  </si>
  <si>
    <t>Recommended HF compensation capacitor</t>
  </si>
  <si>
    <t>Cz (min)</t>
  </si>
  <si>
    <t>Cz (max)</t>
  </si>
  <si>
    <r>
      <t>fc</t>
    </r>
    <r>
      <rPr>
        <vertAlign val="subscript"/>
        <sz val="11"/>
        <color indexed="8"/>
        <rFont val="Calibri"/>
        <family val="2"/>
      </rPr>
      <t>MAX</t>
    </r>
  </si>
  <si>
    <r>
      <t>R_LOAD</t>
    </r>
    <r>
      <rPr>
        <vertAlign val="subscript"/>
        <sz val="11"/>
        <color indexed="8"/>
        <rFont val="Calibri"/>
        <family val="2"/>
      </rPr>
      <t>TYP</t>
    </r>
  </si>
  <si>
    <r>
      <t>f</t>
    </r>
    <r>
      <rPr>
        <vertAlign val="subscript"/>
        <sz val="11"/>
        <color indexed="8"/>
        <rFont val="Calibri"/>
        <family val="2"/>
      </rPr>
      <t>P1</t>
    </r>
  </si>
  <si>
    <r>
      <t>f</t>
    </r>
    <r>
      <rPr>
        <vertAlign val="subscript"/>
        <sz val="11"/>
        <color indexed="8"/>
        <rFont val="Calibri"/>
        <family val="2"/>
      </rPr>
      <t>Z1</t>
    </r>
  </si>
  <si>
    <r>
      <t>f</t>
    </r>
    <r>
      <rPr>
        <vertAlign val="subscript"/>
        <sz val="11"/>
        <color indexed="8"/>
        <rFont val="Calibri"/>
        <family val="2"/>
      </rPr>
      <t>P2</t>
    </r>
  </si>
  <si>
    <t>Max Average current</t>
  </si>
  <si>
    <t>Vin min (Buck)</t>
  </si>
  <si>
    <t>VIN min for transient</t>
  </si>
  <si>
    <t>Enter nominal operating voltage here</t>
  </si>
  <si>
    <t>Enter minimum voltage for Buck Boost mode</t>
  </si>
  <si>
    <t>Enter minimum voltage for Buck mode</t>
  </si>
  <si>
    <t>Enter nominal switching frequency</t>
  </si>
  <si>
    <t>Total VREG current</t>
  </si>
  <si>
    <t>Enter maximum ambient operating temperature</t>
  </si>
  <si>
    <t>Maximum junction temperature at worse case input voltage</t>
  </si>
  <si>
    <t>Select desired inductor ripple current, 20% to 35%</t>
  </si>
  <si>
    <t>Recommended minimum inductor value</t>
  </si>
  <si>
    <t>Maximum peak inductor current, must be less than inductor saturation current</t>
  </si>
  <si>
    <t>Recommended inductor DC resistance</t>
  </si>
  <si>
    <t>Maximum RMS inductor current, must be less than inductor DC rating</t>
  </si>
  <si>
    <t>Enter select inductor DC resistance</t>
  </si>
  <si>
    <t>Enter select inductor value at total VREG current</t>
  </si>
  <si>
    <t>Enter VREG maximum output switching frequency ripple</t>
  </si>
  <si>
    <t>Maximum series equivalent resistance for output capacitor</t>
  </si>
  <si>
    <t>Enter the number of parallel ceramic capacitors</t>
  </si>
  <si>
    <t>Maximum RMS current in output capacitor</t>
  </si>
  <si>
    <t>Pout</t>
  </si>
  <si>
    <t>P loss</t>
  </si>
  <si>
    <t>Efficiency</t>
  </si>
  <si>
    <t>Max Power diss</t>
  </si>
  <si>
    <t>Max Vds</t>
  </si>
  <si>
    <t>Enter MOSFET junction to ambient thermal resistance</t>
  </si>
  <si>
    <t>Enter estimated boost switch rise time</t>
  </si>
  <si>
    <t>Max reverse voltage</t>
  </si>
  <si>
    <t>Maximum peak diode current</t>
  </si>
  <si>
    <t>Maximum average diode current</t>
  </si>
  <si>
    <t>Maximum diode power dissipation</t>
  </si>
  <si>
    <t>Select diode with higher reverse voltage rating</t>
  </si>
  <si>
    <t>Vin min (Buck Boost)</t>
  </si>
  <si>
    <t>Enter junction to ambient thermal resistance</t>
  </si>
  <si>
    <t>Actual inductor ripple current at nominal input voltage</t>
  </si>
  <si>
    <t>Enter maximum VREG deviation due to load step</t>
  </si>
  <si>
    <t>Enter minimum input voltage for load transient spec</t>
  </si>
  <si>
    <t>Minimum output capacitance required</t>
  </si>
  <si>
    <t>Enter estimated boost switch fall time</t>
  </si>
  <si>
    <t>Maximum allowed Buck duty cycle</t>
  </si>
  <si>
    <t>Recommended boost MOSFET Rds On at 25C</t>
  </si>
  <si>
    <t>Enter Rds ON at 25C of selected boost MOSFET</t>
  </si>
  <si>
    <t>If any cells give an error try clicking on "Converge"</t>
  </si>
  <si>
    <t>No</t>
  </si>
  <si>
    <t>Series RC</t>
  </si>
  <si>
    <t>Feedforward RC</t>
  </si>
  <si>
    <r>
      <t>k</t>
    </r>
    <r>
      <rPr>
        <sz val="11"/>
        <color theme="1"/>
        <rFont val="Calibri"/>
        <family val="2"/>
      </rPr>
      <t>Ω</t>
    </r>
  </si>
  <si>
    <t>Cz2</t>
  </si>
  <si>
    <t>pF</t>
  </si>
  <si>
    <t>Cz</t>
  </si>
  <si>
    <t>Rz2</t>
  </si>
  <si>
    <t>kΩ</t>
  </si>
  <si>
    <t>Ro_EA</t>
  </si>
  <si>
    <t>Cstray</t>
  </si>
  <si>
    <t>RFB1</t>
  </si>
  <si>
    <t>RFB2</t>
  </si>
  <si>
    <t>Cp +Cstray</t>
  </si>
  <si>
    <t>Series RC with Parallel C</t>
  </si>
  <si>
    <t>No feedforward C</t>
  </si>
  <si>
    <t>Calculated</t>
  </si>
  <si>
    <t>fco</t>
  </si>
  <si>
    <t>PM</t>
  </si>
  <si>
    <t>Error Amplifier</t>
  </si>
  <si>
    <t>Control to Output</t>
  </si>
  <si>
    <t>Total System</t>
  </si>
  <si>
    <t>Error Amp</t>
  </si>
  <si>
    <t>Frequency</t>
  </si>
  <si>
    <t>Gain</t>
  </si>
  <si>
    <t>Phase</t>
  </si>
  <si>
    <t>ZCz</t>
  </si>
  <si>
    <t>ZCp</t>
  </si>
  <si>
    <t>ZT(s)</t>
  </si>
  <si>
    <t>RFB1 with or without feedforward C</t>
  </si>
  <si>
    <t>Tv(s)</t>
  </si>
  <si>
    <t>fp(s)</t>
  </si>
  <si>
    <t>fh(s)</t>
  </si>
  <si>
    <t>fp(s)fh(s)</t>
  </si>
  <si>
    <t>Ri</t>
  </si>
  <si>
    <t>K</t>
  </si>
  <si>
    <t>mc</t>
  </si>
  <si>
    <t>wn</t>
  </si>
  <si>
    <t>Qp</t>
  </si>
  <si>
    <t>Enter estimated equivalent series resistance of output capacitor used</t>
  </si>
  <si>
    <t>nF</t>
  </si>
  <si>
    <t>Estimated cross over</t>
  </si>
  <si>
    <t>Estimated phase margin</t>
  </si>
  <si>
    <t>Enter actual Cz used</t>
  </si>
  <si>
    <t>Enter actual Cp used</t>
  </si>
  <si>
    <t>wp</t>
  </si>
  <si>
    <t>Rad</t>
  </si>
  <si>
    <t>wz</t>
  </si>
  <si>
    <t>VFB</t>
  </si>
  <si>
    <t>AVOL</t>
  </si>
  <si>
    <t>V/V</t>
  </si>
  <si>
    <t>Iout 3V3</t>
  </si>
  <si>
    <t>Iout V5A</t>
  </si>
  <si>
    <t>Iout V5P</t>
  </si>
  <si>
    <t>3V3 LDO</t>
  </si>
  <si>
    <t>V5A LDO</t>
  </si>
  <si>
    <t>V5B LDO</t>
  </si>
  <si>
    <t>V5CAN LDO</t>
  </si>
  <si>
    <t>V5P LDO</t>
  </si>
  <si>
    <t>Iout Sync Buck</t>
  </si>
  <si>
    <t>Enter synchronous buck load current</t>
  </si>
  <si>
    <t>Vout sync buck</t>
  </si>
  <si>
    <t>3V3</t>
  </si>
  <si>
    <t>V5CAN</t>
  </si>
  <si>
    <t>Rds_ON at -40</t>
  </si>
  <si>
    <t>Adj BUCK</t>
  </si>
  <si>
    <t>Adj Buck Hi side</t>
  </si>
  <si>
    <t>Adj Buck Lo side</t>
  </si>
  <si>
    <t>I_hi_sw buck RMS</t>
  </si>
  <si>
    <t>I_lo_sw buck RMS</t>
  </si>
  <si>
    <t>Adj BUCK High Side FET</t>
  </si>
  <si>
    <t>Adj BUCK Low Side FET</t>
  </si>
  <si>
    <t>Pre_Reg</t>
  </si>
  <si>
    <t>Adj Buck</t>
  </si>
  <si>
    <t>Inductor Calculation, Adjustable Buck</t>
  </si>
  <si>
    <t>Output Capacitor, Adjustable Buck</t>
  </si>
  <si>
    <t>V</t>
  </si>
  <si>
    <r>
      <t>gm</t>
    </r>
    <r>
      <rPr>
        <vertAlign val="subscript"/>
        <sz val="11"/>
        <color theme="1"/>
        <rFont val="Calibri"/>
        <family val="2"/>
        <scheme val="minor"/>
      </rPr>
      <t>POWER1</t>
    </r>
  </si>
  <si>
    <t>gm_EA1</t>
  </si>
  <si>
    <t>gm_EA2</t>
  </si>
  <si>
    <r>
      <t>gm</t>
    </r>
    <r>
      <rPr>
        <vertAlign val="subscript"/>
        <sz val="11"/>
        <color theme="1"/>
        <rFont val="Calibri"/>
        <family val="2"/>
        <scheme val="minor"/>
      </rPr>
      <t>POWER2</t>
    </r>
  </si>
  <si>
    <t>Cz = infinity</t>
  </si>
  <si>
    <t>FB Gain</t>
  </si>
  <si>
    <t>FB gain</t>
  </si>
  <si>
    <t>Boost  Diode Specs</t>
  </si>
  <si>
    <t>Boost Diode (based on SS3P5)</t>
  </si>
  <si>
    <t>Buck Diode (based on SS3P5)</t>
  </si>
  <si>
    <t>Maximum gate charge</t>
  </si>
  <si>
    <t>At Vgs = 5V</t>
  </si>
  <si>
    <t>Body Diode Losses</t>
  </si>
  <si>
    <t>ns</t>
  </si>
  <si>
    <t>Actual fsw</t>
  </si>
  <si>
    <t xml:space="preserve">freq       </t>
  </si>
  <si>
    <t xml:space="preserve">Comp_Gain  </t>
  </si>
  <si>
    <t xml:space="preserve">Comp_Phase </t>
  </si>
  <si>
    <t xml:space="preserve">Plant_Gain </t>
  </si>
  <si>
    <t xml:space="preserve">Plant_Phase </t>
  </si>
  <si>
    <t>SIMPLIS Data</t>
  </si>
  <si>
    <t>dB</t>
  </si>
  <si>
    <t>AVOL2</t>
  </si>
  <si>
    <t>uA/V</t>
  </si>
  <si>
    <t>A/V</t>
  </si>
  <si>
    <t>A/us</t>
  </si>
  <si>
    <t>A4411 Operating at Vin nom</t>
  </si>
  <si>
    <t>A4411 Power dissipation at nominal input voltage</t>
  </si>
  <si>
    <t>Estimated A4411 junction temperature at nominal input voltage</t>
  </si>
  <si>
    <t>A4411 temperature rise at nominal input voltage</t>
  </si>
  <si>
    <t>Enter VREG external load current</t>
  </si>
  <si>
    <t>Estimated ESR</t>
  </si>
  <si>
    <r>
      <t>Iout V5</t>
    </r>
    <r>
      <rPr>
        <vertAlign val="subscript"/>
        <sz val="11"/>
        <color theme="1"/>
        <rFont val="Calibri"/>
        <family val="2"/>
        <scheme val="minor"/>
      </rPr>
      <t>SNR</t>
    </r>
  </si>
  <si>
    <r>
      <t>Iout V5</t>
    </r>
    <r>
      <rPr>
        <vertAlign val="subscript"/>
        <sz val="11"/>
        <color theme="1"/>
        <rFont val="Calibri"/>
        <family val="2"/>
        <scheme val="minor"/>
      </rPr>
      <t>CAN</t>
    </r>
  </si>
  <si>
    <t>V5SNR LDO</t>
  </si>
  <si>
    <t xml:space="preserve">Boost Duty Cycle Slope </t>
  </si>
  <si>
    <t>Select desired inductor ripple current, 20% to 45%</t>
  </si>
  <si>
    <t>Enter sync buck output voltage, minimum is 0.800V</t>
  </si>
  <si>
    <t>VREG is fixed at 5.35V</t>
  </si>
  <si>
    <t>Enter V5P typical load current</t>
  </si>
  <si>
    <r>
      <t>Enter V5</t>
    </r>
    <r>
      <rPr>
        <vertAlign val="subscript"/>
        <sz val="11"/>
        <color theme="1"/>
        <rFont val="Calibri"/>
        <family val="2"/>
        <scheme val="minor"/>
      </rPr>
      <t>SNR</t>
    </r>
    <r>
      <rPr>
        <sz val="11"/>
        <color theme="1"/>
        <rFont val="Calibri"/>
        <family val="2"/>
        <scheme val="minor"/>
      </rPr>
      <t xml:space="preserve"> typical load current</t>
    </r>
  </si>
  <si>
    <r>
      <t>Enter V5</t>
    </r>
    <r>
      <rPr>
        <vertAlign val="subscript"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 typical load current</t>
    </r>
  </si>
  <si>
    <t>Enter abs maximum voltage.</t>
  </si>
  <si>
    <t>Select either Buck or Buck-Boost operation</t>
  </si>
  <si>
    <t>A4411 Estimated Power Dissipation and Compensation Worksheet</t>
  </si>
  <si>
    <t>Dead Time</t>
  </si>
  <si>
    <r>
      <rPr>
        <sz val="11"/>
        <color theme="0"/>
        <rFont val="Times New Roman"/>
        <family val="1"/>
      </rPr>
      <t>Δ</t>
    </r>
    <r>
      <rPr>
        <sz val="11"/>
        <color theme="0"/>
        <rFont val="Calibri"/>
        <family val="2"/>
        <scheme val="minor"/>
      </rPr>
      <t>IL</t>
    </r>
  </si>
  <si>
    <r>
      <t xml:space="preserve">5V </t>
    </r>
    <r>
      <rPr>
        <sz val="11"/>
        <color theme="0"/>
        <rFont val="Calibri"/>
        <family val="2"/>
      </rPr>
      <t>≤</t>
    </r>
    <r>
      <rPr>
        <sz val="11"/>
        <color theme="0"/>
        <rFont val="Calibri"/>
        <family val="2"/>
        <scheme val="minor"/>
      </rPr>
      <t xml:space="preserve"> Vin </t>
    </r>
    <r>
      <rPr>
        <sz val="11"/>
        <color theme="0"/>
        <rFont val="Calibri"/>
        <family val="2"/>
      </rPr>
      <t>≤</t>
    </r>
    <r>
      <rPr>
        <sz val="11"/>
        <color theme="0"/>
        <rFont val="Calibri"/>
        <family val="2"/>
        <scheme val="minor"/>
      </rPr>
      <t xml:space="preserve"> 7V</t>
    </r>
  </si>
  <si>
    <r>
      <t>Rds_On at 25</t>
    </r>
    <r>
      <rPr>
        <b/>
        <sz val="11"/>
        <color theme="0"/>
        <rFont val="Calibri"/>
        <family val="2"/>
      </rPr>
      <t>°</t>
    </r>
    <r>
      <rPr>
        <b/>
        <sz val="11"/>
        <color theme="0"/>
        <rFont val="Calibri"/>
        <family val="2"/>
        <scheme val="minor"/>
      </rPr>
      <t>C</t>
    </r>
  </si>
  <si>
    <r>
      <t>T</t>
    </r>
    <r>
      <rPr>
        <vertAlign val="subscript"/>
        <sz val="11"/>
        <color theme="1"/>
        <rFont val="Calibri"/>
        <family val="2"/>
        <scheme val="minor"/>
      </rPr>
      <t>AMB</t>
    </r>
  </si>
  <si>
    <t>Output Capacitor, Pre-Regulator</t>
  </si>
  <si>
    <t>RFB1 =</t>
  </si>
  <si>
    <t>RFB2 =</t>
  </si>
  <si>
    <t xml:space="preserve"> Compensation Components, Pre-Regulator</t>
  </si>
  <si>
    <t xml:space="preserve"> Compensation Components, Adjustable Buck:</t>
  </si>
  <si>
    <t>Minimum input voltage for load transient spec</t>
  </si>
  <si>
    <r>
      <t>Enter the value of the ADJ feedback resistor (in K</t>
    </r>
    <r>
      <rPr>
        <sz val="11"/>
        <color theme="1"/>
        <rFont val="Calibri"/>
        <family val="2"/>
      </rPr>
      <t xml:space="preserve">Ω) </t>
    </r>
    <r>
      <rPr>
        <sz val="11"/>
        <color theme="1"/>
        <rFont val="Calibri"/>
        <family val="2"/>
        <scheme val="minor"/>
      </rPr>
      <t>from V</t>
    </r>
    <r>
      <rPr>
        <vertAlign val="subscript"/>
        <sz val="11"/>
        <color theme="1"/>
        <rFont val="Calibri"/>
        <family val="2"/>
        <scheme val="minor"/>
      </rPr>
      <t>FB2</t>
    </r>
    <r>
      <rPr>
        <sz val="11"/>
        <color theme="1"/>
        <rFont val="Calibri"/>
        <family val="2"/>
        <scheme val="minor"/>
      </rPr>
      <t xml:space="preserve"> to ground</t>
    </r>
  </si>
  <si>
    <r>
      <t>Calculated value of the ADJ feedback resistor (in K</t>
    </r>
    <r>
      <rPr>
        <sz val="11"/>
        <color theme="1"/>
        <rFont val="Calibri"/>
        <family val="2"/>
      </rPr>
      <t>Ω)</t>
    </r>
    <r>
      <rPr>
        <sz val="11"/>
        <color theme="1"/>
        <rFont val="Calibri"/>
        <family val="2"/>
        <scheme val="minor"/>
      </rPr>
      <t xml:space="preserve"> from V</t>
    </r>
    <r>
      <rPr>
        <vertAlign val="subscript"/>
        <sz val="11"/>
        <color theme="1"/>
        <rFont val="Calibri"/>
        <family val="2"/>
        <scheme val="minor"/>
      </rPr>
      <t>OUT,ADJ</t>
    </r>
    <r>
      <rPr>
        <sz val="11"/>
        <color theme="1"/>
        <rFont val="Calibri"/>
        <family val="2"/>
        <scheme val="minor"/>
      </rPr>
      <t xml:space="preserve"> to V</t>
    </r>
    <r>
      <rPr>
        <vertAlign val="subscript"/>
        <sz val="11"/>
        <color theme="1"/>
        <rFont val="Calibri"/>
        <family val="2"/>
        <scheme val="minor"/>
      </rPr>
      <t>FB2</t>
    </r>
  </si>
  <si>
    <r>
      <t>1 + s/ω</t>
    </r>
    <r>
      <rPr>
        <b/>
        <vertAlign val="subscript"/>
        <sz val="11"/>
        <color theme="0"/>
        <rFont val="Calibri"/>
        <family val="2"/>
      </rPr>
      <t>P</t>
    </r>
  </si>
  <si>
    <r>
      <t>1 + s/ω</t>
    </r>
    <r>
      <rPr>
        <b/>
        <vertAlign val="subscript"/>
        <sz val="11"/>
        <color theme="0"/>
        <rFont val="Calibri"/>
        <family val="2"/>
      </rPr>
      <t>Z</t>
    </r>
  </si>
  <si>
    <t>Enter maximum operating voltage. This is used for plots.</t>
  </si>
  <si>
    <t>Se (Slope Comp)</t>
  </si>
  <si>
    <t>Sn (Inductor)</t>
  </si>
  <si>
    <r>
      <t>Required frequency setting resistor (K</t>
    </r>
    <r>
      <rPr>
        <sz val="11"/>
        <color theme="1"/>
        <rFont val="Calibri"/>
        <family val="2"/>
      </rPr>
      <t>Ω), use the closest available 1% value</t>
    </r>
  </si>
  <si>
    <r>
      <t>FSET Resistor (R</t>
    </r>
    <r>
      <rPr>
        <b/>
        <vertAlign val="subscript"/>
        <sz val="11"/>
        <color rgb="FF0000FF"/>
        <rFont val="Calibri"/>
        <family val="2"/>
        <scheme val="minor"/>
      </rPr>
      <t>FSET</t>
    </r>
    <r>
      <rPr>
        <b/>
        <sz val="11"/>
        <color rgb="FF0000FF"/>
        <rFont val="Calibri"/>
        <family val="2"/>
        <scheme val="minor"/>
      </rPr>
      <t xml:space="preserve">) = </t>
    </r>
  </si>
  <si>
    <t xml:space="preserve">Lout = </t>
  </si>
  <si>
    <t>Actual Capacitor value =</t>
  </si>
  <si>
    <t>Number of capacitors =</t>
  </si>
  <si>
    <t xml:space="preserve">Actual Rz used = </t>
  </si>
  <si>
    <t>Actual Cz used =</t>
  </si>
  <si>
    <t>Actual Cp used =</t>
  </si>
  <si>
    <t>Lout =</t>
  </si>
  <si>
    <r>
      <t xml:space="preserve">Enter </t>
    </r>
    <r>
      <rPr>
        <b/>
        <i/>
        <sz val="11"/>
        <color rgb="FFC00000"/>
        <rFont val="Calibri"/>
        <family val="2"/>
        <scheme val="minor"/>
      </rPr>
      <t>minimum capacitance</t>
    </r>
    <r>
      <rPr>
        <sz val="11"/>
        <rFont val="Calibri"/>
        <family val="2"/>
        <scheme val="minor"/>
      </rPr>
      <t xml:space="preserve"> value of ceramic capacitor with tolerance &amp; DC bias</t>
    </r>
  </si>
  <si>
    <r>
      <t xml:space="preserve">Enter </t>
    </r>
    <r>
      <rPr>
        <b/>
        <i/>
        <sz val="11"/>
        <color rgb="FFC00000"/>
        <rFont val="Calibri"/>
        <family val="2"/>
        <scheme val="minor"/>
      </rPr>
      <t>minimum capacitance</t>
    </r>
    <r>
      <rPr>
        <sz val="11"/>
        <rFont val="Calibri"/>
        <family val="2"/>
        <scheme val="minor"/>
      </rPr>
      <t xml:space="preserve"> value of ceramic capacitor with tolerance and DC bias</t>
    </r>
  </si>
  <si>
    <t>** Ensure iterative calculations are enabled **</t>
  </si>
  <si>
    <t>Inductor Calculation, Pre-Regulator</t>
  </si>
  <si>
    <t>Enter selected inductor value at total VREG current</t>
  </si>
  <si>
    <t>Enter selected inductor DC resistance</t>
  </si>
  <si>
    <t>Enter maximum ADJ Buck deviation due to load step</t>
  </si>
  <si>
    <t>Enter worst case transient load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</si>
</sst>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General\ \V"/>
    <numFmt numFmtId="165" formatCode="General\ \A"/>
    <numFmt numFmtId="166" formatCode="0.000&quot;W&quot;"/>
    <numFmt numFmtId="167" formatCode="General\ &quot;kHz&quot;"/>
    <numFmt numFmtId="168" formatCode="0.000\ \A"/>
    <numFmt numFmtId="169" formatCode="General\ &quot;uH&quot;"/>
    <numFmt numFmtId="170" formatCode="0.000\ &quot;us&quot;"/>
    <numFmt numFmtId="171" formatCode="0.000\ &quot;A&quot;"/>
    <numFmt numFmtId="172" formatCode="0.000\ &quot;V&quot;"/>
    <numFmt numFmtId="173" formatCode="0.000"/>
    <numFmt numFmtId="174" formatCode="0.000\ \V"/>
    <numFmt numFmtId="175" formatCode="0.000\ \W"/>
    <numFmt numFmtId="176" formatCode="0.000\ \Ω"/>
    <numFmt numFmtId="177" formatCode="General\ &quot;°C/W&quot;"/>
    <numFmt numFmtId="178" formatCode="General\ &quot;°C&quot;"/>
    <numFmt numFmtId="179" formatCode="0.0\ &quot;°C&quot;"/>
    <numFmt numFmtId="180" formatCode="General\ &quot;mV/°C&quot;"/>
    <numFmt numFmtId="181" formatCode="0.00\ &quot;V/ns&quot;"/>
    <numFmt numFmtId="182" formatCode="0\ &quot;kHz&quot;"/>
    <numFmt numFmtId="183" formatCode="General\ &quot;ns&quot;"/>
    <numFmt numFmtId="184" formatCode="General\ &quot;mΩ&quot;"/>
    <numFmt numFmtId="185" formatCode="0.00\ &quot;°C&quot;"/>
    <numFmt numFmtId="186" formatCode="0\ &quot;°C&quot;"/>
    <numFmt numFmtId="187" formatCode="0.00\ &quot;°C/W&quot;"/>
    <numFmt numFmtId="188" formatCode="0.0"/>
    <numFmt numFmtId="189" formatCode="0\ &quot;V&quot;"/>
    <numFmt numFmtId="190" formatCode="0.000&quot;x&quot;"/>
    <numFmt numFmtId="191" formatCode="0.00\ &quot;Ω/°C&quot;"/>
    <numFmt numFmtId="192" formatCode="&quot;&lt;&quot;\ General&quot;mΩ&quot;"/>
    <numFmt numFmtId="193" formatCode="&quot;&gt;&quot;\ General&quot;uF&quot;"/>
    <numFmt numFmtId="194" formatCode="0.00\ &quot;kHz&quot;"/>
    <numFmt numFmtId="195" formatCode="0.0\ &quot;Ω&quot;"/>
    <numFmt numFmtId="196" formatCode="0.00\ &quot;kΩ&quot;"/>
    <numFmt numFmtId="197" formatCode="0.00\ &quot;nF&quot;"/>
    <numFmt numFmtId="198" formatCode="0\ &quot;pF&quot;"/>
    <numFmt numFmtId="199" formatCode="&quot;at VIN=&quot;\ 0\ \V"/>
    <numFmt numFmtId="200" formatCode="&quot;&gt;&quot;General\ &quot;uF&quot;"/>
    <numFmt numFmtId="201" formatCode="General\ &quot;nH&quot;"/>
    <numFmt numFmtId="202" formatCode="0.0\ &quot;μF&quot;"/>
    <numFmt numFmtId="203" formatCode="0.0%"/>
    <numFmt numFmtId="204" formatCode="0.0\ &quot;kHz&quot;"/>
    <numFmt numFmtId="205" formatCode="0.0\ &quot;°&quot;"/>
    <numFmt numFmtId="206" formatCode="0.00000"/>
    <numFmt numFmtId="207" formatCode="0.0000"/>
    <numFmt numFmtId="208" formatCode="General\ &quot;nF&quot;"/>
    <numFmt numFmtId="209" formatCode="General\ &quot;kΩ&quot;"/>
    <numFmt numFmtId="210" formatCode="General\ &quot;pF&quot;"/>
    <numFmt numFmtId="211" formatCode="General\ &quot;nC&quot;"/>
    <numFmt numFmtId="212" formatCode="General\ &quot;μF&quot;"/>
    <numFmt numFmtId="213" formatCode="General\ &quot;μH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trike/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FF"/>
      <name val="Calibri"/>
      <family val="2"/>
      <scheme val="minor"/>
    </font>
    <font>
      <b/>
      <vertAlign val="subscript"/>
      <sz val="11"/>
      <color theme="0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1" fillId="0" borderId="0"/>
  </cellStyleXfs>
  <cellXfs count="314">
    <xf numFmtId="0" fontId="0" fillId="0" borderId="0" xfId="0"/>
    <xf numFmtId="0" fontId="0" fillId="3" borderId="0" xfId="0" applyFill="1" applyProtection="1">
      <protection hidden="1"/>
    </xf>
    <xf numFmtId="0" fontId="0" fillId="2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5" fillId="3" borderId="0" xfId="0" applyFont="1" applyFill="1" applyProtection="1">
      <protection hidden="1"/>
    </xf>
    <xf numFmtId="172" fontId="0" fillId="3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0" fillId="2" borderId="0" xfId="0" applyNumberFormat="1" applyFill="1"/>
    <xf numFmtId="173" fontId="0" fillId="2" borderId="0" xfId="0" applyNumberFormat="1" applyFill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12" fillId="2" borderId="0" xfId="0" applyFont="1" applyFill="1" applyBorder="1" applyProtection="1">
      <protection hidden="1"/>
    </xf>
    <xf numFmtId="0" fontId="0" fillId="2" borderId="0" xfId="0" applyFill="1" applyBorder="1"/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 applyProtection="1">
      <alignment horizontal="right" vertical="center"/>
      <protection hidden="1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>
      <protection hidden="1"/>
    </xf>
    <xf numFmtId="0" fontId="14" fillId="3" borderId="0" xfId="0" applyFont="1" applyFill="1" applyBorder="1" applyAlignment="1" applyProtection="1">
      <alignment vertical="center"/>
    </xf>
    <xf numFmtId="195" fontId="0" fillId="3" borderId="1" xfId="0" applyNumberFormat="1" applyFont="1" applyFill="1" applyBorder="1" applyAlignment="1" applyProtection="1">
      <alignment horizontal="center" vertical="center"/>
    </xf>
    <xf numFmtId="196" fontId="0" fillId="3" borderId="1" xfId="0" applyNumberFormat="1" applyFont="1" applyFill="1" applyBorder="1" applyAlignment="1" applyProtection="1">
      <alignment horizontal="center" vertical="center"/>
    </xf>
    <xf numFmtId="197" fontId="6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  <protection hidden="1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left" vertical="center" indent="1"/>
    </xf>
    <xf numFmtId="0" fontId="6" fillId="3" borderId="6" xfId="0" applyFont="1" applyFill="1" applyBorder="1" applyAlignment="1" applyProtection="1">
      <alignment horizontal="left" vertical="center" indent="1"/>
    </xf>
    <xf numFmtId="0" fontId="6" fillId="3" borderId="8" xfId="0" applyFont="1" applyFill="1" applyBorder="1" applyAlignment="1" applyProtection="1">
      <alignment horizontal="left" vertical="center" indent="1"/>
    </xf>
    <xf numFmtId="0" fontId="0" fillId="3" borderId="0" xfId="0" applyFill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179" fontId="0" fillId="3" borderId="10" xfId="0" applyNumberForma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179" fontId="5" fillId="3" borderId="0" xfId="0" applyNumberFormat="1" applyFont="1" applyFill="1" applyBorder="1" applyAlignment="1" applyProtection="1">
      <alignment horizontal="center" vertical="center"/>
      <protection hidden="1"/>
    </xf>
    <xf numFmtId="186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horizontal="left" vertical="center" indent="1"/>
      <protection hidden="1"/>
    </xf>
    <xf numFmtId="0" fontId="0" fillId="3" borderId="8" xfId="0" applyFill="1" applyBorder="1" applyAlignment="1" applyProtection="1">
      <alignment horizontal="left" vertical="center" indent="1"/>
      <protection hidden="1"/>
    </xf>
    <xf numFmtId="0" fontId="0" fillId="3" borderId="6" xfId="0" applyFill="1" applyBorder="1" applyAlignment="1" applyProtection="1">
      <alignment horizontal="left" vertical="center" indent="2"/>
      <protection hidden="1"/>
    </xf>
    <xf numFmtId="0" fontId="0" fillId="3" borderId="8" xfId="0" applyFill="1" applyBorder="1" applyAlignment="1" applyProtection="1">
      <alignment horizontal="left" vertical="center" indent="2"/>
      <protection hidden="1"/>
    </xf>
    <xf numFmtId="0" fontId="0" fillId="3" borderId="6" xfId="0" applyFont="1" applyFill="1" applyBorder="1" applyAlignment="1" applyProtection="1">
      <alignment horizontal="left" vertical="center" indent="1"/>
      <protection hidden="1"/>
    </xf>
    <xf numFmtId="0" fontId="0" fillId="3" borderId="6" xfId="0" applyFont="1" applyFill="1" applyBorder="1" applyAlignment="1" applyProtection="1">
      <alignment horizontal="left" vertical="center" indent="2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168" fontId="0" fillId="3" borderId="0" xfId="0" applyNumberFormat="1" applyFill="1" applyBorder="1" applyAlignment="1" applyProtection="1">
      <alignment horizontal="center" vertical="center"/>
      <protection hidden="1"/>
    </xf>
    <xf numFmtId="180" fontId="1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  <protection hidden="1"/>
    </xf>
    <xf numFmtId="186" fontId="6" fillId="3" borderId="0" xfId="0" applyNumberFormat="1" applyFont="1" applyFill="1" applyBorder="1" applyAlignment="1" applyProtection="1">
      <alignment horizontal="center" vertical="center"/>
      <protection hidden="1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68" fontId="0" fillId="3" borderId="1" xfId="0" applyNumberFormat="1" applyFill="1" applyBorder="1" applyAlignment="1" applyProtection="1">
      <alignment horizontal="center" vertical="center"/>
      <protection hidden="1"/>
    </xf>
    <xf numFmtId="175" fontId="6" fillId="3" borderId="1" xfId="0" applyNumberFormat="1" applyFont="1" applyFill="1" applyBorder="1" applyAlignment="1" applyProtection="1">
      <alignment horizontal="center" vertical="center"/>
      <protection hidden="1"/>
    </xf>
    <xf numFmtId="189" fontId="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173" fontId="13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/>
    <xf numFmtId="0" fontId="0" fillId="3" borderId="0" xfId="0" applyFill="1" applyBorder="1" applyAlignment="1" applyProtection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174" fontId="0" fillId="3" borderId="11" xfId="0" applyNumberForma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168" fontId="0" fillId="3" borderId="10" xfId="0" applyNumberFormat="1" applyFill="1" applyBorder="1" applyAlignment="1" applyProtection="1">
      <alignment horizontal="center" vertical="center"/>
      <protection hidden="1"/>
    </xf>
    <xf numFmtId="178" fontId="0" fillId="2" borderId="10" xfId="0" applyNumberForma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179" fontId="0" fillId="3" borderId="21" xfId="0" applyNumberFormat="1" applyFill="1" applyBorder="1" applyAlignment="1" applyProtection="1">
      <alignment horizontal="center" vertical="center"/>
      <protection hidden="1"/>
    </xf>
    <xf numFmtId="199" fontId="0" fillId="3" borderId="22" xfId="0" applyNumberForma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vertical="center"/>
      <protection hidden="1"/>
    </xf>
    <xf numFmtId="168" fontId="0" fillId="3" borderId="7" xfId="0" applyNumberFormat="1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9" fontId="0" fillId="3" borderId="10" xfId="1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166" fontId="0" fillId="3" borderId="7" xfId="0" applyNumberFormat="1" applyFont="1" applyFill="1" applyBorder="1" applyAlignment="1" applyProtection="1">
      <alignment vertical="center"/>
      <protection hidden="1"/>
    </xf>
    <xf numFmtId="179" fontId="0" fillId="3" borderId="7" xfId="0" applyNumberFormat="1" applyFont="1" applyFill="1" applyBorder="1" applyAlignment="1" applyProtection="1">
      <alignment vertical="center"/>
      <protection hidden="1"/>
    </xf>
    <xf numFmtId="179" fontId="0" fillId="3" borderId="9" xfId="0" applyNumberFormat="1" applyFont="1" applyFill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186" fontId="6" fillId="3" borderId="10" xfId="0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175" fontId="0" fillId="3" borderId="1" xfId="0" applyNumberFormat="1" applyFill="1" applyBorder="1" applyAlignment="1" applyProtection="1">
      <alignment horizontal="center" vertical="center"/>
      <protection hidden="1"/>
    </xf>
    <xf numFmtId="189" fontId="0" fillId="3" borderId="1" xfId="0" applyNumberForma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Protection="1">
      <protection hidden="1"/>
    </xf>
    <xf numFmtId="171" fontId="12" fillId="2" borderId="0" xfId="0" applyNumberFormat="1" applyFont="1" applyFill="1" applyBorder="1" applyAlignment="1" applyProtection="1">
      <protection hidden="1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167" fontId="0" fillId="3" borderId="0" xfId="0" applyNumberFormat="1" applyFill="1" applyBorder="1" applyAlignment="1" applyProtection="1">
      <alignment horizontal="center" vertical="center"/>
    </xf>
    <xf numFmtId="178" fontId="0" fillId="3" borderId="14" xfId="0" applyNumberFormat="1" applyFill="1" applyBorder="1" applyAlignment="1" applyProtection="1">
      <alignment vertical="center"/>
    </xf>
    <xf numFmtId="2" fontId="0" fillId="3" borderId="0" xfId="0" applyNumberFormat="1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left" vertical="center" indent="2"/>
    </xf>
    <xf numFmtId="0" fontId="0" fillId="3" borderId="7" xfId="0" applyFill="1" applyBorder="1" applyAlignment="1" applyProtection="1">
      <alignment horizontal="left" vertical="center"/>
    </xf>
    <xf numFmtId="169" fontId="0" fillId="3" borderId="1" xfId="0" applyNumberFormat="1" applyFill="1" applyBorder="1" applyAlignment="1" applyProtection="1">
      <alignment horizontal="center" vertical="center"/>
    </xf>
    <xf numFmtId="184" fontId="0" fillId="3" borderId="1" xfId="0" applyNumberFormat="1" applyFill="1" applyBorder="1" applyAlignment="1" applyProtection="1">
      <alignment horizontal="center" vertical="center"/>
      <protection hidden="1"/>
    </xf>
    <xf numFmtId="184" fontId="0" fillId="3" borderId="7" xfId="0" applyNumberFormat="1" applyFill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left" vertical="center" indent="1"/>
    </xf>
    <xf numFmtId="193" fontId="0" fillId="3" borderId="1" xfId="0" applyNumberFormat="1" applyFill="1" applyBorder="1" applyAlignment="1" applyProtection="1">
      <alignment horizontal="center" vertical="center"/>
    </xf>
    <xf numFmtId="192" fontId="0" fillId="3" borderId="1" xfId="0" applyNumberForma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176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0" xfId="0" applyNumberForma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194" fontId="0" fillId="3" borderId="1" xfId="0" applyNumberFormat="1" applyFont="1" applyFill="1" applyBorder="1" applyAlignment="1" applyProtection="1">
      <alignment horizontal="center" vertical="center"/>
    </xf>
    <xf numFmtId="167" fontId="0" fillId="3" borderId="1" xfId="0" applyNumberFormat="1" applyFont="1" applyFill="1" applyBorder="1" applyAlignment="1" applyProtection="1">
      <alignment horizontal="center" vertical="center"/>
    </xf>
    <xf numFmtId="184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83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indent="3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3" borderId="25" xfId="0" applyFont="1" applyFill="1" applyBorder="1" applyAlignment="1" applyProtection="1">
      <alignment horizontal="left" vertical="center" indent="2"/>
    </xf>
    <xf numFmtId="0" fontId="6" fillId="3" borderId="24" xfId="0" applyFont="1" applyFill="1" applyBorder="1" applyAlignment="1" applyProtection="1">
      <alignment horizontal="left" vertical="center"/>
    </xf>
    <xf numFmtId="198" fontId="6" fillId="3" borderId="1" xfId="0" applyNumberFormat="1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horizontal="left" vertical="center" indent="1"/>
    </xf>
    <xf numFmtId="167" fontId="0" fillId="3" borderId="11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166" fontId="0" fillId="3" borderId="1" xfId="0" applyNumberFormat="1" applyFont="1" applyFill="1" applyBorder="1" applyAlignment="1" applyProtection="1">
      <alignment horizontal="center" vertical="center"/>
      <protection hidden="1"/>
    </xf>
    <xf numFmtId="179" fontId="0" fillId="3" borderId="1" xfId="0" applyNumberFormat="1" applyFont="1" applyFill="1" applyBorder="1" applyAlignment="1" applyProtection="1">
      <alignment horizontal="center" vertical="center"/>
      <protection hidden="1"/>
    </xf>
    <xf numFmtId="204" fontId="0" fillId="3" borderId="1" xfId="0" applyNumberFormat="1" applyFill="1" applyBorder="1" applyAlignment="1" applyProtection="1">
      <alignment horizontal="center" vertical="center"/>
      <protection locked="0"/>
    </xf>
    <xf numFmtId="205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indent="1"/>
      <protection hidden="1"/>
    </xf>
    <xf numFmtId="0" fontId="0" fillId="3" borderId="7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protection hidden="1"/>
    </xf>
    <xf numFmtId="207" fontId="20" fillId="3" borderId="0" xfId="0" applyNumberFormat="1" applyFont="1" applyFill="1" applyBorder="1" applyAlignment="1" applyProtection="1">
      <alignment horizontal="center"/>
      <protection hidden="1"/>
    </xf>
    <xf numFmtId="184" fontId="6" fillId="2" borderId="0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2" fillId="4" borderId="0" xfId="0" applyFont="1" applyFill="1"/>
    <xf numFmtId="173" fontId="0" fillId="4" borderId="0" xfId="0" applyNumberFormat="1" applyFill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173" fontId="0" fillId="2" borderId="1" xfId="0" applyNumberFormat="1" applyFill="1" applyBorder="1" applyAlignment="1" applyProtection="1">
      <alignment horizontal="center" vertical="center"/>
      <protection locked="0"/>
    </xf>
    <xf numFmtId="211" fontId="0" fillId="2" borderId="1" xfId="0" applyNumberFormat="1" applyFill="1" applyBorder="1" applyAlignment="1" applyProtection="1">
      <alignment horizontal="center" vertical="center"/>
      <protection hidden="1"/>
    </xf>
    <xf numFmtId="0" fontId="0" fillId="3" borderId="0" xfId="0" quotePrefix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21" fillId="3" borderId="6" xfId="0" applyFont="1" applyFill="1" applyBorder="1" applyAlignment="1" applyProtection="1">
      <alignment horizontal="left" vertical="center" indent="1"/>
      <protection hidden="1"/>
    </xf>
    <xf numFmtId="173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right" vertical="center"/>
      <protection hidden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locked="0"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174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172" fontId="12" fillId="2" borderId="0" xfId="0" applyNumberFormat="1" applyFont="1" applyFill="1" applyBorder="1" applyAlignment="1" applyProtection="1">
      <alignment horizontal="center"/>
      <protection hidden="1"/>
    </xf>
    <xf numFmtId="175" fontId="12" fillId="2" borderId="0" xfId="0" applyNumberFormat="1" applyFont="1" applyFill="1" applyBorder="1" applyAlignment="1" applyProtection="1">
      <alignment horizontal="center"/>
      <protection hidden="1"/>
    </xf>
    <xf numFmtId="185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 vertical="top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173" fontId="12" fillId="2" borderId="0" xfId="0" applyNumberFormat="1" applyFont="1" applyFill="1" applyBorder="1" applyAlignment="1" applyProtection="1">
      <alignment horizontal="center"/>
      <protection hidden="1"/>
    </xf>
    <xf numFmtId="170" fontId="12" fillId="2" borderId="0" xfId="0" applyNumberFormat="1" applyFont="1" applyFill="1" applyBorder="1" applyAlignment="1" applyProtection="1">
      <alignment horizontal="center"/>
      <protection hidden="1"/>
    </xf>
    <xf numFmtId="182" fontId="12" fillId="2" borderId="0" xfId="0" applyNumberFormat="1" applyFont="1" applyFill="1" applyBorder="1" applyAlignment="1" applyProtection="1">
      <alignment horizontal="center"/>
      <protection hidden="1"/>
    </xf>
    <xf numFmtId="171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vertical="top"/>
    </xf>
    <xf numFmtId="2" fontId="12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left" vertical="top"/>
    </xf>
    <xf numFmtId="168" fontId="12" fillId="2" borderId="0" xfId="0" applyNumberFormat="1" applyFont="1" applyFill="1" applyBorder="1" applyAlignment="1" applyProtection="1">
      <alignment horizontal="center"/>
      <protection hidden="1"/>
    </xf>
    <xf numFmtId="176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175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176" fontId="12" fillId="2" borderId="0" xfId="0" applyNumberFormat="1" applyFont="1" applyFill="1" applyBorder="1" applyAlignment="1" applyProtection="1">
      <alignment horizontal="center" vertical="center"/>
      <protection hidden="1"/>
    </xf>
    <xf numFmtId="179" fontId="12" fillId="2" borderId="0" xfId="0" applyNumberFormat="1" applyFont="1" applyFill="1" applyBorder="1" applyAlignment="1" applyProtection="1">
      <alignment horizontal="center"/>
      <protection hidden="1"/>
    </xf>
    <xf numFmtId="191" fontId="12" fillId="2" borderId="0" xfId="0" applyNumberFormat="1" applyFont="1" applyFill="1" applyBorder="1" applyAlignment="1" applyProtection="1">
      <alignment horizontal="center"/>
      <protection hidden="1"/>
    </xf>
    <xf numFmtId="203" fontId="12" fillId="2" borderId="0" xfId="1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vertical="top"/>
      <protection hidden="1"/>
    </xf>
    <xf numFmtId="0" fontId="22" fillId="2" borderId="0" xfId="0" applyFont="1" applyFill="1" applyBorder="1" applyAlignment="1" applyProtection="1">
      <alignment horizontal="left" vertical="top"/>
      <protection hidden="1"/>
    </xf>
    <xf numFmtId="175" fontId="12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vertical="top" wrapText="1"/>
      <protection hidden="1"/>
    </xf>
    <xf numFmtId="172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73" fontId="12" fillId="2" borderId="0" xfId="0" applyNumberFormat="1" applyFont="1" applyFill="1" applyBorder="1" applyProtection="1">
      <protection hidden="1"/>
    </xf>
    <xf numFmtId="188" fontId="12" fillId="2" borderId="0" xfId="0" applyNumberFormat="1" applyFont="1" applyFill="1" applyBorder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183" fontId="12" fillId="2" borderId="0" xfId="0" applyNumberFormat="1" applyFont="1" applyFill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2" fontId="12" fillId="2" borderId="0" xfId="0" applyNumberFormat="1" applyFont="1" applyFill="1" applyBorder="1" applyAlignment="1" applyProtection="1">
      <alignment horizontal="center"/>
      <protection hidden="1"/>
    </xf>
    <xf numFmtId="181" fontId="12" fillId="2" borderId="0" xfId="0" applyNumberFormat="1" applyFont="1" applyFill="1" applyBorder="1" applyAlignment="1" applyProtection="1">
      <alignment horizontal="center"/>
    </xf>
    <xf numFmtId="2" fontId="22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quotePrefix="1" applyFont="1" applyFill="1" applyAlignment="1" applyProtection="1">
      <alignment horizontal="center"/>
      <protection hidden="1"/>
    </xf>
    <xf numFmtId="0" fontId="22" fillId="2" borderId="0" xfId="0" applyFont="1" applyFill="1" applyProtection="1">
      <protection hidden="1"/>
    </xf>
    <xf numFmtId="173" fontId="12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/>
    <xf numFmtId="200" fontId="12" fillId="2" borderId="0" xfId="0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vertical="center"/>
    </xf>
    <xf numFmtId="201" fontId="12" fillId="2" borderId="0" xfId="0" applyNumberFormat="1" applyFont="1" applyFill="1" applyBorder="1" applyAlignment="1" applyProtection="1">
      <alignment horizontal="center" vertical="center"/>
    </xf>
    <xf numFmtId="202" fontId="12" fillId="2" borderId="0" xfId="0" applyNumberFormat="1" applyFont="1" applyFill="1" applyBorder="1" applyAlignment="1" applyProtection="1">
      <alignment horizontal="center" vertical="center"/>
    </xf>
    <xf numFmtId="187" fontId="12" fillId="2" borderId="0" xfId="0" applyNumberFormat="1" applyFont="1" applyFill="1" applyBorder="1" applyAlignment="1" applyProtection="1">
      <alignment horizontal="center"/>
      <protection hidden="1"/>
    </xf>
    <xf numFmtId="175" fontId="12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24" fillId="2" borderId="0" xfId="0" applyFont="1" applyFill="1" applyBorder="1" applyProtection="1">
      <protection hidden="1"/>
    </xf>
    <xf numFmtId="174" fontId="24" fillId="2" borderId="0" xfId="0" applyNumberFormat="1" applyFont="1" applyFill="1" applyBorder="1" applyAlignment="1" applyProtection="1">
      <alignment horizontal="center"/>
      <protection hidden="1"/>
    </xf>
    <xf numFmtId="175" fontId="24" fillId="2" borderId="0" xfId="0" applyNumberFormat="1" applyFont="1" applyFill="1" applyBorder="1" applyAlignment="1" applyProtection="1">
      <alignment horizontal="center"/>
      <protection hidden="1"/>
    </xf>
    <xf numFmtId="176" fontId="24" fillId="2" borderId="0" xfId="0" applyNumberFormat="1" applyFont="1" applyFill="1" applyBorder="1" applyAlignment="1" applyProtection="1">
      <alignment horizontal="center" vertical="center"/>
      <protection hidden="1"/>
    </xf>
    <xf numFmtId="185" fontId="12" fillId="2" borderId="0" xfId="0" applyNumberFormat="1" applyFont="1" applyFill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165" fontId="12" fillId="2" borderId="0" xfId="0" applyNumberFormat="1" applyFont="1" applyFill="1" applyBorder="1" applyAlignment="1" applyProtection="1">
      <alignment horizontal="center"/>
      <protection hidden="1"/>
    </xf>
    <xf numFmtId="190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vertical="top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27" fillId="2" borderId="0" xfId="0" applyFont="1" applyFill="1" applyProtection="1">
      <protection hidden="1"/>
    </xf>
    <xf numFmtId="0" fontId="0" fillId="5" borderId="0" xfId="0" applyFill="1"/>
    <xf numFmtId="1" fontId="0" fillId="5" borderId="0" xfId="0" applyNumberFormat="1" applyFill="1"/>
    <xf numFmtId="0" fontId="0" fillId="5" borderId="0" xfId="0" applyFill="1" applyAlignment="1">
      <alignment horizontal="left"/>
    </xf>
    <xf numFmtId="0" fontId="22" fillId="2" borderId="0" xfId="0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164" fontId="0" fillId="3" borderId="1" xfId="0" applyNumberFormat="1" applyFill="1" applyBorder="1" applyAlignment="1" applyProtection="1">
      <alignment horizontal="center" vertical="center"/>
    </xf>
    <xf numFmtId="18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11" fontId="12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/>
    <xf numFmtId="2" fontId="12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88" fontId="0" fillId="5" borderId="0" xfId="0" applyNumberFormat="1" applyFill="1" applyAlignment="1">
      <alignment horizontal="center" vertical="center"/>
    </xf>
    <xf numFmtId="173" fontId="2" fillId="5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206" fontId="0" fillId="5" borderId="0" xfId="0" applyNumberFormat="1" applyFill="1" applyAlignment="1">
      <alignment horizontal="center" vertical="center"/>
    </xf>
    <xf numFmtId="173" fontId="0" fillId="5" borderId="0" xfId="0" applyNumberFormat="1" applyFill="1" applyAlignment="1">
      <alignment horizontal="center" vertical="center"/>
    </xf>
    <xf numFmtId="173" fontId="0" fillId="4" borderId="0" xfId="0" applyNumberForma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3" borderId="24" xfId="0" applyFill="1" applyBorder="1" applyAlignment="1" applyProtection="1">
      <alignment vertical="center"/>
      <protection hidden="1"/>
    </xf>
    <xf numFmtId="0" fontId="19" fillId="3" borderId="25" xfId="0" applyFont="1" applyFill="1" applyBorder="1" applyAlignment="1" applyProtection="1">
      <alignment horizontal="left" vertical="center" indent="1"/>
      <protection hidden="1"/>
    </xf>
    <xf numFmtId="196" fontId="19" fillId="3" borderId="26" xfId="0" applyNumberFormat="1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left" vertical="center" indent="1"/>
      <protection hidden="1"/>
    </xf>
    <xf numFmtId="0" fontId="19" fillId="3" borderId="6" xfId="0" applyFont="1" applyFill="1" applyBorder="1" applyAlignment="1" applyProtection="1">
      <alignment horizontal="left" vertical="center" indent="2"/>
      <protection hidden="1"/>
    </xf>
    <xf numFmtId="0" fontId="19" fillId="3" borderId="6" xfId="0" applyFont="1" applyFill="1" applyBorder="1" applyAlignment="1" applyProtection="1">
      <alignment horizontal="left" vertical="center" indent="2"/>
    </xf>
    <xf numFmtId="21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left" vertical="center" indent="2"/>
    </xf>
    <xf numFmtId="1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left" vertical="center" indent="1"/>
    </xf>
    <xf numFmtId="209" fontId="19" fillId="2" borderId="1" xfId="0" applyNumberFormat="1" applyFont="1" applyFill="1" applyBorder="1" applyAlignment="1" applyProtection="1">
      <alignment horizontal="center" vertical="center"/>
      <protection locked="0"/>
    </xf>
    <xf numFmtId="208" fontId="19" fillId="2" borderId="1" xfId="0" applyNumberFormat="1" applyFont="1" applyFill="1" applyBorder="1" applyAlignment="1" applyProtection="1">
      <alignment horizontal="center" vertical="center"/>
      <protection locked="0"/>
    </xf>
    <xf numFmtId="21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vertical="center"/>
      <protection hidden="1"/>
    </xf>
    <xf numFmtId="213" fontId="19" fillId="2" borderId="1" xfId="0" applyNumberFormat="1" applyFont="1" applyFill="1" applyBorder="1" applyAlignment="1" applyProtection="1">
      <alignment horizontal="center" vertical="center"/>
      <protection locked="0"/>
    </xf>
    <xf numFmtId="209" fontId="19" fillId="3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Protection="1">
      <protection hidden="1"/>
    </xf>
    <xf numFmtId="0" fontId="6" fillId="2" borderId="0" xfId="0" applyFont="1" applyFill="1" applyBorder="1" applyProtection="1">
      <protection hidden="1"/>
    </xf>
    <xf numFmtId="207" fontId="6" fillId="2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 indent="1"/>
      <protection hidden="1"/>
    </xf>
    <xf numFmtId="0" fontId="0" fillId="3" borderId="17" xfId="0" applyFill="1" applyBorder="1" applyAlignment="1" applyProtection="1">
      <alignment horizontal="left" vertical="center" indent="1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17" fillId="3" borderId="2" xfId="0" applyFont="1" applyFill="1" applyBorder="1" applyAlignment="1" applyProtection="1">
      <alignment horizontal="left" vertical="center"/>
      <protection hidden="1"/>
    </xf>
    <xf numFmtId="0" fontId="17" fillId="3" borderId="15" xfId="0" applyFont="1" applyFill="1" applyBorder="1" applyAlignment="1" applyProtection="1">
      <alignment horizontal="left" vertical="center"/>
      <protection hidden="1"/>
    </xf>
    <xf numFmtId="0" fontId="17" fillId="3" borderId="3" xfId="0" applyFont="1" applyFill="1" applyBorder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left" vertical="center" indent="2"/>
      <protection hidden="1"/>
    </xf>
    <xf numFmtId="0" fontId="0" fillId="3" borderId="23" xfId="0" applyFill="1" applyBorder="1" applyAlignment="1" applyProtection="1">
      <alignment horizontal="left" vertical="center" indent="2"/>
      <protection hidden="1"/>
    </xf>
    <xf numFmtId="0" fontId="12" fillId="0" borderId="0" xfId="0" applyNumberFormat="1" applyFont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80" fontId="1" fillId="2" borderId="0" xfId="0" applyNumberFormat="1" applyFont="1" applyFill="1" applyBorder="1" applyAlignment="1" applyProtection="1">
      <alignment horizontal="center" vertical="center"/>
      <protection locked="0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172" fontId="0" fillId="2" borderId="1" xfId="0" applyNumberFormat="1" applyFill="1" applyBorder="1" applyAlignment="1" applyProtection="1">
      <alignment horizontal="center" vertical="center"/>
      <protection locked="0"/>
    </xf>
    <xf numFmtId="168" fontId="0" fillId="2" borderId="1" xfId="0" applyNumberFormat="1" applyFill="1" applyBorder="1" applyAlignment="1" applyProtection="1">
      <alignment horizontal="center" vertical="center"/>
      <protection locked="0"/>
    </xf>
    <xf numFmtId="171" fontId="0" fillId="2" borderId="1" xfId="0" applyNumberForma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Estimated A4411 Power Dissipation</a:t>
            </a:r>
          </a:p>
        </c:rich>
      </c:tx>
      <c:layout>
        <c:manualLayout>
          <c:xMode val="edge"/>
          <c:yMode val="edge"/>
          <c:x val="0.26994561547169688"/>
          <c:y val="1.00400991542723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15869552450401"/>
          <c:y val="9.4491967424380527E-2"/>
          <c:w val="0.85157313167179405"/>
          <c:h val="0.71202180704275764"/>
        </c:manualLayout>
      </c:layout>
      <c:scatterChart>
        <c:scatterStyle val="smoothMarker"/>
        <c:varyColors val="0"/>
        <c:ser>
          <c:idx val="0"/>
          <c:order val="0"/>
          <c:tx>
            <c:v>Buck-Boost Power</c:v>
          </c:tx>
          <c:marker>
            <c:symbol val="none"/>
          </c:marker>
          <c:xVal>
            <c:numRef>
              <c:f>'Pdiss &amp; Compensation'!$J$2:$BG$2</c:f>
              <c:numCache>
                <c:formatCode>0.000\ "V"</c:formatCode>
                <c:ptCount val="50"/>
                <c:pt idx="0">
                  <c:v>3.5</c:v>
                </c:pt>
                <c:pt idx="1">
                  <c:v>3.795918367346939</c:v>
                </c:pt>
                <c:pt idx="2">
                  <c:v>4.091836734693878</c:v>
                </c:pt>
                <c:pt idx="3">
                  <c:v>4.387755102040817</c:v>
                </c:pt>
                <c:pt idx="4">
                  <c:v>4.683673469387756</c:v>
                </c:pt>
                <c:pt idx="5">
                  <c:v>4.979591836734695</c:v>
                </c:pt>
                <c:pt idx="6">
                  <c:v>5.275510204081634</c:v>
                </c:pt>
                <c:pt idx="7">
                  <c:v>5.571428571428573</c:v>
                </c:pt>
                <c:pt idx="8">
                  <c:v>5.8673469387755119</c:v>
                </c:pt>
                <c:pt idx="9">
                  <c:v>6.1632653061224509</c:v>
                </c:pt>
                <c:pt idx="10">
                  <c:v>6.4591836734693899</c:v>
                </c:pt>
                <c:pt idx="11">
                  <c:v>6.7551020408163289</c:v>
                </c:pt>
                <c:pt idx="12">
                  <c:v>7.0510204081632679</c:v>
                </c:pt>
                <c:pt idx="13">
                  <c:v>7.3469387755102069</c:v>
                </c:pt>
                <c:pt idx="14">
                  <c:v>7.6428571428571459</c:v>
                </c:pt>
                <c:pt idx="15">
                  <c:v>7.9387755102040849</c:v>
                </c:pt>
                <c:pt idx="16">
                  <c:v>8.2346938775510239</c:v>
                </c:pt>
                <c:pt idx="17">
                  <c:v>8.5306122448979629</c:v>
                </c:pt>
                <c:pt idx="18">
                  <c:v>8.8265306122449019</c:v>
                </c:pt>
                <c:pt idx="19">
                  <c:v>9.1224489795918409</c:v>
                </c:pt>
                <c:pt idx="20">
                  <c:v>9.4183673469387799</c:v>
                </c:pt>
                <c:pt idx="21">
                  <c:v>9.7142857142857189</c:v>
                </c:pt>
                <c:pt idx="22">
                  <c:v>10.010204081632658</c:v>
                </c:pt>
                <c:pt idx="23">
                  <c:v>10.306122448979597</c:v>
                </c:pt>
                <c:pt idx="24">
                  <c:v>10.602040816326536</c:v>
                </c:pt>
                <c:pt idx="25">
                  <c:v>10.897959183673475</c:v>
                </c:pt>
                <c:pt idx="26">
                  <c:v>11.193877551020414</c:v>
                </c:pt>
                <c:pt idx="27">
                  <c:v>11.489795918367353</c:v>
                </c:pt>
                <c:pt idx="28">
                  <c:v>11.785714285714292</c:v>
                </c:pt>
                <c:pt idx="29">
                  <c:v>12.081632653061231</c:v>
                </c:pt>
                <c:pt idx="30">
                  <c:v>12.37755102040817</c:v>
                </c:pt>
                <c:pt idx="31">
                  <c:v>12.673469387755109</c:v>
                </c:pt>
                <c:pt idx="32">
                  <c:v>12.969387755102048</c:v>
                </c:pt>
                <c:pt idx="33">
                  <c:v>13.265306122448987</c:v>
                </c:pt>
                <c:pt idx="34">
                  <c:v>13.561224489795926</c:v>
                </c:pt>
                <c:pt idx="35">
                  <c:v>13.857142857142865</c:v>
                </c:pt>
                <c:pt idx="36">
                  <c:v>14.153061224489804</c:v>
                </c:pt>
                <c:pt idx="37">
                  <c:v>14.448979591836743</c:v>
                </c:pt>
                <c:pt idx="38">
                  <c:v>14.744897959183682</c:v>
                </c:pt>
                <c:pt idx="39">
                  <c:v>15.040816326530621</c:v>
                </c:pt>
                <c:pt idx="40">
                  <c:v>15.33673469387756</c:v>
                </c:pt>
                <c:pt idx="41">
                  <c:v>15.632653061224499</c:v>
                </c:pt>
                <c:pt idx="42">
                  <c:v>15.928571428571438</c:v>
                </c:pt>
                <c:pt idx="43">
                  <c:v>16.224489795918377</c:v>
                </c:pt>
                <c:pt idx="44">
                  <c:v>16.520408163265316</c:v>
                </c:pt>
                <c:pt idx="45">
                  <c:v>16.816326530612255</c:v>
                </c:pt>
                <c:pt idx="46">
                  <c:v>17.112244897959194</c:v>
                </c:pt>
                <c:pt idx="47">
                  <c:v>17.408163265306133</c:v>
                </c:pt>
                <c:pt idx="48">
                  <c:v>17.704081632653072</c:v>
                </c:pt>
                <c:pt idx="49">
                  <c:v>18.000000000000011</c:v>
                </c:pt>
              </c:numCache>
            </c:numRef>
          </c:xVal>
          <c:yVal>
            <c:numRef>
              <c:f>'Pdiss &amp; Compensation'!$J$3:$BG$3</c:f>
              <c:numCache>
                <c:formatCode>0.000\ \W</c:formatCode>
                <c:ptCount val="50"/>
                <c:pt idx="0">
                  <c:v>0.96585947644189885</c:v>
                </c:pt>
                <c:pt idx="1">
                  <c:v>0.85435054749799211</c:v>
                </c:pt>
                <c:pt idx="2">
                  <c:v>0.77313561774267447</c:v>
                </c:pt>
                <c:pt idx="3">
                  <c:v>0.71255059830469158</c:v>
                </c:pt>
                <c:pt idx="4">
                  <c:v>0.66659324477493764</c:v>
                </c:pt>
                <c:pt idx="5">
                  <c:v>0.63135744031050667</c:v>
                </c:pt>
                <c:pt idx="6">
                  <c:v>0.60420197594582503</c:v>
                </c:pt>
                <c:pt idx="7">
                  <c:v>0.58328380525858747</c:v>
                </c:pt>
                <c:pt idx="8">
                  <c:v>0.56728250516152179</c:v>
                </c:pt>
                <c:pt idx="9">
                  <c:v>0.55523071345473995</c:v>
                </c:pt>
                <c:pt idx="10">
                  <c:v>0.54640534441546862</c:v>
                </c:pt>
                <c:pt idx="11">
                  <c:v>0.54023699459020802</c:v>
                </c:pt>
                <c:pt idx="12">
                  <c:v>0.52787476143439038</c:v>
                </c:pt>
                <c:pt idx="13">
                  <c:v>0.5212415846341929</c:v>
                </c:pt>
                <c:pt idx="14">
                  <c:v>0.52417445525453266</c:v>
                </c:pt>
                <c:pt idx="15">
                  <c:v>0.52763714882904644</c:v>
                </c:pt>
                <c:pt idx="16">
                  <c:v>0.53160149314937255</c:v>
                </c:pt>
                <c:pt idx="17">
                  <c:v>0.53604309439753639</c:v>
                </c:pt>
                <c:pt idx="18">
                  <c:v>0.54094072775215374</c:v>
                </c:pt>
                <c:pt idx="19">
                  <c:v>0.54627584158358322</c:v>
                </c:pt>
                <c:pt idx="20">
                  <c:v>0.55203215142612738</c:v>
                </c:pt>
                <c:pt idx="21">
                  <c:v>0.55819530541918538</c:v>
                </c:pt>
                <c:pt idx="22">
                  <c:v>0.5647526070314558</c:v>
                </c:pt>
                <c:pt idx="23">
                  <c:v>0.57169278399506851</c:v>
                </c:pt>
                <c:pt idx="24">
                  <c:v>0.57900579474554636</c:v>
                </c:pt>
                <c:pt idx="25">
                  <c:v>0.58668266547997505</c:v>
                </c:pt>
                <c:pt idx="26">
                  <c:v>0.59471535234854367</c:v>
                </c:pt>
                <c:pt idx="27">
                  <c:v>0.60309662438529787</c:v>
                </c:pt>
                <c:pt idx="28">
                  <c:v>0.61181996363749791</c:v>
                </c:pt>
                <c:pt idx="29">
                  <c:v>0.62087947962508594</c:v>
                </c:pt>
                <c:pt idx="30">
                  <c:v>0.63026983579414897</c:v>
                </c:pt>
                <c:pt idx="31">
                  <c:v>0.63998618605235835</c:v>
                </c:pt>
                <c:pt idx="32">
                  <c:v>0.65002411981402097</c:v>
                </c:pt>
                <c:pt idx="33">
                  <c:v>0.66037961425581104</c:v>
                </c:pt>
                <c:pt idx="34">
                  <c:v>0.6710489927054718</c:v>
                </c:pt>
                <c:pt idx="35">
                  <c:v>0.6820288882655986</c:v>
                </c:pt>
                <c:pt idx="36">
                  <c:v>0.69331621192144144</c:v>
                </c:pt>
                <c:pt idx="37">
                  <c:v>0.70490812450209539</c:v>
                </c:pt>
                <c:pt idx="38">
                  <c:v>0.71680201196360571</c:v>
                </c:pt>
                <c:pt idx="39">
                  <c:v>0.72899546354452782</c:v>
                </c:pt>
                <c:pt idx="40">
                  <c:v>0.74148625241253008</c:v>
                </c:pt>
                <c:pt idx="41">
                  <c:v>0.75427231847734233</c:v>
                </c:pt>
                <c:pt idx="42">
                  <c:v>0.76735175309275439</c:v>
                </c:pt>
                <c:pt idx="43">
                  <c:v>0.78072278541014251</c:v>
                </c:pt>
                <c:pt idx="44">
                  <c:v>0.79438377017948769</c:v>
                </c:pt>
                <c:pt idx="45">
                  <c:v>0.80833317682210981</c:v>
                </c:pt>
                <c:pt idx="46">
                  <c:v>0.8225695796232908</c:v>
                </c:pt>
                <c:pt idx="47">
                  <c:v>0.8370916489133019</c:v>
                </c:pt>
                <c:pt idx="48">
                  <c:v>0.85189814312267997</c:v>
                </c:pt>
                <c:pt idx="49">
                  <c:v>0.86698790161240036</c:v>
                </c:pt>
              </c:numCache>
            </c:numRef>
          </c:yVal>
          <c:smooth val="0"/>
        </c:ser>
        <c:ser>
          <c:idx val="2"/>
          <c:order val="1"/>
          <c:tx>
            <c:v>Buck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'Pdiss &amp; Compensation'!$J$87:$BG$87</c:f>
              <c:numCache>
                <c:formatCode>0.000\ "V"</c:formatCode>
                <c:ptCount val="50"/>
                <c:pt idx="0">
                  <c:v>6</c:v>
                </c:pt>
                <c:pt idx="1">
                  <c:v>6.2448979591836737</c:v>
                </c:pt>
                <c:pt idx="2">
                  <c:v>6.4897959183673475</c:v>
                </c:pt>
                <c:pt idx="3">
                  <c:v>6.7346938775510212</c:v>
                </c:pt>
                <c:pt idx="4">
                  <c:v>6.979591836734695</c:v>
                </c:pt>
                <c:pt idx="5">
                  <c:v>7.2244897959183687</c:v>
                </c:pt>
                <c:pt idx="6">
                  <c:v>7.4693877551020424</c:v>
                </c:pt>
                <c:pt idx="7">
                  <c:v>7.7142857142857162</c:v>
                </c:pt>
                <c:pt idx="8">
                  <c:v>7.9591836734693899</c:v>
                </c:pt>
                <c:pt idx="9">
                  <c:v>8.2040816326530628</c:v>
                </c:pt>
                <c:pt idx="10">
                  <c:v>8.4489795918367356</c:v>
                </c:pt>
                <c:pt idx="11">
                  <c:v>8.6938775510204085</c:v>
                </c:pt>
                <c:pt idx="12">
                  <c:v>8.9387755102040813</c:v>
                </c:pt>
                <c:pt idx="13">
                  <c:v>9.1836734693877542</c:v>
                </c:pt>
                <c:pt idx="14">
                  <c:v>9.428571428571427</c:v>
                </c:pt>
                <c:pt idx="15">
                  <c:v>9.6734693877550999</c:v>
                </c:pt>
                <c:pt idx="16">
                  <c:v>9.9183673469387728</c:v>
                </c:pt>
                <c:pt idx="17">
                  <c:v>10.163265306122446</c:v>
                </c:pt>
                <c:pt idx="18">
                  <c:v>10.408163265306118</c:v>
                </c:pt>
                <c:pt idx="19">
                  <c:v>10.653061224489791</c:v>
                </c:pt>
                <c:pt idx="20">
                  <c:v>10.897959183673464</c:v>
                </c:pt>
                <c:pt idx="21">
                  <c:v>11.142857142857137</c:v>
                </c:pt>
                <c:pt idx="22">
                  <c:v>11.38775510204081</c:v>
                </c:pt>
                <c:pt idx="23">
                  <c:v>11.632653061224483</c:v>
                </c:pt>
                <c:pt idx="24">
                  <c:v>11.877551020408156</c:v>
                </c:pt>
                <c:pt idx="25">
                  <c:v>12.122448979591828</c:v>
                </c:pt>
                <c:pt idx="26">
                  <c:v>12.367346938775501</c:v>
                </c:pt>
                <c:pt idx="27">
                  <c:v>12.612244897959174</c:v>
                </c:pt>
                <c:pt idx="28">
                  <c:v>12.857142857142847</c:v>
                </c:pt>
                <c:pt idx="29">
                  <c:v>13.10204081632652</c:v>
                </c:pt>
                <c:pt idx="30">
                  <c:v>13.346938775510193</c:v>
                </c:pt>
                <c:pt idx="31">
                  <c:v>13.591836734693866</c:v>
                </c:pt>
                <c:pt idx="32">
                  <c:v>13.836734693877538</c:v>
                </c:pt>
                <c:pt idx="33">
                  <c:v>14.081632653061211</c:v>
                </c:pt>
                <c:pt idx="34">
                  <c:v>14.326530612244884</c:v>
                </c:pt>
                <c:pt idx="35">
                  <c:v>14.571428571428557</c:v>
                </c:pt>
                <c:pt idx="36">
                  <c:v>14.81632653061223</c:v>
                </c:pt>
                <c:pt idx="37">
                  <c:v>15.061224489795903</c:v>
                </c:pt>
                <c:pt idx="38">
                  <c:v>15.306122448979576</c:v>
                </c:pt>
                <c:pt idx="39">
                  <c:v>15.551020408163248</c:v>
                </c:pt>
                <c:pt idx="40">
                  <c:v>15.795918367346921</c:v>
                </c:pt>
                <c:pt idx="41">
                  <c:v>16.040816326530596</c:v>
                </c:pt>
                <c:pt idx="42">
                  <c:v>16.28571428571427</c:v>
                </c:pt>
                <c:pt idx="43">
                  <c:v>16.530612244897945</c:v>
                </c:pt>
                <c:pt idx="44">
                  <c:v>16.77551020408162</c:v>
                </c:pt>
                <c:pt idx="45">
                  <c:v>17.020408163265294</c:v>
                </c:pt>
                <c:pt idx="46">
                  <c:v>17.265306122448969</c:v>
                </c:pt>
                <c:pt idx="47">
                  <c:v>17.510204081632644</c:v>
                </c:pt>
                <c:pt idx="48">
                  <c:v>17.755102040816318</c:v>
                </c:pt>
                <c:pt idx="49">
                  <c:v>17.999999999999993</c:v>
                </c:pt>
              </c:numCache>
            </c:numRef>
          </c:xVal>
          <c:yVal>
            <c:numRef>
              <c:f>'Pdiss &amp; Compensation'!$J$88:$BG$88</c:f>
              <c:numCache>
                <c:formatCode>0.000\ \W</c:formatCode>
                <c:ptCount val="50"/>
                <c:pt idx="0">
                  <c:v>0.36556756408994112</c:v>
                </c:pt>
                <c:pt idx="1">
                  <c:v>0.36553492154338735</c:v>
                </c:pt>
                <c:pt idx="2">
                  <c:v>0.36601733170498629</c:v>
                </c:pt>
                <c:pt idx="3">
                  <c:v>0.36697710366640751</c:v>
                </c:pt>
                <c:pt idx="4">
                  <c:v>0.36838205300345289</c:v>
                </c:pt>
                <c:pt idx="5">
                  <c:v>0.36313058259342529</c:v>
                </c:pt>
                <c:pt idx="6">
                  <c:v>0.3655751468078895</c:v>
                </c:pt>
                <c:pt idx="7">
                  <c:v>0.36837793500655042</c:v>
                </c:pt>
                <c:pt idx="8">
                  <c:v>0.37152215611838391</c:v>
                </c:pt>
                <c:pt idx="9">
                  <c:v>0.37499306469598076</c:v>
                </c:pt>
                <c:pt idx="10">
                  <c:v>0.37877765469890484</c:v>
                </c:pt>
                <c:pt idx="11">
                  <c:v>0.38286440721499332</c:v>
                </c:pt>
                <c:pt idx="12">
                  <c:v>0.38724308127387735</c:v>
                </c:pt>
                <c:pt idx="13">
                  <c:v>0.39190453934159875</c:v>
                </c:pt>
                <c:pt idx="14">
                  <c:v>0.39684060091998008</c:v>
                </c:pt>
                <c:pt idx="15">
                  <c:v>0.40204391906940784</c:v>
                </c:pt>
                <c:pt idx="16">
                  <c:v>0.40750787574325015</c:v>
                </c:pt>
                <c:pt idx="17">
                  <c:v>0.41322649264859962</c:v>
                </c:pt>
                <c:pt idx="18">
                  <c:v>0.4191943549914916</c:v>
                </c:pt>
                <c:pt idx="19">
                  <c:v>0.42540654596919353</c:v>
                </c:pt>
                <c:pt idx="20">
                  <c:v>0.43185859027036577</c:v>
                </c:pt>
                <c:pt idx="21">
                  <c:v>0.4385464051601029</c:v>
                </c:pt>
                <c:pt idx="22">
                  <c:v>0.44546625797961614</c:v>
                </c:pt>
                <c:pt idx="23">
                  <c:v>0.45261472909338452</c:v>
                </c:pt>
                <c:pt idx="24">
                  <c:v>0.459988679480694</c:v>
                </c:pt>
                <c:pt idx="25">
                  <c:v>0.46758522230178706</c:v>
                </c:pt>
                <c:pt idx="26">
                  <c:v>0.47540169787761127</c:v>
                </c:pt>
                <c:pt idx="27">
                  <c:v>0.48343565161137425</c:v>
                </c:pt>
                <c:pt idx="28">
                  <c:v>0.49168481445360923</c:v>
                </c:pt>
                <c:pt idx="29">
                  <c:v>0.50014708557323595</c:v>
                </c:pt>
                <c:pt idx="30">
                  <c:v>0.50882051694762165</c:v>
                </c:pt>
                <c:pt idx="31">
                  <c:v>0.5177032996267581</c:v>
                </c:pt>
                <c:pt idx="32">
                  <c:v>0.52679375146192875</c:v>
                </c:pt>
                <c:pt idx="33">
                  <c:v>0.53609030611887332</c:v>
                </c:pt>
                <c:pt idx="34">
                  <c:v>0.54559150322041194</c:v>
                </c:pt>
                <c:pt idx="35">
                  <c:v>0.55529597948464393</c:v>
                </c:pt>
                <c:pt idx="36">
                  <c:v>0.56520246074273151</c:v>
                </c:pt>
                <c:pt idx="37">
                  <c:v>0.57530975473556922</c:v>
                </c:pt>
                <c:pt idx="38">
                  <c:v>0.58561674460164448</c:v>
                </c:pt>
                <c:pt idx="39">
                  <c:v>0.59612238297955844</c:v>
                </c:pt>
                <c:pt idx="40">
                  <c:v>0.60682568665826064</c:v>
                </c:pt>
                <c:pt idx="41">
                  <c:v>0.61772573171627188</c:v>
                </c:pt>
                <c:pt idx="42">
                  <c:v>0.62882164909831517</c:v>
                </c:pt>
                <c:pt idx="43">
                  <c:v>0.64011262058389917</c:v>
                </c:pt>
                <c:pt idx="44">
                  <c:v>0.65159787510776157</c:v>
                </c:pt>
                <c:pt idx="45">
                  <c:v>0.66327668539670492</c:v>
                </c:pt>
                <c:pt idx="46">
                  <c:v>0.67514836489140473</c:v>
                </c:pt>
                <c:pt idx="47">
                  <c:v>0.6872122649253054</c:v>
                </c:pt>
                <c:pt idx="48">
                  <c:v>0.6994677721357927</c:v>
                </c:pt>
                <c:pt idx="49">
                  <c:v>0.71191430608555706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57648"/>
        <c:axId val="297739344"/>
      </c:scatterChart>
      <c:valAx>
        <c:axId val="300057648"/>
        <c:scaling>
          <c:orientation val="minMax"/>
          <c:max val="18"/>
          <c:min val="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Input Voltage at IC VIN Pin (V)</a:t>
                </a:r>
              </a:p>
            </c:rich>
          </c:tx>
          <c:layout/>
          <c:overlay val="0"/>
        </c:title>
        <c:numFmt formatCode="0\ &quot;V&quot;" sourceLinked="0"/>
        <c:majorTickMark val="out"/>
        <c:minorTickMark val="none"/>
        <c:tickLblPos val="nextTo"/>
        <c:crossAx val="297739344"/>
        <c:crosses val="autoZero"/>
        <c:crossBetween val="midCat"/>
        <c:majorUnit val="1"/>
        <c:minorUnit val="0.5"/>
      </c:valAx>
      <c:valAx>
        <c:axId val="297739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(W)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00057648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1.6927281680151441E-2"/>
          <c:y val="0.93671413584787355"/>
          <c:w val="0.96863910083528715"/>
          <c:h val="6.3285864152126461E-2"/>
        </c:manualLayout>
      </c:layout>
      <c:overlay val="1"/>
      <c:spPr>
        <a:noFill/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</a:t>
            </a:r>
            <a:r>
              <a:rPr lang="en-US" baseline="0"/>
              <a:t> to Output</a:t>
            </a:r>
            <a:endParaRPr lang="en-US"/>
          </a:p>
        </c:rich>
      </c:tx>
      <c:layout>
        <c:manualLayout>
          <c:xMode val="edge"/>
          <c:yMode val="edge"/>
          <c:x val="0.38945527060514085"/>
          <c:y val="9.95025070518484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99943963261277E-2"/>
          <c:y val="9.4709495137307476E-2"/>
          <c:w val="0.8305021676804859"/>
          <c:h val="0.809099136380760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Loop2'!$E$33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Loop2'!$E$34:$E$133</c:f>
              <c:numCache>
                <c:formatCode>General</c:formatCode>
                <c:ptCount val="100"/>
                <c:pt idx="0">
                  <c:v>19.739036677159259</c:v>
                </c:pt>
                <c:pt idx="1">
                  <c:v>19.7375102030426</c:v>
                </c:pt>
                <c:pt idx="2">
                  <c:v>19.735672271616199</c:v>
                </c:pt>
                <c:pt idx="3">
                  <c:v>19.733459508886703</c:v>
                </c:pt>
                <c:pt idx="4">
                  <c:v>19.730795724319496</c:v>
                </c:pt>
                <c:pt idx="5">
                  <c:v>19.727589354088934</c:v>
                </c:pt>
                <c:pt idx="6">
                  <c:v>19.723730410078936</c:v>
                </c:pt>
                <c:pt idx="7">
                  <c:v>19.719086846190041</c:v>
                </c:pt>
                <c:pt idx="8">
                  <c:v>19.713500240917909</c:v>
                </c:pt>
                <c:pt idx="9">
                  <c:v>19.706780682337715</c:v>
                </c:pt>
                <c:pt idx="10">
                  <c:v>19.698700729454579</c:v>
                </c:pt>
                <c:pt idx="11">
                  <c:v>19.688988313799676</c:v>
                </c:pt>
                <c:pt idx="12">
                  <c:v>19.677318439356839</c:v>
                </c:pt>
                <c:pt idx="13">
                  <c:v>19.663303540617964</c:v>
                </c:pt>
                <c:pt idx="14">
                  <c:v>19.646482372385403</c:v>
                </c:pt>
                <c:pt idx="15">
                  <c:v>19.626307337205262</c:v>
                </c:pt>
                <c:pt idx="16">
                  <c:v>19.602130215479082</c:v>
                </c:pt>
                <c:pt idx="17">
                  <c:v>19.573186360167448</c:v>
                </c:pt>
                <c:pt idx="18">
                  <c:v>19.538577565654531</c:v>
                </c:pt>
                <c:pt idx="19">
                  <c:v>19.49725403344506</c:v>
                </c:pt>
                <c:pt idx="20">
                  <c:v>19.447996150328567</c:v>
                </c:pt>
                <c:pt idx="21">
                  <c:v>19.389397178047396</c:v>
                </c:pt>
                <c:pt idx="22">
                  <c:v>19.319848428081599</c:v>
                </c:pt>
                <c:pt idx="23">
                  <c:v>19.2375290427793</c:v>
                </c:pt>
                <c:pt idx="24">
                  <c:v>19.14040307594016</c:v>
                </c:pt>
                <c:pt idx="25">
                  <c:v>19.026227069858383</c:v>
                </c:pt>
                <c:pt idx="26">
                  <c:v>18.89257161662789</c:v>
                </c:pt>
                <c:pt idx="27">
                  <c:v>18.736860273033948</c:v>
                </c:pt>
                <c:pt idx="28">
                  <c:v>18.556428447285874</c:v>
                </c:pt>
                <c:pt idx="29">
                  <c:v>18.348603297855806</c:v>
                </c:pt>
                <c:pt idx="30">
                  <c:v>18.110803204839893</c:v>
                </c:pt>
                <c:pt idx="31">
                  <c:v>17.84065214481387</c:v>
                </c:pt>
                <c:pt idx="32">
                  <c:v>17.536100782799501</c:v>
                </c:pt>
                <c:pt idx="33">
                  <c:v>17.19554305429525</c:v>
                </c:pt>
                <c:pt idx="34">
                  <c:v>16.817915364575601</c:v>
                </c:pt>
                <c:pt idx="35">
                  <c:v>16.402766062511965</c:v>
                </c:pt>
                <c:pt idx="36">
                  <c:v>15.950285853973686</c:v>
                </c:pt>
                <c:pt idx="37">
                  <c:v>15.461294899586917</c:v>
                </c:pt>
                <c:pt idx="38">
                  <c:v>14.937188414631155</c:v>
                </c:pt>
                <c:pt idx="39">
                  <c:v>14.379848234026841</c:v>
                </c:pt>
                <c:pt idx="40">
                  <c:v>13.791531750546639</c:v>
                </c:pt>
                <c:pt idx="41">
                  <c:v>13.174751176926641</c:v>
                </c:pt>
                <c:pt idx="42">
                  <c:v>12.532155250683651</c:v>
                </c:pt>
                <c:pt idx="43">
                  <c:v>11.866422918443199</c:v>
                </c:pt>
                <c:pt idx="44">
                  <c:v>11.180175107709779</c:v>
                </c:pt>
                <c:pt idx="45">
                  <c:v>10.475907272576055</c:v>
                </c:pt>
                <c:pt idx="46">
                  <c:v>9.755942579264623</c:v>
                </c:pt>
                <c:pt idx="47">
                  <c:v>9.0224036498106788</c:v>
                </c:pt>
                <c:pt idx="48">
                  <c:v>8.277199712614868</c:v>
                </c:pt>
                <c:pt idx="49">
                  <c:v>7.5220256588866334</c:v>
                </c:pt>
                <c:pt idx="50">
                  <c:v>6.7583696538469109</c:v>
                </c:pt>
                <c:pt idx="51">
                  <c:v>5.9875263891894956</c:v>
                </c:pt>
                <c:pt idx="52">
                  <c:v>5.2106136215288457</c:v>
                </c:pt>
                <c:pt idx="53">
                  <c:v>4.4285902072876766</c:v>
                </c:pt>
                <c:pt idx="54">
                  <c:v>3.6422743526528203</c:v>
                </c:pt>
                <c:pt idx="55">
                  <c:v>2.8523612187734955</c:v>
                </c:pt>
                <c:pt idx="56">
                  <c:v>2.0594393515729053</c:v>
                </c:pt>
                <c:pt idx="57">
                  <c:v>1.2640056498543277</c:v>
                </c:pt>
                <c:pt idx="58">
                  <c:v>0.46647875820388046</c:v>
                </c:pt>
                <c:pt idx="59">
                  <c:v>-0.33278911260934807</c:v>
                </c:pt>
                <c:pt idx="60">
                  <c:v>-1.1335018616002661</c:v>
                </c:pt>
                <c:pt idx="61">
                  <c:v>-1.935410551333637</c:v>
                </c:pt>
                <c:pt idx="62">
                  <c:v>-2.7383057001031736</c:v>
                </c:pt>
                <c:pt idx="63">
                  <c:v>-3.5420106668167484</c:v>
                </c:pt>
                <c:pt idx="64">
                  <c:v>-4.346375985824019</c:v>
                </c:pt>
                <c:pt idx="65">
                  <c:v>-5.1512745174863364</c:v>
                </c:pt>
                <c:pt idx="66">
                  <c:v>-5.9565972920080146</c:v>
                </c:pt>
                <c:pt idx="67">
                  <c:v>-6.7622499373982015</c:v>
                </c:pt>
                <c:pt idx="68">
                  <c:v>-7.5681495966174861</c:v>
                </c:pt>
                <c:pt idx="69">
                  <c:v>-8.3742222537467246</c:v>
                </c:pt>
                <c:pt idx="70">
                  <c:v>-9.1804004046944616</c:v>
                </c:pt>
                <c:pt idx="71">
                  <c:v>-9.9866210253467553</c:v>
                </c:pt>
                <c:pt idx="72">
                  <c:v>-10.792823810557977</c:v>
                </c:pt>
                <c:pt idx="73">
                  <c:v>-11.598949683187348</c:v>
                </c:pt>
                <c:pt idx="74">
                  <c:v>-12.404939606756262</c:v>
                </c:pt>
                <c:pt idx="75">
                  <c:v>-13.210733783042699</c:v>
                </c:pt>
                <c:pt idx="76">
                  <c:v>-14.016271384072539</c:v>
                </c:pt>
                <c:pt idx="77">
                  <c:v>-14.821491066812179</c:v>
                </c:pt>
                <c:pt idx="78">
                  <c:v>-15.626332663462312</c:v>
                </c:pt>
                <c:pt idx="79">
                  <c:v>-16.430740652589595</c:v>
                </c:pt>
                <c:pt idx="80">
                  <c:v>-17.234670328414214</c:v>
                </c:pt>
                <c:pt idx="81">
                  <c:v>-18.038098043688176</c:v>
                </c:pt>
                <c:pt idx="82">
                  <c:v>-18.841037572067787</c:v>
                </c:pt>
                <c:pt idx="83">
                  <c:v>-19.643565612035793</c:v>
                </c:pt>
                <c:pt idx="84">
                  <c:v>-20.445860863854612</c:v>
                </c:pt>
                <c:pt idx="85">
                  <c:v>-21.248263119343733</c:v>
                </c:pt>
                <c:pt idx="86">
                  <c:v>-22.051361605605962</c:v>
                </c:pt>
                <c:pt idx="87">
                  <c:v>-22.856125594985329</c:v>
                </c:pt>
                <c:pt idx="88">
                  <c:v>-23.664095061148704</c:v>
                </c:pt>
                <c:pt idx="89">
                  <c:v>-24.477654478977371</c:v>
                </c:pt>
                <c:pt idx="90">
                  <c:v>-25.300417115425248</c:v>
                </c:pt>
                <c:pt idx="91">
                  <c:v>-26.137746193878936</c:v>
                </c:pt>
                <c:pt idx="92">
                  <c:v>-26.997424229542375</c:v>
                </c:pt>
                <c:pt idx="93">
                  <c:v>-27.890436358122969</c:v>
                </c:pt>
                <c:pt idx="94">
                  <c:v>-28.831734167412932</c:v>
                </c:pt>
                <c:pt idx="95">
                  <c:v>-29.840675007797156</c:v>
                </c:pt>
                <c:pt idx="96">
                  <c:v>-30.940615098761164</c:v>
                </c:pt>
                <c:pt idx="97">
                  <c:v>-32.157017597504606</c:v>
                </c:pt>
                <c:pt idx="98">
                  <c:v>-33.513712741822566</c:v>
                </c:pt>
                <c:pt idx="99">
                  <c:v>-35.027856779564829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67840"/>
        <c:axId val="304968400"/>
      </c:scatterChart>
      <c:scatterChart>
        <c:scatterStyle val="lineMarker"/>
        <c:varyColors val="0"/>
        <c:ser>
          <c:idx val="1"/>
          <c:order val="1"/>
          <c:tx>
            <c:strRef>
              <c:f>'Control Loop2'!$F$33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Loop2'!$F$34:$F$133</c:f>
              <c:numCache>
                <c:formatCode>General</c:formatCode>
                <c:ptCount val="100"/>
                <c:pt idx="0">
                  <c:v>-2.382969823442993</c:v>
                </c:pt>
                <c:pt idx="1">
                  <c:v>-2.6150008343349946</c:v>
                </c:pt>
                <c:pt idx="2">
                  <c:v>-2.8695563832473261</c:v>
                </c:pt>
                <c:pt idx="3">
                  <c:v>-3.1488010814325538</c:v>
                </c:pt>
                <c:pt idx="4">
                  <c:v>-3.4551005102805985</c:v>
                </c:pt>
                <c:pt idx="5">
                  <c:v>-3.7910376100637984</c:v>
                </c:pt>
                <c:pt idx="6">
                  <c:v>-4.1594296571670055</c:v>
                </c:pt>
                <c:pt idx="7">
                  <c:v>-4.5633455754176291</c:v>
                </c:pt>
                <c:pt idx="8">
                  <c:v>-5.0061232096077593</c:v>
                </c:pt>
                <c:pt idx="9">
                  <c:v>-5.4913860348439503</c:v>
                </c:pt>
                <c:pt idx="10">
                  <c:v>-6.0230585746183607</c:v>
                </c:pt>
                <c:pt idx="11">
                  <c:v>-6.6053795426856716</c:v>
                </c:pt>
                <c:pt idx="12">
                  <c:v>-7.2429113971108512</c:v>
                </c:pt>
                <c:pt idx="13">
                  <c:v>-7.9405445871997449</c:v>
                </c:pt>
                <c:pt idx="14">
                  <c:v>-8.7034942749873192</c:v>
                </c:pt>
                <c:pt idx="15">
                  <c:v>-9.5372867165748314</c:v>
                </c:pt>
                <c:pt idx="16">
                  <c:v>-10.447731798341303</c:v>
                </c:pt>
                <c:pt idx="17">
                  <c:v>-11.440877459062678</c:v>
                </c:pt>
                <c:pt idx="18">
                  <c:v>-12.522940938734882</c:v>
                </c:pt>
                <c:pt idx="19">
                  <c:v>-13.700211067290834</c:v>
                </c:pt>
                <c:pt idx="20">
                  <c:v>-14.978915288900335</c:v>
                </c:pt>
                <c:pt idx="21">
                  <c:v>-16.365045034174152</c:v>
                </c:pt>
                <c:pt idx="22">
                  <c:v>-17.8641337173575</c:v>
                </c:pt>
                <c:pt idx="23">
                  <c:v>-19.480983451156593</c:v>
                </c:pt>
                <c:pt idx="24">
                  <c:v>-21.219339997678137</c:v>
                </c:pt>
                <c:pt idx="25">
                  <c:v>-23.081520943303495</c:v>
                </c:pt>
                <c:pt idx="26">
                  <c:v>-25.068009850535024</c:v>
                </c:pt>
                <c:pt idx="27">
                  <c:v>-27.177039040281219</c:v>
                </c:pt>
                <c:pt idx="28">
                  <c:v>-29.40419483882533</c:v>
                </c:pt>
                <c:pt idx="29">
                  <c:v>-31.742089795323743</c:v>
                </c:pt>
                <c:pt idx="30">
                  <c:v>-34.180153773218173</c:v>
                </c:pt>
                <c:pt idx="31">
                  <c:v>-36.704596559403896</c:v>
                </c:pt>
                <c:pt idx="32">
                  <c:v>-39.298585604939255</c:v>
                </c:pt>
                <c:pt idx="33">
                  <c:v>-41.942662196825296</c:v>
                </c:pt>
                <c:pt idx="34">
                  <c:v>-44.615389185835106</c:v>
                </c:pt>
                <c:pt idx="35">
                  <c:v>-47.294188344879132</c:v>
                </c:pt>
                <c:pt idx="36">
                  <c:v>-49.956293288368975</c:v>
                </c:pt>
                <c:pt idx="37">
                  <c:v>-52.579722969075732</c:v>
                </c:pt>
                <c:pt idx="38">
                  <c:v>-55.144176963126881</c:v>
                </c:pt>
                <c:pt idx="39">
                  <c:v>-57.63176816005894</c:v>
                </c:pt>
                <c:pt idx="40">
                  <c:v>-60.027536969686452</c:v>
                </c:pt>
                <c:pt idx="41">
                  <c:v>-62.319726058523223</c:v>
                </c:pt>
                <c:pt idx="42">
                  <c:v>-64.499827591441743</c:v>
                </c:pt>
                <c:pt idx="43">
                  <c:v>-66.562439669027668</c:v>
                </c:pt>
                <c:pt idx="44">
                  <c:v>-68.504982248167906</c:v>
                </c:pt>
                <c:pt idx="45">
                  <c:v>-70.327325766181417</c:v>
                </c:pt>
                <c:pt idx="46">
                  <c:v>-72.031380592450702</c:v>
                </c:pt>
                <c:pt idx="47">
                  <c:v>-73.620685716815416</c:v>
                </c:pt>
                <c:pt idx="48">
                  <c:v>-75.100023840033941</c:v>
                </c:pt>
                <c:pt idx="49">
                  <c:v>-76.475079459489876</c:v>
                </c:pt>
                <c:pt idx="50">
                  <c:v>-77.752147857505705</c:v>
                </c:pt>
                <c:pt idx="51">
                  <c:v>-78.937896509842972</c:v>
                </c:pt>
                <c:pt idx="52">
                  <c:v>-80.03917622253158</c:v>
                </c:pt>
                <c:pt idx="53">
                  <c:v>-81.06287689360019</c:v>
                </c:pt>
                <c:pt idx="54">
                  <c:v>-82.015821720215612</c:v>
                </c:pt>
                <c:pt idx="55">
                  <c:v>-82.904693499210651</c:v>
                </c:pt>
                <c:pt idx="56">
                  <c:v>-83.735987048494181</c:v>
                </c:pt>
                <c:pt idx="57">
                  <c:v>-84.515982448945422</c:v>
                </c:pt>
                <c:pt idx="58">
                  <c:v>-85.250734594709485</c:v>
                </c:pt>
                <c:pt idx="59">
                  <c:v>-85.946075334117751</c:v>
                </c:pt>
                <c:pt idx="60">
                  <c:v>-86.607625221741884</c:v>
                </c:pt>
                <c:pt idx="61">
                  <c:v>-87.240812555127619</c:v>
                </c:pt>
                <c:pt idx="62">
                  <c:v>-87.850897929119881</c:v>
                </c:pt>
                <c:pt idx="63">
                  <c:v>-88.443003010237447</c:v>
                </c:pt>
                <c:pt idx="64">
                  <c:v>-89.022142623675933</c:v>
                </c:pt>
                <c:pt idx="65">
                  <c:v>-89.593259569607241</c:v>
                </c:pt>
                <c:pt idx="66">
                  <c:v>-90.161261857796276</c:v>
                </c:pt>
                <c:pt idx="67">
                  <c:v>-90.731062284369429</c:v>
                </c:pt>
                <c:pt idx="68">
                  <c:v>-91.307620485568862</c:v>
                </c:pt>
                <c:pt idx="69">
                  <c:v>-91.895987803814123</c:v>
                </c:pt>
                <c:pt idx="70">
                  <c:v>-92.50135550459899</c:v>
                </c:pt>
                <c:pt idx="71">
                  <c:v>-93.129107102293162</c:v>
                </c:pt>
                <c:pt idx="72">
                  <c:v>-93.784875803390875</c:v>
                </c:pt>
                <c:pt idx="73">
                  <c:v>-94.474608373318929</c:v>
                </c:pt>
                <c:pt idx="74">
                  <c:v>-95.20463709587321</c:v>
                </c:pt>
                <c:pt idx="75">
                  <c:v>-95.981761943437476</c:v>
                </c:pt>
                <c:pt idx="76">
                  <c:v>-96.813345634444005</c:v>
                </c:pt>
                <c:pt idx="77">
                  <c:v>-97.707424946372782</c:v>
                </c:pt>
                <c:pt idx="78">
                  <c:v>-98.672842500507684</c:v>
                </c:pt>
                <c:pt idx="79">
                  <c:v>-99.719404252840917</c:v>
                </c:pt>
                <c:pt idx="80">
                  <c:v>-100.85806910646266</c:v>
                </c:pt>
                <c:pt idx="81">
                  <c:v>-102.10117834994716</c:v>
                </c:pt>
                <c:pt idx="82">
                  <c:v>-103.46273387494989</c:v>
                </c:pt>
                <c:pt idx="83">
                  <c:v>-104.95873500584256</c:v>
                </c:pt>
                <c:pt idx="84">
                  <c:v>-106.60758362358636</c:v>
                </c:pt>
                <c:pt idx="85">
                  <c:v>-108.43056482483945</c:v>
                </c:pt>
                <c:pt idx="86">
                  <c:v>-110.45240331360419</c:v>
                </c:pt>
                <c:pt idx="87">
                  <c:v>-112.70187997768551</c:v>
                </c:pt>
                <c:pt idx="88">
                  <c:v>-115.21246166138599</c:v>
                </c:pt>
                <c:pt idx="89">
                  <c:v>-118.0228386852569</c:v>
                </c:pt>
                <c:pt idx="90">
                  <c:v>-121.17716235532522</c:v>
                </c:pt>
                <c:pt idx="91">
                  <c:v>-124.72460742229886</c:v>
                </c:pt>
                <c:pt idx="92">
                  <c:v>-128.71763608333822</c:v>
                </c:pt>
                <c:pt idx="93">
                  <c:v>-133.20802922317455</c:v>
                </c:pt>
                <c:pt idx="94">
                  <c:v>-138.23949869593284</c:v>
                </c:pt>
                <c:pt idx="95">
                  <c:v>-143.8358370013932</c:v>
                </c:pt>
                <c:pt idx="96">
                  <c:v>-149.98471639405184</c:v>
                </c:pt>
                <c:pt idx="97">
                  <c:v>-156.62005072295281</c:v>
                </c:pt>
                <c:pt idx="98">
                  <c:v>-163.60989072759668</c:v>
                </c:pt>
                <c:pt idx="99">
                  <c:v>-170.75929199255316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69520"/>
        <c:axId val="304968960"/>
      </c:scatterChart>
      <c:valAx>
        <c:axId val="304967840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968400"/>
        <c:crossesAt val="-100"/>
        <c:crossBetween val="midCat"/>
      </c:valAx>
      <c:valAx>
        <c:axId val="304968400"/>
        <c:scaling>
          <c:orientation val="minMax"/>
          <c:max val="60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967840"/>
        <c:crosses val="autoZero"/>
        <c:crossBetween val="midCat"/>
        <c:majorUnit val="12"/>
      </c:valAx>
      <c:valAx>
        <c:axId val="304968960"/>
        <c:scaling>
          <c:orientation val="minMax"/>
          <c:max val="200"/>
          <c:min val="-2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969520"/>
        <c:crosses val="max"/>
        <c:crossBetween val="midCat"/>
        <c:majorUnit val="40"/>
        <c:minorUnit val="5"/>
      </c:valAx>
      <c:valAx>
        <c:axId val="30496952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968960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8.4925612939554251E-2"/>
          <c:y val="0.80082576076182077"/>
          <c:w val="0.19557614289263478"/>
          <c:h val="7.810106071490359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24329731892758E-2"/>
          <c:y val="2.4990003603313996E-2"/>
          <c:w val="0.87835134053621444"/>
          <c:h val="0.9330719009358735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'Diode Curve'!$E$43:$O$43</c:f>
              <c:numCache>
                <c:formatCode>General</c:formatCode>
                <c:ptCount val="11"/>
                <c:pt idx="0">
                  <c:v>0.34</c:v>
                </c:pt>
                <c:pt idx="1">
                  <c:v>0.35</c:v>
                </c:pt>
                <c:pt idx="2">
                  <c:v>0.36499999999999999</c:v>
                </c:pt>
                <c:pt idx="3">
                  <c:v>0.38</c:v>
                </c:pt>
                <c:pt idx="4">
                  <c:v>0.41</c:v>
                </c:pt>
                <c:pt idx="5">
                  <c:v>0.45</c:v>
                </c:pt>
                <c:pt idx="6">
                  <c:v>0.51</c:v>
                </c:pt>
                <c:pt idx="7">
                  <c:v>0.6</c:v>
                </c:pt>
                <c:pt idx="8">
                  <c:v>0.8</c:v>
                </c:pt>
                <c:pt idx="9">
                  <c:v>0.98</c:v>
                </c:pt>
                <c:pt idx="10">
                  <c:v>1.2</c:v>
                </c:pt>
              </c:numCache>
            </c:numRef>
          </c:xVal>
          <c:yVal>
            <c:numRef>
              <c:f>'Diode Curve'!$E$42:$O$42</c:f>
              <c:numCache>
                <c:formatCode>General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'Diode Curve'!$E$51:$O$51</c:f>
              <c:numCache>
                <c:formatCode>General</c:formatCode>
                <c:ptCount val="11"/>
                <c:pt idx="0">
                  <c:v>0.19000000000000003</c:v>
                </c:pt>
                <c:pt idx="1">
                  <c:v>0.19999999999999998</c:v>
                </c:pt>
                <c:pt idx="2">
                  <c:v>0.215</c:v>
                </c:pt>
                <c:pt idx="3">
                  <c:v>0.23</c:v>
                </c:pt>
                <c:pt idx="4">
                  <c:v>0.26</c:v>
                </c:pt>
                <c:pt idx="5">
                  <c:v>0.30000000000000004</c:v>
                </c:pt>
                <c:pt idx="6">
                  <c:v>0.36</c:v>
                </c:pt>
                <c:pt idx="7">
                  <c:v>0.44999999999999996</c:v>
                </c:pt>
                <c:pt idx="8">
                  <c:v>0.65</c:v>
                </c:pt>
                <c:pt idx="9">
                  <c:v>0.82999999999999985</c:v>
                </c:pt>
                <c:pt idx="10">
                  <c:v>1.0395238095238095</c:v>
                </c:pt>
              </c:numCache>
            </c:numRef>
          </c:xVal>
          <c:yVal>
            <c:numRef>
              <c:f>'Diode Curve'!$E$42:$O$42</c:f>
              <c:numCache>
                <c:formatCode>General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'Diode Curve'!$E$49:$O$49</c:f>
              <c:numCache>
                <c:formatCode>General</c:formatCode>
                <c:ptCount val="11"/>
                <c:pt idx="0">
                  <c:v>0.34</c:v>
                </c:pt>
                <c:pt idx="1">
                  <c:v>0.35</c:v>
                </c:pt>
                <c:pt idx="2">
                  <c:v>0.36499999999999999</c:v>
                </c:pt>
                <c:pt idx="3">
                  <c:v>0.38</c:v>
                </c:pt>
                <c:pt idx="4">
                  <c:v>0.41</c:v>
                </c:pt>
                <c:pt idx="5">
                  <c:v>0.45</c:v>
                </c:pt>
                <c:pt idx="6">
                  <c:v>0.51</c:v>
                </c:pt>
                <c:pt idx="7">
                  <c:v>0.6</c:v>
                </c:pt>
                <c:pt idx="8">
                  <c:v>0.8</c:v>
                </c:pt>
                <c:pt idx="9">
                  <c:v>0.97999999999999987</c:v>
                </c:pt>
                <c:pt idx="10" formatCode="0.00">
                  <c:v>1.1895238095238094</c:v>
                </c:pt>
              </c:numCache>
            </c:numRef>
          </c:xVal>
          <c:yVal>
            <c:numRef>
              <c:f>'Diode Curve'!$E$42:$O$42</c:f>
              <c:numCache>
                <c:formatCode>General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73440"/>
        <c:axId val="304974000"/>
      </c:scatterChart>
      <c:valAx>
        <c:axId val="304973440"/>
        <c:scaling>
          <c:orientation val="minMax"/>
          <c:max val="1.2"/>
          <c:min val="0.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4974000"/>
        <c:crossesAt val="1.0000000000000002E-2"/>
        <c:crossBetween val="midCat"/>
      </c:valAx>
      <c:valAx>
        <c:axId val="304974000"/>
        <c:scaling>
          <c:logBase val="10"/>
          <c:orientation val="minMax"/>
          <c:max val="100"/>
          <c:min val="1.0000000000000002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973440"/>
        <c:crossesAt val="1.0000000000000003E-4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Estimated A4411 Junction Temperature</a:t>
            </a:r>
          </a:p>
        </c:rich>
      </c:tx>
      <c:layout>
        <c:manualLayout>
          <c:xMode val="edge"/>
          <c:yMode val="edge"/>
          <c:x val="0.23432051639245743"/>
          <c:y val="1.5837270341207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15869552450398"/>
          <c:y val="9.4491967424380527E-2"/>
          <c:w val="0.85157313167179405"/>
          <c:h val="0.71202180704275764"/>
        </c:manualLayout>
      </c:layout>
      <c:scatterChart>
        <c:scatterStyle val="smoothMarker"/>
        <c:varyColors val="0"/>
        <c:ser>
          <c:idx val="0"/>
          <c:order val="0"/>
          <c:tx>
            <c:v>Buck-Boost</c:v>
          </c:tx>
          <c:marker>
            <c:symbol val="none"/>
          </c:marker>
          <c:xVal>
            <c:numRef>
              <c:f>'Pdiss &amp; Compensation'!$J$2:$BG$2</c:f>
              <c:numCache>
                <c:formatCode>0.000\ "V"</c:formatCode>
                <c:ptCount val="50"/>
                <c:pt idx="0">
                  <c:v>3.5</c:v>
                </c:pt>
                <c:pt idx="1">
                  <c:v>3.795918367346939</c:v>
                </c:pt>
                <c:pt idx="2">
                  <c:v>4.091836734693878</c:v>
                </c:pt>
                <c:pt idx="3">
                  <c:v>4.387755102040817</c:v>
                </c:pt>
                <c:pt idx="4">
                  <c:v>4.683673469387756</c:v>
                </c:pt>
                <c:pt idx="5">
                  <c:v>4.979591836734695</c:v>
                </c:pt>
                <c:pt idx="6">
                  <c:v>5.275510204081634</c:v>
                </c:pt>
                <c:pt idx="7">
                  <c:v>5.571428571428573</c:v>
                </c:pt>
                <c:pt idx="8">
                  <c:v>5.8673469387755119</c:v>
                </c:pt>
                <c:pt idx="9">
                  <c:v>6.1632653061224509</c:v>
                </c:pt>
                <c:pt idx="10">
                  <c:v>6.4591836734693899</c:v>
                </c:pt>
                <c:pt idx="11">
                  <c:v>6.7551020408163289</c:v>
                </c:pt>
                <c:pt idx="12">
                  <c:v>7.0510204081632679</c:v>
                </c:pt>
                <c:pt idx="13">
                  <c:v>7.3469387755102069</c:v>
                </c:pt>
                <c:pt idx="14">
                  <c:v>7.6428571428571459</c:v>
                </c:pt>
                <c:pt idx="15">
                  <c:v>7.9387755102040849</c:v>
                </c:pt>
                <c:pt idx="16">
                  <c:v>8.2346938775510239</c:v>
                </c:pt>
                <c:pt idx="17">
                  <c:v>8.5306122448979629</c:v>
                </c:pt>
                <c:pt idx="18">
                  <c:v>8.8265306122449019</c:v>
                </c:pt>
                <c:pt idx="19">
                  <c:v>9.1224489795918409</c:v>
                </c:pt>
                <c:pt idx="20">
                  <c:v>9.4183673469387799</c:v>
                </c:pt>
                <c:pt idx="21">
                  <c:v>9.7142857142857189</c:v>
                </c:pt>
                <c:pt idx="22">
                  <c:v>10.010204081632658</c:v>
                </c:pt>
                <c:pt idx="23">
                  <c:v>10.306122448979597</c:v>
                </c:pt>
                <c:pt idx="24">
                  <c:v>10.602040816326536</c:v>
                </c:pt>
                <c:pt idx="25">
                  <c:v>10.897959183673475</c:v>
                </c:pt>
                <c:pt idx="26">
                  <c:v>11.193877551020414</c:v>
                </c:pt>
                <c:pt idx="27">
                  <c:v>11.489795918367353</c:v>
                </c:pt>
                <c:pt idx="28">
                  <c:v>11.785714285714292</c:v>
                </c:pt>
                <c:pt idx="29">
                  <c:v>12.081632653061231</c:v>
                </c:pt>
                <c:pt idx="30">
                  <c:v>12.37755102040817</c:v>
                </c:pt>
                <c:pt idx="31">
                  <c:v>12.673469387755109</c:v>
                </c:pt>
                <c:pt idx="32">
                  <c:v>12.969387755102048</c:v>
                </c:pt>
                <c:pt idx="33">
                  <c:v>13.265306122448987</c:v>
                </c:pt>
                <c:pt idx="34">
                  <c:v>13.561224489795926</c:v>
                </c:pt>
                <c:pt idx="35">
                  <c:v>13.857142857142865</c:v>
                </c:pt>
                <c:pt idx="36">
                  <c:v>14.153061224489804</c:v>
                </c:pt>
                <c:pt idx="37">
                  <c:v>14.448979591836743</c:v>
                </c:pt>
                <c:pt idx="38">
                  <c:v>14.744897959183682</c:v>
                </c:pt>
                <c:pt idx="39">
                  <c:v>15.040816326530621</c:v>
                </c:pt>
                <c:pt idx="40">
                  <c:v>15.33673469387756</c:v>
                </c:pt>
                <c:pt idx="41">
                  <c:v>15.632653061224499</c:v>
                </c:pt>
                <c:pt idx="42">
                  <c:v>15.928571428571438</c:v>
                </c:pt>
                <c:pt idx="43">
                  <c:v>16.224489795918377</c:v>
                </c:pt>
                <c:pt idx="44">
                  <c:v>16.520408163265316</c:v>
                </c:pt>
                <c:pt idx="45">
                  <c:v>16.816326530612255</c:v>
                </c:pt>
                <c:pt idx="46">
                  <c:v>17.112244897959194</c:v>
                </c:pt>
                <c:pt idx="47">
                  <c:v>17.408163265306133</c:v>
                </c:pt>
                <c:pt idx="48">
                  <c:v>17.704081632653072</c:v>
                </c:pt>
                <c:pt idx="49">
                  <c:v>18.000000000000011</c:v>
                </c:pt>
              </c:numCache>
            </c:numRef>
          </c:xVal>
          <c:yVal>
            <c:numRef>
              <c:f>'Pdiss &amp; Compensation'!$J$4:$BG$4</c:f>
              <c:numCache>
                <c:formatCode>0.00\ "°C"</c:formatCode>
                <c:ptCount val="50"/>
                <c:pt idx="0">
                  <c:v>153.97578429325696</c:v>
                </c:pt>
                <c:pt idx="1">
                  <c:v>150.63051642493977</c:v>
                </c:pt>
                <c:pt idx="2">
                  <c:v>148.19406853228023</c:v>
                </c:pt>
                <c:pt idx="3">
                  <c:v>146.37651794914075</c:v>
                </c:pt>
                <c:pt idx="4">
                  <c:v>144.99779734324812</c:v>
                </c:pt>
                <c:pt idx="5">
                  <c:v>143.94072320931519</c:v>
                </c:pt>
                <c:pt idx="6">
                  <c:v>143.12605927837475</c:v>
                </c:pt>
                <c:pt idx="7">
                  <c:v>142.49851415775763</c:v>
                </c:pt>
                <c:pt idx="8">
                  <c:v>142.01847515484565</c:v>
                </c:pt>
                <c:pt idx="9">
                  <c:v>141.6569214036422</c:v>
                </c:pt>
                <c:pt idx="10">
                  <c:v>141.39216033246407</c:v>
                </c:pt>
                <c:pt idx="11">
                  <c:v>141.20710983770624</c:v>
                </c:pt>
                <c:pt idx="12">
                  <c:v>140.8362428430317</c:v>
                </c:pt>
                <c:pt idx="13">
                  <c:v>140.63724753902579</c:v>
                </c:pt>
                <c:pt idx="14">
                  <c:v>140.72523365763598</c:v>
                </c:pt>
                <c:pt idx="15">
                  <c:v>140.8291144648714</c:v>
                </c:pt>
                <c:pt idx="16">
                  <c:v>140.94804479448118</c:v>
                </c:pt>
                <c:pt idx="17">
                  <c:v>141.08129283192608</c:v>
                </c:pt>
                <c:pt idx="18">
                  <c:v>141.2282218325646</c:v>
                </c:pt>
                <c:pt idx="19">
                  <c:v>141.38827524750749</c:v>
                </c:pt>
                <c:pt idx="20">
                  <c:v>141.56096454278384</c:v>
                </c:pt>
                <c:pt idx="21">
                  <c:v>141.74585916257556</c:v>
                </c:pt>
                <c:pt idx="22">
                  <c:v>141.94257821094368</c:v>
                </c:pt>
                <c:pt idx="23">
                  <c:v>142.15078351985204</c:v>
                </c:pt>
                <c:pt idx="24">
                  <c:v>142.3701738423664</c:v>
                </c:pt>
                <c:pt idx="25">
                  <c:v>142.60047996439926</c:v>
                </c:pt>
                <c:pt idx="26">
                  <c:v>142.84146057045632</c:v>
                </c:pt>
                <c:pt idx="27">
                  <c:v>143.09289873155893</c:v>
                </c:pt>
                <c:pt idx="28">
                  <c:v>143.35459890912495</c:v>
                </c:pt>
                <c:pt idx="29">
                  <c:v>143.62638438875257</c:v>
                </c:pt>
                <c:pt idx="30">
                  <c:v>143.90809507382448</c:v>
                </c:pt>
                <c:pt idx="31">
                  <c:v>144.19958558157074</c:v>
                </c:pt>
                <c:pt idx="32">
                  <c:v>144.50072359442063</c:v>
                </c:pt>
                <c:pt idx="33">
                  <c:v>144.81138842767433</c:v>
                </c:pt>
                <c:pt idx="34">
                  <c:v>145.13146978116416</c:v>
                </c:pt>
                <c:pt idx="35">
                  <c:v>145.46086664796795</c:v>
                </c:pt>
                <c:pt idx="36">
                  <c:v>145.79948635764325</c:v>
                </c:pt>
                <c:pt idx="37">
                  <c:v>146.14724373506286</c:v>
                </c:pt>
                <c:pt idx="38">
                  <c:v>146.50406035890816</c:v>
                </c:pt>
                <c:pt idx="39">
                  <c:v>146.86986390633584</c:v>
                </c:pt>
                <c:pt idx="40">
                  <c:v>147.24458757237591</c:v>
                </c:pt>
                <c:pt idx="41">
                  <c:v>147.62816955432027</c:v>
                </c:pt>
                <c:pt idx="42">
                  <c:v>148.02055259278262</c:v>
                </c:pt>
                <c:pt idx="43">
                  <c:v>148.42168356230428</c:v>
                </c:pt>
                <c:pt idx="44">
                  <c:v>148.83151310538463</c:v>
                </c:pt>
                <c:pt idx="45">
                  <c:v>149.24999530466329</c:v>
                </c:pt>
                <c:pt idx="46">
                  <c:v>149.67708738869874</c:v>
                </c:pt>
                <c:pt idx="47">
                  <c:v>150.11274946739906</c:v>
                </c:pt>
                <c:pt idx="48">
                  <c:v>150.5569442936804</c:v>
                </c:pt>
                <c:pt idx="49">
                  <c:v>151.00963704837201</c:v>
                </c:pt>
              </c:numCache>
            </c:numRef>
          </c:yVal>
          <c:smooth val="0"/>
        </c:ser>
        <c:ser>
          <c:idx val="2"/>
          <c:order val="1"/>
          <c:tx>
            <c:v>Buck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'Pdiss &amp; Compensation'!$J$87:$BG$87</c:f>
              <c:numCache>
                <c:formatCode>0.000\ "V"</c:formatCode>
                <c:ptCount val="50"/>
                <c:pt idx="0">
                  <c:v>6</c:v>
                </c:pt>
                <c:pt idx="1">
                  <c:v>6.2448979591836737</c:v>
                </c:pt>
                <c:pt idx="2">
                  <c:v>6.4897959183673475</c:v>
                </c:pt>
                <c:pt idx="3">
                  <c:v>6.7346938775510212</c:v>
                </c:pt>
                <c:pt idx="4">
                  <c:v>6.979591836734695</c:v>
                </c:pt>
                <c:pt idx="5">
                  <c:v>7.2244897959183687</c:v>
                </c:pt>
                <c:pt idx="6">
                  <c:v>7.4693877551020424</c:v>
                </c:pt>
                <c:pt idx="7">
                  <c:v>7.7142857142857162</c:v>
                </c:pt>
                <c:pt idx="8">
                  <c:v>7.9591836734693899</c:v>
                </c:pt>
                <c:pt idx="9">
                  <c:v>8.2040816326530628</c:v>
                </c:pt>
                <c:pt idx="10">
                  <c:v>8.4489795918367356</c:v>
                </c:pt>
                <c:pt idx="11">
                  <c:v>8.6938775510204085</c:v>
                </c:pt>
                <c:pt idx="12">
                  <c:v>8.9387755102040813</c:v>
                </c:pt>
                <c:pt idx="13">
                  <c:v>9.1836734693877542</c:v>
                </c:pt>
                <c:pt idx="14">
                  <c:v>9.428571428571427</c:v>
                </c:pt>
                <c:pt idx="15">
                  <c:v>9.6734693877550999</c:v>
                </c:pt>
                <c:pt idx="16">
                  <c:v>9.9183673469387728</c:v>
                </c:pt>
                <c:pt idx="17">
                  <c:v>10.163265306122446</c:v>
                </c:pt>
                <c:pt idx="18">
                  <c:v>10.408163265306118</c:v>
                </c:pt>
                <c:pt idx="19">
                  <c:v>10.653061224489791</c:v>
                </c:pt>
                <c:pt idx="20">
                  <c:v>10.897959183673464</c:v>
                </c:pt>
                <c:pt idx="21">
                  <c:v>11.142857142857137</c:v>
                </c:pt>
                <c:pt idx="22">
                  <c:v>11.38775510204081</c:v>
                </c:pt>
                <c:pt idx="23">
                  <c:v>11.632653061224483</c:v>
                </c:pt>
                <c:pt idx="24">
                  <c:v>11.877551020408156</c:v>
                </c:pt>
                <c:pt idx="25">
                  <c:v>12.122448979591828</c:v>
                </c:pt>
                <c:pt idx="26">
                  <c:v>12.367346938775501</c:v>
                </c:pt>
                <c:pt idx="27">
                  <c:v>12.612244897959174</c:v>
                </c:pt>
                <c:pt idx="28">
                  <c:v>12.857142857142847</c:v>
                </c:pt>
                <c:pt idx="29">
                  <c:v>13.10204081632652</c:v>
                </c:pt>
                <c:pt idx="30">
                  <c:v>13.346938775510193</c:v>
                </c:pt>
                <c:pt idx="31">
                  <c:v>13.591836734693866</c:v>
                </c:pt>
                <c:pt idx="32">
                  <c:v>13.836734693877538</c:v>
                </c:pt>
                <c:pt idx="33">
                  <c:v>14.081632653061211</c:v>
                </c:pt>
                <c:pt idx="34">
                  <c:v>14.326530612244884</c:v>
                </c:pt>
                <c:pt idx="35">
                  <c:v>14.571428571428557</c:v>
                </c:pt>
                <c:pt idx="36">
                  <c:v>14.81632653061223</c:v>
                </c:pt>
                <c:pt idx="37">
                  <c:v>15.061224489795903</c:v>
                </c:pt>
                <c:pt idx="38">
                  <c:v>15.306122448979576</c:v>
                </c:pt>
                <c:pt idx="39">
                  <c:v>15.551020408163248</c:v>
                </c:pt>
                <c:pt idx="40">
                  <c:v>15.795918367346921</c:v>
                </c:pt>
                <c:pt idx="41">
                  <c:v>16.040816326530596</c:v>
                </c:pt>
                <c:pt idx="42">
                  <c:v>16.28571428571427</c:v>
                </c:pt>
                <c:pt idx="43">
                  <c:v>16.530612244897945</c:v>
                </c:pt>
                <c:pt idx="44">
                  <c:v>16.77551020408162</c:v>
                </c:pt>
                <c:pt idx="45">
                  <c:v>17.020408163265294</c:v>
                </c:pt>
                <c:pt idx="46">
                  <c:v>17.265306122448969</c:v>
                </c:pt>
                <c:pt idx="47">
                  <c:v>17.510204081632644</c:v>
                </c:pt>
                <c:pt idx="48">
                  <c:v>17.755102040816318</c:v>
                </c:pt>
                <c:pt idx="49">
                  <c:v>17.999999999999993</c:v>
                </c:pt>
              </c:numCache>
            </c:numRef>
          </c:xVal>
          <c:yVal>
            <c:numRef>
              <c:f>'Pdiss &amp; Compensation'!$J$89:$BG$89</c:f>
              <c:numCache>
                <c:formatCode>0.00\ "°C"</c:formatCode>
                <c:ptCount val="50"/>
                <c:pt idx="0">
                  <c:v>135.96702692269824</c:v>
                </c:pt>
                <c:pt idx="1">
                  <c:v>135.96604764630163</c:v>
                </c:pt>
                <c:pt idx="2">
                  <c:v>135.98051995114957</c:v>
                </c:pt>
                <c:pt idx="3">
                  <c:v>136.00931310999223</c:v>
                </c:pt>
                <c:pt idx="4">
                  <c:v>136.0514615901036</c:v>
                </c:pt>
                <c:pt idx="5">
                  <c:v>135.89391747780274</c:v>
                </c:pt>
                <c:pt idx="6">
                  <c:v>135.96725440423668</c:v>
                </c:pt>
                <c:pt idx="7">
                  <c:v>136.05133805019651</c:v>
                </c:pt>
                <c:pt idx="8">
                  <c:v>136.14566468355153</c:v>
                </c:pt>
                <c:pt idx="9">
                  <c:v>136.24979194087942</c:v>
                </c:pt>
                <c:pt idx="10">
                  <c:v>136.36332964096715</c:v>
                </c:pt>
                <c:pt idx="11">
                  <c:v>136.48593221644981</c:v>
                </c:pt>
                <c:pt idx="12">
                  <c:v>136.61729243821631</c:v>
                </c:pt>
                <c:pt idx="13">
                  <c:v>136.75713618024795</c:v>
                </c:pt>
                <c:pt idx="14">
                  <c:v>136.9052180275994</c:v>
                </c:pt>
                <c:pt idx="15">
                  <c:v>137.06131757208223</c:v>
                </c:pt>
                <c:pt idx="16">
                  <c:v>137.22523627229751</c:v>
                </c:pt>
                <c:pt idx="17">
                  <c:v>137.39679477945799</c:v>
                </c:pt>
                <c:pt idx="18">
                  <c:v>137.57583064974474</c:v>
                </c:pt>
                <c:pt idx="19">
                  <c:v>137.76219637907582</c:v>
                </c:pt>
                <c:pt idx="20">
                  <c:v>137.95575770811098</c:v>
                </c:pt>
                <c:pt idx="21">
                  <c:v>138.15639215480309</c:v>
                </c:pt>
                <c:pt idx="22">
                  <c:v>138.36398773938848</c:v>
                </c:pt>
                <c:pt idx="23">
                  <c:v>138.57844187280153</c:v>
                </c:pt>
                <c:pt idx="24">
                  <c:v>138.79966038442083</c:v>
                </c:pt>
                <c:pt idx="25">
                  <c:v>139.02755666905361</c:v>
                </c:pt>
                <c:pt idx="26">
                  <c:v>139.26205093632834</c:v>
                </c:pt>
                <c:pt idx="27">
                  <c:v>139.50306954834122</c:v>
                </c:pt>
                <c:pt idx="28">
                  <c:v>139.75054443360827</c:v>
                </c:pt>
                <c:pt idx="29">
                  <c:v>140.00441256719708</c:v>
                </c:pt>
                <c:pt idx="30">
                  <c:v>140.26461550842865</c:v>
                </c:pt>
                <c:pt idx="31">
                  <c:v>140.53109898880274</c:v>
                </c:pt>
                <c:pt idx="32">
                  <c:v>140.80381254385787</c:v>
                </c:pt>
                <c:pt idx="33">
                  <c:v>141.08270918356621</c:v>
                </c:pt>
                <c:pt idx="34">
                  <c:v>141.36774509661237</c:v>
                </c:pt>
                <c:pt idx="35">
                  <c:v>141.65887938453932</c:v>
                </c:pt>
                <c:pt idx="36">
                  <c:v>141.95607382228195</c:v>
                </c:pt>
                <c:pt idx="37">
                  <c:v>142.25929264206707</c:v>
                </c:pt>
                <c:pt idx="38">
                  <c:v>142.56850233804934</c:v>
                </c:pt>
                <c:pt idx="39">
                  <c:v>142.88367148938676</c:v>
                </c:pt>
                <c:pt idx="40">
                  <c:v>143.2047705997478</c:v>
                </c:pt>
                <c:pt idx="41">
                  <c:v>143.53177195148817</c:v>
                </c:pt>
                <c:pt idx="42">
                  <c:v>143.86464947294945</c:v>
                </c:pt>
                <c:pt idx="43">
                  <c:v>144.20337861751699</c:v>
                </c:pt>
                <c:pt idx="44">
                  <c:v>144.54793625323285</c:v>
                </c:pt>
                <c:pt idx="45">
                  <c:v>144.89830056190115</c:v>
                </c:pt>
                <c:pt idx="46">
                  <c:v>145.25445094674214</c:v>
                </c:pt>
                <c:pt idx="47">
                  <c:v>145.61636794775916</c:v>
                </c:pt>
                <c:pt idx="48">
                  <c:v>145.98403316407379</c:v>
                </c:pt>
                <c:pt idx="49">
                  <c:v>146.3574291825667</c:v>
                </c:pt>
              </c:numCache>
            </c:numRef>
          </c:yVal>
          <c:smooth val="0"/>
        </c:ser>
        <c:ser>
          <c:idx val="1"/>
          <c:order val="2"/>
          <c:tx>
            <c:v>Ta</c:v>
          </c:tx>
          <c:marker>
            <c:symbol val="none"/>
          </c:marker>
          <c:xVal>
            <c:numRef>
              <c:f>'Pdiss &amp; Compensation'!$M$163:$N$163</c:f>
              <c:numCache>
                <c:formatCode>General</c:formatCode>
                <c:ptCount val="2"/>
                <c:pt idx="0">
                  <c:v>3.5</c:v>
                </c:pt>
                <c:pt idx="1">
                  <c:v>18</c:v>
                </c:pt>
              </c:numCache>
            </c:numRef>
          </c:xVal>
          <c:yVal>
            <c:numRef>
              <c:f>'Pdiss &amp; Compensation'!$M$164:$N$164</c:f>
              <c:numCache>
                <c:formatCode>0.00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1"/>
        </c:ser>
        <c:ser>
          <c:idx val="3"/>
          <c:order val="3"/>
          <c:tx>
            <c:v>Tj Abs Max</c:v>
          </c:tx>
          <c:marker>
            <c:symbol val="none"/>
          </c:marker>
          <c:xVal>
            <c:numRef>
              <c:f>'Pdiss &amp; Compensation'!$M$163:$N$163</c:f>
              <c:numCache>
                <c:formatCode>General</c:formatCode>
                <c:ptCount val="2"/>
                <c:pt idx="0">
                  <c:v>3.5</c:v>
                </c:pt>
                <c:pt idx="1">
                  <c:v>18</c:v>
                </c:pt>
              </c:numCache>
            </c:numRef>
          </c:xVal>
          <c:yVal>
            <c:numRef>
              <c:f>'Pdiss &amp; Compensation'!$M$165:$N$165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53904"/>
        <c:axId val="301854464"/>
      </c:scatterChart>
      <c:valAx>
        <c:axId val="301853904"/>
        <c:scaling>
          <c:orientation val="minMax"/>
          <c:max val="18"/>
          <c:min val="3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Input Voltage at IC VIN Pin (V)</a:t>
                </a:r>
              </a:p>
            </c:rich>
          </c:tx>
          <c:layout/>
          <c:overlay val="0"/>
        </c:title>
        <c:numFmt formatCode="0\ &quot;V&quot;" sourceLinked="0"/>
        <c:majorTickMark val="out"/>
        <c:minorTickMark val="none"/>
        <c:tickLblPos val="nextTo"/>
        <c:crossAx val="301854464"/>
        <c:crosses val="autoZero"/>
        <c:crossBetween val="midCat"/>
        <c:majorUnit val="1"/>
        <c:minorUnit val="0.5"/>
      </c:valAx>
      <c:valAx>
        <c:axId val="301854464"/>
        <c:scaling>
          <c:orientation val="minMax"/>
          <c:max val="17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Temperature (</a:t>
                </a:r>
                <a:r>
                  <a:rPr lang="en-US" sz="1400">
                    <a:latin typeface="Calibri"/>
                  </a:rPr>
                  <a:t>°C)</a:t>
                </a:r>
                <a:endParaRPr lang="en-US" sz="14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0185390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8.806899137607925E-2"/>
          <c:y val="0.92992860625246265"/>
          <c:w val="0.8096385542168677"/>
          <c:h val="7.0071393747537292E-2"/>
        </c:manualLayout>
      </c:layout>
      <c:overlay val="1"/>
      <c:spPr>
        <a:noFill/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VREG, Complete Loop Bode Plot</a:t>
            </a:r>
            <a:endParaRPr lang="en-US"/>
          </a:p>
        </c:rich>
      </c:tx>
      <c:layout>
        <c:manualLayout>
          <c:xMode val="edge"/>
          <c:yMode val="edge"/>
          <c:x val="0.23814913760779899"/>
          <c:y val="5.78703703703703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98631421072363E-2"/>
          <c:y val="8.1475752664289205E-2"/>
          <c:w val="0.80009014498187725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Loop1'!$G$33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Loop1'!$G$34:$G$133</c:f>
              <c:numCache>
                <c:formatCode>0.000</c:formatCode>
                <c:ptCount val="100"/>
                <c:pt idx="0">
                  <c:v>65.091380588761865</c:v>
                </c:pt>
                <c:pt idx="1">
                  <c:v>64.558889136044996</c:v>
                </c:pt>
                <c:pt idx="2">
                  <c:v>63.990493398310335</c:v>
                </c:pt>
                <c:pt idx="3">
                  <c:v>63.38793688475505</c:v>
                </c:pt>
                <c:pt idx="4">
                  <c:v>62.753142710823298</c:v>
                </c:pt>
                <c:pt idx="5">
                  <c:v>62.088080269537812</c:v>
                </c:pt>
                <c:pt idx="6">
                  <c:v>61.394641651617356</c:v>
                </c:pt>
                <c:pt idx="7">
                  <c:v>60.674534627070706</c:v>
                </c:pt>
                <c:pt idx="8">
                  <c:v>59.929195792336401</c:v>
                </c:pt>
                <c:pt idx="9">
                  <c:v>59.159724915310122</c:v>
                </c:pt>
                <c:pt idx="10">
                  <c:v>58.366839889944366</c:v>
                </c:pt>
                <c:pt idx="11">
                  <c:v>57.550851066758518</c:v>
                </c:pt>
                <c:pt idx="12">
                  <c:v>56.711653881284263</c:v>
                </c:pt>
                <c:pt idx="13">
                  <c:v>55.848739376906508</c:v>
                </c:pt>
                <c:pt idx="14">
                  <c:v>54.961223083867011</c:v>
                </c:pt>
                <c:pt idx="15">
                  <c:v>54.047893432428083</c:v>
                </c:pt>
                <c:pt idx="16">
                  <c:v>53.107281114414533</c:v>
                </c:pt>
                <c:pt idx="17">
                  <c:v>52.137750272553546</c:v>
                </c:pt>
                <c:pt idx="18">
                  <c:v>51.137610898702491</c:v>
                </c:pt>
                <c:pt idx="19">
                  <c:v>50.105249353976092</c:v>
                </c:pt>
                <c:pt idx="20">
                  <c:v>49.03927075956878</c:v>
                </c:pt>
                <c:pt idx="21">
                  <c:v>47.938643746824567</c:v>
                </c:pt>
                <c:pt idx="22">
                  <c:v>46.802835561104544</c:v>
                </c:pt>
                <c:pt idx="23">
                  <c:v>45.631924696730778</c:v>
                </c:pt>
                <c:pt idx="24">
                  <c:v>44.426679729523372</c:v>
                </c:pt>
                <c:pt idx="25">
                  <c:v>43.18859683999132</c:v>
                </c:pt>
                <c:pt idx="26">
                  <c:v>41.919893979798545</c:v>
                </c:pt>
                <c:pt idx="27">
                  <c:v>40.623465448000104</c:v>
                </c:pt>
                <c:pt idx="28">
                  <c:v>39.302805381015943</c:v>
                </c:pt>
                <c:pt idx="29">
                  <c:v>37.961911235795093</c:v>
                </c:pt>
                <c:pt idx="30">
                  <c:v>36.605178358773529</c:v>
                </c:pt>
                <c:pt idx="31">
                  <c:v>35.237294517302075</c:v>
                </c:pt>
                <c:pt idx="32">
                  <c:v>33.863139677490999</c:v>
                </c:pt>
                <c:pt idx="33">
                  <c:v>32.487692384554379</c:v>
                </c:pt>
                <c:pt idx="34">
                  <c:v>31.115940782016605</c:v>
                </c:pt>
                <c:pt idx="35">
                  <c:v>29.752794275641605</c:v>
                </c:pt>
                <c:pt idx="36">
                  <c:v>28.40299147619384</c:v>
                </c:pt>
                <c:pt idx="37">
                  <c:v>27.071001404809238</c:v>
                </c:pt>
                <c:pt idx="38">
                  <c:v>25.760917775221408</c:v>
                </c:pt>
                <c:pt idx="39">
                  <c:v>24.476349925457129</c:v>
                </c:pt>
                <c:pt idx="40">
                  <c:v>23.220317811377257</c:v>
                </c:pt>
                <c:pt idx="41">
                  <c:v>21.995161366386959</c:v>
                </c:pt>
                <c:pt idx="42">
                  <c:v>20.802475504398537</c:v>
                </c:pt>
                <c:pt idx="43">
                  <c:v>19.643080511547602</c:v>
                </c:pt>
                <c:pt idx="44">
                  <c:v>18.517033620959261</c:v>
                </c:pt>
                <c:pt idx="45">
                  <c:v>17.423682022443998</c:v>
                </c:pt>
                <c:pt idx="46">
                  <c:v>16.361751771806105</c:v>
                </c:pt>
                <c:pt idx="47">
                  <c:v>15.329462440066106</c:v>
                </c:pt>
                <c:pt idx="48">
                  <c:v>14.324654868340943</c:v>
                </c:pt>
                <c:pt idx="49">
                  <c:v>13.344919352314331</c:v>
                </c:pt>
                <c:pt idx="50">
                  <c:v>12.387713569553226</c:v>
                </c:pt>
                <c:pt idx="51">
                  <c:v>11.450462759899082</c:v>
                </c:pt>
                <c:pt idx="52">
                  <c:v>10.53063817181199</c:v>
                </c:pt>
                <c:pt idx="53">
                  <c:v>9.6258128849550619</c:v>
                </c:pt>
                <c:pt idx="54">
                  <c:v>8.7336964130157018</c:v>
                </c:pt>
                <c:pt idx="55">
                  <c:v>7.8521508806923936</c:v>
                </c:pt>
                <c:pt idx="56">
                  <c:v>6.9791921623761306</c:v>
                </c:pt>
                <c:pt idx="57">
                  <c:v>6.1129793756736603</c:v>
                </c:pt>
                <c:pt idx="58">
                  <c:v>5.2517957655864418</c:v>
                </c:pt>
                <c:pt idx="59">
                  <c:v>4.3940234872444739</c:v>
                </c:pt>
                <c:pt idx="60">
                  <c:v>3.5381142378446482</c:v>
                </c:pt>
                <c:pt idx="61">
                  <c:v>2.6825571932816628</c:v>
                </c:pt>
                <c:pt idx="62">
                  <c:v>1.8258453243953303</c:v>
                </c:pt>
                <c:pt idx="63">
                  <c:v>0.96644092821981697</c:v>
                </c:pt>
                <c:pt idx="64">
                  <c:v>0.10274112223116028</c:v>
                </c:pt>
                <c:pt idx="65">
                  <c:v>-0.76695588298778805</c:v>
                </c:pt>
                <c:pt idx="66">
                  <c:v>-1.6444826986095897</c:v>
                </c:pt>
                <c:pt idx="67">
                  <c:v>-2.5318314682862555</c:v>
                </c:pt>
                <c:pt idx="68">
                  <c:v>-3.4311775144503223</c:v>
                </c:pt>
                <c:pt idx="69">
                  <c:v>-4.3448955347658771</c:v>
                </c:pt>
                <c:pt idx="70">
                  <c:v>-5.275565475535462</c:v>
                </c:pt>
                <c:pt idx="71">
                  <c:v>-6.2259649022534775</c:v>
                </c:pt>
                <c:pt idx="72">
                  <c:v>-7.1990447562131648</c:v>
                </c:pt>
                <c:pt idx="73">
                  <c:v>-8.1978860547340844</c:v>
                </c:pt>
                <c:pt idx="74">
                  <c:v>-9.2256365649498449</c:v>
                </c:pt>
                <c:pt idx="75">
                  <c:v>-10.285428853932988</c:v>
                </c:pt>
                <c:pt idx="76">
                  <c:v>-11.380284273391364</c:v>
                </c:pt>
                <c:pt idx="77">
                  <c:v>-12.513010953489985</c:v>
                </c:pt>
                <c:pt idx="78">
                  <c:v>-13.686107022060273</c:v>
                </c:pt>
                <c:pt idx="79">
                  <c:v>-14.901682111159438</c:v>
                </c:pt>
                <c:pt idx="80">
                  <c:v>-16.161409929644307</c:v>
                </c:pt>
                <c:pt idx="81">
                  <c:v>-17.466521866027193</c:v>
                </c:pt>
                <c:pt idx="82">
                  <c:v>-18.817846523129031</c:v>
                </c:pt>
                <c:pt idx="83">
                  <c:v>-20.215893748495851</c:v>
                </c:pt>
                <c:pt idx="84">
                  <c:v>-21.660975483353081</c:v>
                </c:pt>
                <c:pt idx="85">
                  <c:v>-23.153350898080419</c:v>
                </c:pt>
                <c:pt idx="86">
                  <c:v>-24.693380586792717</c:v>
                </c:pt>
                <c:pt idx="87">
                  <c:v>-26.281674124053716</c:v>
                </c:pt>
                <c:pt idx="88">
                  <c:v>-27.919216521279765</c:v>
                </c:pt>
                <c:pt idx="89">
                  <c:v>-29.607461277241811</c:v>
                </c:pt>
                <c:pt idx="90">
                  <c:v>-31.348380118602261</c:v>
                </c:pt>
                <c:pt idx="91">
                  <c:v>-33.144461852283492</c:v>
                </c:pt>
                <c:pt idx="92">
                  <c:v>-34.998655115312943</c:v>
                </c:pt>
                <c:pt idx="93">
                  <c:v>-36.914252662377727</c:v>
                </c:pt>
                <c:pt idx="94">
                  <c:v>-38.89471874129859</c:v>
                </c:pt>
                <c:pt idx="95">
                  <c:v>-40.943466439241817</c:v>
                </c:pt>
                <c:pt idx="96">
                  <c:v>-43.063598485902773</c:v>
                </c:pt>
                <c:pt idx="97">
                  <c:v>-45.257631978511398</c:v>
                </c:pt>
                <c:pt idx="98">
                  <c:v>-47.527233225121265</c:v>
                </c:pt>
                <c:pt idx="99">
                  <c:v>-49.872991413799561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57824"/>
        <c:axId val="301858384"/>
      </c:scatterChart>
      <c:scatterChart>
        <c:scatterStyle val="lineMarker"/>
        <c:varyColors val="0"/>
        <c:ser>
          <c:idx val="1"/>
          <c:order val="1"/>
          <c:tx>
            <c:strRef>
              <c:f>'Control Loop1'!$H$33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Loop1'!$H$34:$H$133</c:f>
              <c:numCache>
                <c:formatCode>0.000</c:formatCode>
                <c:ptCount val="100"/>
                <c:pt idx="0">
                  <c:v>122.2283470565763</c:v>
                </c:pt>
                <c:pt idx="1">
                  <c:v>119.12946300243954</c:v>
                </c:pt>
                <c:pt idx="2">
                  <c:v>116.05650526714618</c:v>
                </c:pt>
                <c:pt idx="3">
                  <c:v>113.0207011950463</c:v>
                </c:pt>
                <c:pt idx="4">
                  <c:v>110.02991504164453</c:v>
                </c:pt>
                <c:pt idx="5">
                  <c:v>107.08862275880306</c:v>
                </c:pt>
                <c:pt idx="6">
                  <c:v>104.19810355245431</c:v>
                </c:pt>
                <c:pt idx="7">
                  <c:v>101.35680429060986</c:v>
                </c:pt>
                <c:pt idx="8">
                  <c:v>98.56082948857258</c:v>
                </c:pt>
                <c:pt idx="9">
                  <c:v>95.804514335156298</c:v>
                </c:pt>
                <c:pt idx="10">
                  <c:v>93.081047399856388</c:v>
                </c:pt>
                <c:pt idx="11">
                  <c:v>90.383119760737003</c:v>
                </c:pt>
                <c:pt idx="12">
                  <c:v>87.703585570769746</c:v>
                </c:pt>
                <c:pt idx="13">
                  <c:v>85.036123752420991</c:v>
                </c:pt>
                <c:pt idx="14">
                  <c:v>82.375890702692288</c:v>
                </c:pt>
                <c:pt idx="15">
                  <c:v>79.720149550618956</c:v>
                </c:pt>
                <c:pt idx="16">
                  <c:v>77.068853397733633</c:v>
                </c:pt>
                <c:pt idx="17">
                  <c:v>74.425149748534594</c:v>
                </c:pt>
                <c:pt idx="18">
                  <c:v>71.795763624939426</c:v>
                </c:pt>
                <c:pt idx="19">
                  <c:v>69.191211090196333</c:v>
                </c:pt>
                <c:pt idx="20">
                  <c:v>66.625796753060683</c:v>
                </c:pt>
                <c:pt idx="21">
                  <c:v>64.117361101682206</c:v>
                </c:pt>
                <c:pt idx="22">
                  <c:v>61.686766811380657</c:v>
                </c:pt>
                <c:pt idx="23">
                  <c:v>59.357144703866901</c:v>
                </c:pt>
                <c:pt idx="24">
                  <c:v>57.152953564220773</c:v>
                </c:pt>
                <c:pt idx="25">
                  <c:v>55.098935253777853</c:v>
                </c:pt>
                <c:pt idx="26">
                  <c:v>53.219059861933502</c:v>
                </c:pt>
                <c:pt idx="27">
                  <c:v>51.535550972660495</c:v>
                </c:pt>
                <c:pt idx="28">
                  <c:v>50.068059726434264</c:v>
                </c:pt>
                <c:pt idx="29">
                  <c:v>48.833024349422111</c:v>
                </c:pt>
                <c:pt idx="30">
                  <c:v>47.843217872627186</c:v>
                </c:pt>
                <c:pt idx="31">
                  <c:v>47.107459102954337</c:v>
                </c:pt>
                <c:pt idx="32">
                  <c:v>46.630445994842773</c:v>
                </c:pt>
                <c:pt idx="33">
                  <c:v>46.412668197028481</c:v>
                </c:pt>
                <c:pt idx="34">
                  <c:v>46.450365252282722</c:v>
                </c:pt>
                <c:pt idx="35">
                  <c:v>46.735515060276285</c:v>
                </c:pt>
                <c:pt idx="36">
                  <c:v>47.255858999784522</c:v>
                </c:pt>
                <c:pt idx="37">
                  <c:v>47.994990389956087</c:v>
                </c:pt>
                <c:pt idx="38">
                  <c:v>48.932546746161975</c:v>
                </c:pt>
                <c:pt idx="39">
                  <c:v>50.044549326440531</c:v>
                </c:pt>
                <c:pt idx="40">
                  <c:v>51.303923260739751</c:v>
                </c:pt>
                <c:pt idx="41">
                  <c:v>52.6812084453708</c:v>
                </c:pt>
                <c:pt idx="42">
                  <c:v>54.145439332369392</c:v>
                </c:pt>
                <c:pt idx="43">
                  <c:v>55.665138040909326</c:v>
                </c:pt>
                <c:pt idx="44">
                  <c:v>57.209338718095282</c:v>
                </c:pt>
                <c:pt idx="45">
                  <c:v>58.748549325278901</c:v>
                </c:pt>
                <c:pt idx="46">
                  <c:v>60.255563485334903</c:v>
                </c:pt>
                <c:pt idx="47">
                  <c:v>61.706057769223904</c:v>
                </c:pt>
                <c:pt idx="48">
                  <c:v>63.078942379364577</c:v>
                </c:pt>
                <c:pt idx="49">
                  <c:v>64.356467210105833</c:v>
                </c:pt>
                <c:pt idx="50">
                  <c:v>65.524113354714643</c:v>
                </c:pt>
                <c:pt idx="51">
                  <c:v>66.570317947680607</c:v>
                </c:pt>
                <c:pt idx="52">
                  <c:v>67.486086971045651</c:v>
                </c:pt>
                <c:pt idx="53">
                  <c:v>68.264548224063972</c:v>
                </c:pt>
                <c:pt idx="54">
                  <c:v>68.900488305058516</c:v>
                </c:pt>
                <c:pt idx="55">
                  <c:v>69.389906500447196</c:v>
                </c:pt>
                <c:pt idx="56">
                  <c:v>69.729607517447562</c:v>
                </c:pt>
                <c:pt idx="57">
                  <c:v>69.916845643701819</c:v>
                </c:pt>
                <c:pt idx="58">
                  <c:v>69.94902588047475</c:v>
                </c:pt>
                <c:pt idx="59">
                  <c:v>69.82346294572082</c:v>
                </c:pt>
                <c:pt idx="60">
                  <c:v>69.537196480611357</c:v>
                </c:pt>
                <c:pt idx="61">
                  <c:v>69.086859865460625</c:v>
                </c:pt>
                <c:pt idx="62">
                  <c:v>68.468600285052077</c:v>
                </c:pt>
                <c:pt idx="63">
                  <c:v>67.678048646927977</c:v>
                </c:pt>
                <c:pt idx="64">
                  <c:v>66.710339269286592</c:v>
                </c:pt>
                <c:pt idx="65">
                  <c:v>65.560180570769759</c:v>
                </c:pt>
                <c:pt idx="66">
                  <c:v>64.221978965649043</c:v>
                </c:pt>
                <c:pt idx="67">
                  <c:v>62.690018415457985</c:v>
                </c:pt>
                <c:pt idx="68">
                  <c:v>60.958697182059296</c:v>
                </c:pt>
                <c:pt idx="69">
                  <c:v>59.022820800473127</c:v>
                </c:pt>
                <c:pt idx="70">
                  <c:v>56.877945703564933</c:v>
                </c:pt>
                <c:pt idx="71">
                  <c:v>54.520761011427737</c:v>
                </c:pt>
                <c:pt idx="72">
                  <c:v>51.949486856520238</c:v>
                </c:pt>
                <c:pt idx="73">
                  <c:v>49.164257021409909</c:v>
                </c:pt>
                <c:pt idx="74">
                  <c:v>46.167443301875792</c:v>
                </c:pt>
                <c:pt idx="75">
                  <c:v>42.963871547263992</c:v>
                </c:pt>
                <c:pt idx="76">
                  <c:v>39.560878143071733</c:v>
                </c:pt>
                <c:pt idx="77">
                  <c:v>35.968164040286936</c:v>
                </c:pt>
                <c:pt idx="78">
                  <c:v>32.197423147077799</c:v>
                </c:pt>
                <c:pt idx="79">
                  <c:v>28.261752040329995</c:v>
                </c:pt>
                <c:pt idx="80">
                  <c:v>24.17488403009844</c:v>
                </c:pt>
                <c:pt idx="81">
                  <c:v>19.950325107351418</c:v>
                </c:pt>
                <c:pt idx="82">
                  <c:v>15.600493762657692</c:v>
                </c:pt>
                <c:pt idx="83">
                  <c:v>11.135974608676847</c:v>
                </c:pt>
                <c:pt idx="84">
                  <c:v>6.5649851623639819</c:v>
                </c:pt>
                <c:pt idx="85">
                  <c:v>1.8931292060692186</c:v>
                </c:pt>
                <c:pt idx="86">
                  <c:v>-2.8765242664465234</c:v>
                </c:pt>
                <c:pt idx="87">
                  <c:v>-7.743032640954155</c:v>
                </c:pt>
                <c:pt idx="88">
                  <c:v>-12.706867936303979</c:v>
                </c:pt>
                <c:pt idx="89">
                  <c:v>-17.768950357822575</c:v>
                </c:pt>
                <c:pt idx="90">
                  <c:v>-22.929491801933807</c:v>
                </c:pt>
                <c:pt idx="91">
                  <c:v>-28.18672645214852</c:v>
                </c:pt>
                <c:pt idx="92">
                  <c:v>-33.535617592751237</c:v>
                </c:pt>
                <c:pt idx="93">
                  <c:v>-38.966642532155703</c:v>
                </c:pt>
                <c:pt idx="94">
                  <c:v>-44.464769428906322</c:v>
                </c:pt>
                <c:pt idx="95">
                  <c:v>-50.008746038367022</c:v>
                </c:pt>
                <c:pt idx="96">
                  <c:v>-55.57081396025491</c:v>
                </c:pt>
                <c:pt idx="97">
                  <c:v>-61.116936056999293</c:v>
                </c:pt>
                <c:pt idx="98">
                  <c:v>-66.607576062944631</c:v>
                </c:pt>
                <c:pt idx="99">
                  <c:v>-71.999001524460567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59504"/>
        <c:axId val="301858944"/>
      </c:scatterChart>
      <c:valAx>
        <c:axId val="301857824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1858384"/>
        <c:crossesAt val="-100"/>
        <c:crossBetween val="midCat"/>
      </c:valAx>
      <c:valAx>
        <c:axId val="30185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1857824"/>
        <c:crosses val="autoZero"/>
        <c:crossBetween val="midCat"/>
      </c:valAx>
      <c:valAx>
        <c:axId val="3018589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>
            <c:manualLayout>
              <c:xMode val="edge"/>
              <c:yMode val="edge"/>
              <c:x val="0.94524871891013629"/>
              <c:y val="0.3915370279235929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1859504"/>
        <c:crosses val="max"/>
        <c:crossBetween val="midCat"/>
        <c:majorUnit val="15"/>
        <c:minorUnit val="5"/>
      </c:valAx>
      <c:valAx>
        <c:axId val="30185950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185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56860171890278"/>
          <c:y val="0.79666504778975944"/>
          <c:w val="0.22610184900071845"/>
          <c:h val="5.387840741191708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Adjustable Buck, Complete</a:t>
            </a:r>
            <a:r>
              <a:rPr lang="en-US" baseline="0"/>
              <a:t> Loop Bode Plot</a:t>
            </a:r>
            <a:endParaRPr lang="en-US"/>
          </a:p>
        </c:rich>
      </c:tx>
      <c:layout>
        <c:manualLayout>
          <c:xMode val="edge"/>
          <c:yMode val="edge"/>
          <c:x val="0.13946075442859721"/>
          <c:y val="5.78703703703703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16516685414323"/>
          <c:y val="8.1475752664289205E-2"/>
          <c:w val="0.77682524059492564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Loop2'!$G$33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Loop2'!$G$34:$G$133</c:f>
              <c:numCache>
                <c:formatCode>0.000</c:formatCode>
                <c:ptCount val="100"/>
                <c:pt idx="0">
                  <c:v>63.011089070292655</c:v>
                </c:pt>
                <c:pt idx="1">
                  <c:v>62.491356091223608</c:v>
                </c:pt>
                <c:pt idx="2">
                  <c:v>61.93774551623585</c:v>
                </c:pt>
                <c:pt idx="3">
                  <c:v>61.352399395191576</c:v>
                </c:pt>
                <c:pt idx="4">
                  <c:v>60.737723008259508</c:v>
                </c:pt>
                <c:pt idx="5">
                  <c:v>60.09626297760213</c:v>
                </c:pt>
                <c:pt idx="6">
                  <c:v>59.430595507074152</c:v>
                </c:pt>
                <c:pt idx="7">
                  <c:v>58.743231375692304</c:v>
                </c:pt>
                <c:pt idx="8">
                  <c:v>58.036540826060339</c:v>
                </c:pt>
                <c:pt idx="9">
                  <c:v>57.312698527425937</c:v>
                </c:pt>
                <c:pt idx="10">
                  <c:v>56.57364668066041</c:v>
                </c:pt>
                <c:pt idx="11">
                  <c:v>55.821073114133419</c:v>
                </c:pt>
                <c:pt idx="12">
                  <c:v>55.056400759276926</c:v>
                </c:pt>
                <c:pt idx="13">
                  <c:v>54.280784980122178</c:v>
                </c:pt>
                <c:pt idx="14">
                  <c:v>53.495115650289932</c:v>
                </c:pt>
                <c:pt idx="15">
                  <c:v>52.700021454257275</c:v>
                </c:pt>
                <c:pt idx="16">
                  <c:v>51.895874523633211</c:v>
                </c:pt>
                <c:pt idx="17">
                  <c:v>51.082794142155763</c:v>
                </c:pt>
                <c:pt idx="18">
                  <c:v>50.260648844113263</c:v>
                </c:pt>
                <c:pt idx="19">
                  <c:v>49.42905679578179</c:v>
                </c:pt>
                <c:pt idx="20">
                  <c:v>48.587384908567586</c:v>
                </c:pt>
                <c:pt idx="21">
                  <c:v>47.734747709263161</c:v>
                </c:pt>
                <c:pt idx="22">
                  <c:v>46.870007602710459</c:v>
                </c:pt>
                <c:pt idx="23">
                  <c:v>45.991778801114563</c:v>
                </c:pt>
                <c:pt idx="24">
                  <c:v>45.098437825351525</c:v>
                </c:pt>
                <c:pt idx="25">
                  <c:v>44.188144023874216</c:v>
                </c:pt>
                <c:pt idx="26">
                  <c:v>43.25887386570669</c:v>
                </c:pt>
                <c:pt idx="27">
                  <c:v>42.30847265342932</c:v>
                </c:pt>
                <c:pt idx="28">
                  <c:v>41.334726548415176</c:v>
                </c:pt>
                <c:pt idx="29">
                  <c:v>40.335456208959762</c:v>
                </c:pt>
                <c:pt idx="30">
                  <c:v>39.308630834599654</c:v>
                </c:pt>
                <c:pt idx="31">
                  <c:v>38.252498133767901</c:v>
                </c:pt>
                <c:pt idx="32">
                  <c:v>37.165722140818531</c:v>
                </c:pt>
                <c:pt idx="33">
                  <c:v>36.047517656392941</c:v>
                </c:pt>
                <c:pt idx="34">
                  <c:v>34.897768277300806</c:v>
                </c:pt>
                <c:pt idx="35">
                  <c:v>33.717115284750307</c:v>
                </c:pt>
                <c:pt idx="36">
                  <c:v>32.507007360557054</c:v>
                </c:pt>
                <c:pt idx="37">
                  <c:v>31.269705783797221</c:v>
                </c:pt>
                <c:pt idx="38">
                  <c:v>30.008245346753654</c:v>
                </c:pt>
                <c:pt idx="39">
                  <c:v>28.72635631749673</c:v>
                </c:pt>
                <c:pt idx="40">
                  <c:v>27.428356146069238</c:v>
                </c:pt>
                <c:pt idx="41">
                  <c:v>26.11902065483385</c:v>
                </c:pt>
                <c:pt idx="42">
                  <c:v>24.803443348005132</c:v>
                </c:pt>
                <c:pt idx="43">
                  <c:v>23.486889043959362</c:v>
                </c:pt>
                <c:pt idx="44">
                  <c:v>22.174645403294349</c:v>
                </c:pt>
                <c:pt idx="45">
                  <c:v>20.871874139463532</c:v>
                </c:pt>
                <c:pt idx="46">
                  <c:v>19.583463413466841</c:v>
                </c:pt>
                <c:pt idx="47">
                  <c:v>18.313884230495745</c:v>
                </c:pt>
                <c:pt idx="48">
                  <c:v>17.067056095808606</c:v>
                </c:pt>
                <c:pt idx="49">
                  <c:v>15.84622980984131</c:v>
                </c:pt>
                <c:pt idx="50">
                  <c:v>14.653896948815555</c:v>
                </c:pt>
                <c:pt idx="51">
                  <c:v>13.491735315960188</c:v>
                </c:pt>
                <c:pt idx="52">
                  <c:v>12.360597033423115</c:v>
                </c:pt>
                <c:pt idx="53">
                  <c:v>11.26054131857607</c:v>
                </c:pt>
                <c:pt idx="54">
                  <c:v>10.190908400464696</c:v>
                </c:pt>
                <c:pt idx="55">
                  <c:v>9.1504258805057859</c:v>
                </c:pt>
                <c:pt idx="56">
                  <c:v>8.137335365199128</c:v>
                </c:pt>
                <c:pt idx="57">
                  <c:v>7.1495260599736739</c:v>
                </c:pt>
                <c:pt idx="58">
                  <c:v>6.1846631501767311</c:v>
                </c:pt>
                <c:pt idx="59">
                  <c:v>5.2403015684563616</c:v>
                </c:pt>
                <c:pt idx="60">
                  <c:v>4.3139792619867521</c:v>
                </c:pt>
                <c:pt idx="61">
                  <c:v>3.403287498574628</c:v>
                </c:pt>
                <c:pt idx="62">
                  <c:v>2.5059185256960643</c:v>
                </c:pt>
                <c:pt idx="63">
                  <c:v>1.6196927776101551</c:v>
                </c:pt>
                <c:pt idx="64">
                  <c:v>0.74256882936293422</c:v>
                </c:pt>
                <c:pt idx="65">
                  <c:v>-0.12736040573881535</c:v>
                </c:pt>
                <c:pt idx="66">
                  <c:v>-0.99188191886066779</c:v>
                </c:pt>
                <c:pt idx="67">
                  <c:v>-1.8526844140688272</c:v>
                </c:pt>
                <c:pt idx="68">
                  <c:v>-2.7113853395817227</c:v>
                </c:pt>
                <c:pt idx="69">
                  <c:v>-3.5695613010434446</c:v>
                </c:pt>
                <c:pt idx="70">
                  <c:v>-4.4287804146691494</c:v>
                </c:pt>
                <c:pt idx="71">
                  <c:v>-5.2906354129982711</c:v>
                </c:pt>
                <c:pt idx="72">
                  <c:v>-6.1567764091376862</c:v>
                </c:pt>
                <c:pt idx="73">
                  <c:v>-7.0289421538888606</c:v>
                </c:pt>
                <c:pt idx="74">
                  <c:v>-7.9089883941913808</c:v>
                </c:pt>
                <c:pt idx="75">
                  <c:v>-8.7989115876722828</c:v>
                </c:pt>
                <c:pt idx="76">
                  <c:v>-9.7008657990050775</c:v>
                </c:pt>
                <c:pt idx="77">
                  <c:v>-10.617170189559003</c:v>
                </c:pt>
                <c:pt idx="78">
                  <c:v>-11.550304254048884</c:v>
                </c:pt>
                <c:pt idx="79">
                  <c:v>-12.50288805687673</c:v>
                </c:pt>
                <c:pt idx="80">
                  <c:v>-13.477645427927248</c:v>
                </c:pt>
                <c:pt idx="81">
                  <c:v>-14.477349661136447</c:v>
                </c:pt>
                <c:pt idx="82">
                  <c:v>-15.504753937269214</c:v>
                </c:pt>
                <c:pt idx="83">
                  <c:v>-16.562512537545203</c:v>
                </c:pt>
                <c:pt idx="84">
                  <c:v>-17.653103759116409</c:v>
                </c:pt>
                <c:pt idx="85">
                  <c:v>-18.778770835222055</c:v>
                </c:pt>
                <c:pt idx="86">
                  <c:v>-19.941502428789537</c:v>
                </c:pt>
                <c:pt idx="87">
                  <c:v>-21.143078691228023</c:v>
                </c:pt>
                <c:pt idx="88">
                  <c:v>-22.385211897198577</c:v>
                </c:pt>
                <c:pt idx="89">
                  <c:v>-23.66981186274543</c:v>
                </c:pt>
                <c:pt idx="90">
                  <c:v>-24.999404867059958</c:v>
                </c:pt>
                <c:pt idx="91">
                  <c:v>-26.377727782949499</c:v>
                </c:pt>
                <c:pt idx="92">
                  <c:v>-27.810499082653624</c:v>
                </c:pt>
                <c:pt idx="93">
                  <c:v>-29.306320088328953</c:v>
                </c:pt>
                <c:pt idx="94">
                  <c:v>-30.877560180440636</c:v>
                </c:pt>
                <c:pt idx="95">
                  <c:v>-32.540909928428675</c:v>
                </c:pt>
                <c:pt idx="96">
                  <c:v>-34.317072557486945</c:v>
                </c:pt>
                <c:pt idx="97">
                  <c:v>-36.228950531241679</c:v>
                </c:pt>
                <c:pt idx="98">
                  <c:v>-38.297963157384331</c:v>
                </c:pt>
                <c:pt idx="99">
                  <c:v>-40.539043132883023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65552"/>
        <c:axId val="303466112"/>
      </c:scatterChart>
      <c:scatterChart>
        <c:scatterStyle val="lineMarker"/>
        <c:varyColors val="0"/>
        <c:ser>
          <c:idx val="1"/>
          <c:order val="1"/>
          <c:tx>
            <c:strRef>
              <c:f>'Control Loop2'!$H$33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Loop2'!$H$34:$H$133</c:f>
              <c:numCache>
                <c:formatCode>0.000</c:formatCode>
                <c:ptCount val="100"/>
                <c:pt idx="0">
                  <c:v>126.20723612782054</c:v>
                </c:pt>
                <c:pt idx="1">
                  <c:v>123.47056170256758</c:v>
                </c:pt>
                <c:pt idx="2">
                  <c:v>120.79232617200775</c:v>
                </c:pt>
                <c:pt idx="3">
                  <c:v>118.18652154720935</c:v>
                </c:pt>
                <c:pt idx="4">
                  <c:v>115.66383218621586</c:v>
                </c:pt>
                <c:pt idx="5">
                  <c:v>113.23154107009471</c:v>
                </c:pt>
                <c:pt idx="6">
                  <c:v>110.89363438552687</c:v>
                </c:pt>
                <c:pt idx="7">
                  <c:v>108.65105594057511</c:v>
                </c:pt>
                <c:pt idx="8">
                  <c:v>106.50205846781674</c:v>
                </c:pt>
                <c:pt idx="9">
                  <c:v>104.44260300008283</c:v>
                </c:pt>
                <c:pt idx="10">
                  <c:v>102.46676687805918</c:v>
                </c:pt>
                <c:pt idx="11">
                  <c:v>100.56713237824931</c:v>
                </c:pt>
                <c:pt idx="12">
                  <c:v>98.735139076922195</c:v>
                </c:pt>
                <c:pt idx="13">
                  <c:v>96.961392528470441</c:v>
                </c:pt>
                <c:pt idx="14">
                  <c:v>95.235929118079611</c:v>
                </c:pt>
                <c:pt idx="15">
                  <c:v>93.548442100570824</c:v>
                </c:pt>
                <c:pt idx="16">
                  <c:v>91.888477208154313</c:v>
                </c:pt>
                <c:pt idx="17">
                  <c:v>90.245608236968252</c:v>
                </c:pt>
                <c:pt idx="18">
                  <c:v>88.609604098806287</c:v>
                </c:pt>
                <c:pt idx="19">
                  <c:v>86.970599226432284</c:v>
                </c:pt>
                <c:pt idx="20">
                  <c:v>85.319279073269612</c:v>
                </c:pt>
                <c:pt idx="21">
                  <c:v>83.647091713383418</c:v>
                </c:pt>
                <c:pt idx="22">
                  <c:v>81.946495027835113</c:v>
                </c:pt>
                <c:pt idx="23">
                  <c:v>80.211246320219757</c:v>
                </c:pt>
                <c:pt idx="24">
                  <c:v>78.436737005904035</c:v>
                </c:pt>
                <c:pt idx="25">
                  <c:v>76.620368837013558</c:v>
                </c:pt>
                <c:pt idx="26">
                  <c:v>74.761959695473465</c:v>
                </c:pt>
                <c:pt idx="27">
                  <c:v>72.864156450864499</c:v>
                </c:pt>
                <c:pt idx="28">
                  <c:v>70.932820570068202</c:v>
                </c:pt>
                <c:pt idx="29">
                  <c:v>68.977340847096286</c:v>
                </c:pt>
                <c:pt idx="30">
                  <c:v>67.010819537252189</c:v>
                </c:pt>
                <c:pt idx="31">
                  <c:v>65.050076697198833</c:v>
                </c:pt>
                <c:pt idx="32">
                  <c:v>63.115425760608396</c:v>
                </c:pt>
                <c:pt idx="33">
                  <c:v>61.230192845939911</c:v>
                </c:pt>
                <c:pt idx="34">
                  <c:v>59.419981618521639</c:v>
                </c:pt>
                <c:pt idx="35">
                  <c:v>57.711719816708978</c:v>
                </c:pt>
                <c:pt idx="36">
                  <c:v>56.132555167385327</c:v>
                </c:pt>
                <c:pt idx="37">
                  <c:v>54.708689262760188</c:v>
                </c:pt>
                <c:pt idx="38">
                  <c:v>53.464242488211951</c:v>
                </c:pt>
                <c:pt idx="39">
                  <c:v>52.420230582056249</c:v>
                </c:pt>
                <c:pt idx="40">
                  <c:v>51.593708455819652</c:v>
                </c:pt>
                <c:pt idx="41">
                  <c:v>50.997107616129036</c:v>
                </c:pt>
                <c:pt idx="42">
                  <c:v>50.637768482727651</c:v>
                </c:pt>
                <c:pt idx="43">
                  <c:v>50.517654202631363</c:v>
                </c:pt>
                <c:pt idx="44">
                  <c:v>50.633230175699879</c:v>
                </c:pt>
                <c:pt idx="45">
                  <c:v>50.975501120932833</c:v>
                </c:pt>
                <c:pt idx="46">
                  <c:v>51.530209667121241</c:v>
                </c:pt>
                <c:pt idx="47">
                  <c:v>52.278210336366016</c:v>
                </c:pt>
                <c:pt idx="48">
                  <c:v>53.196034264775506</c:v>
                </c:pt>
                <c:pt idx="49">
                  <c:v>54.256649516326149</c:v>
                </c:pt>
                <c:pt idx="50">
                  <c:v>55.43039983602371</c:v>
                </c:pt>
                <c:pt idx="51">
                  <c:v>56.686075962571152</c:v>
                </c:pt>
                <c:pt idx="52">
                  <c:v>57.992046199257118</c:v>
                </c:pt>
                <c:pt idx="53">
                  <c:v>59.317355461510346</c:v>
                </c:pt>
                <c:pt idx="54">
                  <c:v>60.632700558066503</c:v>
                </c:pt>
                <c:pt idx="55">
                  <c:v>61.911205194463776</c:v>
                </c:pt>
                <c:pt idx="56">
                  <c:v>63.128947030003516</c:v>
                </c:pt>
                <c:pt idx="57">
                  <c:v>64.265223510965697</c:v>
                </c:pt>
                <c:pt idx="58">
                  <c:v>65.302575042154842</c:v>
                </c:pt>
                <c:pt idx="59">
                  <c:v>66.226607355791089</c:v>
                </c:pt>
                <c:pt idx="60">
                  <c:v>67.025667132450579</c:v>
                </c:pt>
                <c:pt idx="61">
                  <c:v>67.690426702722149</c:v>
                </c:pt>
                <c:pt idx="62">
                  <c:v>68.213427757947485</c:v>
                </c:pt>
                <c:pt idx="63">
                  <c:v>68.588623848115731</c:v>
                </c:pt>
                <c:pt idx="64">
                  <c:v>68.81095008667657</c:v>
                </c:pt>
                <c:pt idx="65">
                  <c:v>68.875938047846844</c:v>
                </c:pt>
                <c:pt idx="66">
                  <c:v>68.779385481725811</c:v>
                </c:pt>
                <c:pt idx="67">
                  <c:v>68.517084546011304</c:v>
                </c:pt>
                <c:pt idx="68">
                  <c:v>68.084608607510518</c:v>
                </c:pt>
                <c:pt idx="69">
                  <c:v>67.477155885282471</c:v>
                </c:pt>
                <c:pt idx="70">
                  <c:v>66.689447781858775</c:v>
                </c:pt>
                <c:pt idx="71">
                  <c:v>65.715680172598084</c:v>
                </c:pt>
                <c:pt idx="72">
                  <c:v>64.549526720590976</c:v>
                </c:pt>
                <c:pt idx="73">
                  <c:v>63.184194003208276</c:v>
                </c:pt>
                <c:pt idx="74">
                  <c:v>61.612528419678512</c:v>
                </c:pt>
                <c:pt idx="75">
                  <c:v>59.827174010684729</c:v>
                </c:pt>
                <c:pt idx="76">
                  <c:v>57.820777940981031</c:v>
                </c:pt>
                <c:pt idx="77">
                  <c:v>55.586235960944322</c:v>
                </c:pt>
                <c:pt idx="78">
                  <c:v>53.11696327263688</c:v>
                </c:pt>
                <c:pt idx="79">
                  <c:v>50.407166785036878</c:v>
                </c:pt>
                <c:pt idx="80">
                  <c:v>47.452083231550517</c:v>
                </c:pt>
                <c:pt idx="81">
                  <c:v>44.248135394807491</c:v>
                </c:pt>
                <c:pt idx="82">
                  <c:v>40.792948179245485</c:v>
                </c:pt>
                <c:pt idx="83">
                  <c:v>37.085160972865481</c:v>
                </c:pt>
                <c:pt idx="84">
                  <c:v>33.123976712631631</c:v>
                </c:pt>
                <c:pt idx="85">
                  <c:v>28.908405097608323</c:v>
                </c:pt>
                <c:pt idx="86">
                  <c:v>24.436190023796499</c:v>
                </c:pt>
                <c:pt idx="87">
                  <c:v>19.702460495423111</c:v>
                </c:pt>
                <c:pt idx="88">
                  <c:v>14.698210456428257</c:v>
                </c:pt>
                <c:pt idx="89">
                  <c:v>9.4087991094647379</c:v>
                </c:pt>
                <c:pt idx="90">
                  <c:v>3.8127786783008304</c:v>
                </c:pt>
                <c:pt idx="91">
                  <c:v>-2.1184813975853132</c:v>
                </c:pt>
                <c:pt idx="92">
                  <c:v>-8.4196785312929165</c:v>
                </c:pt>
                <c:pt idx="93">
                  <c:v>-15.127995799772663</c:v>
                </c:pt>
                <c:pt idx="94">
                  <c:v>-22.275865004260055</c:v>
                </c:pt>
                <c:pt idx="95">
                  <c:v>-29.879055572532295</c:v>
                </c:pt>
                <c:pt idx="96">
                  <c:v>-37.920246015292591</c:v>
                </c:pt>
                <c:pt idx="97">
                  <c:v>-46.331044087818569</c:v>
                </c:pt>
                <c:pt idx="98">
                  <c:v>-54.979477850349738</c:v>
                </c:pt>
                <c:pt idx="99">
                  <c:v>-63.672440527300949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67232"/>
        <c:axId val="303466672"/>
      </c:scatterChart>
      <c:valAx>
        <c:axId val="303465552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66112"/>
        <c:crossesAt val="-2000"/>
        <c:crossBetween val="midCat"/>
      </c:valAx>
      <c:valAx>
        <c:axId val="30346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65552"/>
        <c:crosses val="autoZero"/>
        <c:crossBetween val="midCat"/>
      </c:valAx>
      <c:valAx>
        <c:axId val="30346667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67232"/>
        <c:crosses val="max"/>
        <c:crossBetween val="midCat"/>
        <c:majorUnit val="15"/>
        <c:minorUnit val="5"/>
      </c:valAx>
      <c:valAx>
        <c:axId val="30346723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466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56860171890278"/>
          <c:y val="0.79666504778975944"/>
          <c:w val="0.22610184900071845"/>
          <c:h val="5.387840741191708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Error Amp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62122214397996E-2"/>
          <c:y val="8.1475752664289205E-2"/>
          <c:w val="0.8219155125934462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Loop1'!$C$33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Loop1'!$C$34:$C$133</c:f>
              <c:numCache>
                <c:formatCode>0.00</c:formatCode>
                <c:ptCount val="100"/>
                <c:pt idx="0">
                  <c:v>39.047212147902222</c:v>
                </c:pt>
                <c:pt idx="1">
                  <c:v>38.527280619329616</c:v>
                </c:pt>
                <c:pt idx="2">
                  <c:v>37.973965287035043</c:v>
                </c:pt>
                <c:pt idx="3">
                  <c:v>37.389503925223096</c:v>
                </c:pt>
                <c:pt idx="4">
                  <c:v>36.776405798557398</c:v>
                </c:pt>
                <c:pt idx="5">
                  <c:v>36.137333233615209</c:v>
                </c:pt>
                <c:pt idx="6">
                  <c:v>35.474994411571068</c:v>
                </c:pt>
                <c:pt idx="7">
                  <c:v>34.79205390847725</c:v>
                </c:pt>
                <c:pt idx="8">
                  <c:v>34.09106405737495</c:v>
                </c:pt>
                <c:pt idx="9">
                  <c:v>33.374417306398826</c:v>
                </c:pt>
                <c:pt idx="10">
                  <c:v>32.644317705677949</c:v>
                </c:pt>
                <c:pt idx="11">
                  <c:v>31.902768503016269</c:v>
                </c:pt>
                <c:pt idx="12">
                  <c:v>31.151572418659747</c:v>
                </c:pt>
                <c:pt idx="13">
                  <c:v>30.392341285366825</c:v>
                </c:pt>
                <c:pt idx="14">
                  <c:v>29.6265121663542</c:v>
                </c:pt>
                <c:pt idx="15">
                  <c:v>28.855367627328441</c:v>
                </c:pt>
                <c:pt idx="16">
                  <c:v>28.080058420361567</c:v>
                </c:pt>
                <c:pt idx="17">
                  <c:v>27.301627366271877</c:v>
                </c:pt>
                <c:pt idx="18">
                  <c:v>26.521033664847835</c:v>
                </c:pt>
                <c:pt idx="19">
                  <c:v>25.739177209076693</c:v>
                </c:pt>
                <c:pt idx="20">
                  <c:v>24.956922734180562</c:v>
                </c:pt>
                <c:pt idx="21">
                  <c:v>24.175123803722983</c:v>
                </c:pt>
                <c:pt idx="22">
                  <c:v>23.394646732598137</c:v>
                </c:pt>
                <c:pt idx="23">
                  <c:v>22.616394576859548</c:v>
                </c:pt>
                <c:pt idx="24">
                  <c:v>21.841331285268424</c:v>
                </c:pt>
                <c:pt idx="25">
                  <c:v>21.070506004616604</c:v>
                </c:pt>
                <c:pt idx="26">
                  <c:v>20.305077353521568</c:v>
                </c:pt>
                <c:pt idx="27">
                  <c:v>19.546337218138842</c:v>
                </c:pt>
                <c:pt idx="28">
                  <c:v>18.795733269223504</c:v>
                </c:pt>
                <c:pt idx="29">
                  <c:v>18.054888950245893</c:v>
                </c:pt>
                <c:pt idx="30">
                  <c:v>17.325619151709006</c:v>
                </c:pt>
                <c:pt idx="31">
                  <c:v>16.609939203290253</c:v>
                </c:pt>
                <c:pt idx="32">
                  <c:v>15.910064256606024</c:v>
                </c:pt>
                <c:pt idx="33">
                  <c:v>15.228395720527512</c:v>
                </c:pt>
                <c:pt idx="34">
                  <c:v>14.567491324889854</c:v>
                </c:pt>
                <c:pt idx="35">
                  <c:v>13.930015844160369</c:v>
                </c:pt>
                <c:pt idx="36">
                  <c:v>13.318670725407546</c:v>
                </c:pt>
                <c:pt idx="37">
                  <c:v>12.736102971099006</c:v>
                </c:pt>
                <c:pt idx="38">
                  <c:v>12.184796580055345</c:v>
                </c:pt>
                <c:pt idx="39">
                  <c:v>11.666953319754107</c:v>
                </c:pt>
                <c:pt idx="40">
                  <c:v>11.184372940100445</c:v>
                </c:pt>
                <c:pt idx="41">
                  <c:v>10.738345259071549</c:v>
                </c:pt>
                <c:pt idx="42">
                  <c:v>10.329566975533758</c:v>
                </c:pt>
                <c:pt idx="43">
                  <c:v>9.9580940579223434</c:v>
                </c:pt>
                <c:pt idx="44">
                  <c:v>9.6233362224006402</c:v>
                </c:pt>
                <c:pt idx="45">
                  <c:v>9.3240941783631044</c:v>
                </c:pt>
                <c:pt idx="46">
                  <c:v>9.0586343186203102</c:v>
                </c:pt>
                <c:pt idx="47">
                  <c:v>8.8247907595123412</c:v>
                </c:pt>
                <c:pt idx="48">
                  <c:v>8.6200820648958665</c:v>
                </c:pt>
                <c:pt idx="49">
                  <c:v>8.4418298872721333</c:v>
                </c:pt>
                <c:pt idx="50">
                  <c:v>8.2872687168574526</c:v>
                </c:pt>
                <c:pt idx="51">
                  <c:v>8.1536391132098771</c:v>
                </c:pt>
                <c:pt idx="52">
                  <c:v>8.0382602958143003</c:v>
                </c:pt>
                <c:pt idx="53">
                  <c:v>7.9385810742995169</c:v>
                </c:pt>
                <c:pt idx="54">
                  <c:v>7.852210404063297</c:v>
                </c:pt>
                <c:pt idx="55">
                  <c:v>7.776930256776259</c:v>
                </c:pt>
                <c:pt idx="56">
                  <c:v>7.7106941035895895</c:v>
                </c:pt>
                <c:pt idx="57">
                  <c:v>7.6516143293866623</c:v>
                </c:pt>
                <c:pt idx="58">
                  <c:v>7.597941553675974</c:v>
                </c:pt>
                <c:pt idx="59">
                  <c:v>7.5480383199021617</c:v>
                </c:pt>
                <c:pt idx="60">
                  <c:v>7.500349071286962</c:v>
                </c:pt>
                <c:pt idx="61">
                  <c:v>7.453367849338135</c:v>
                </c:pt>
                <c:pt idx="62">
                  <c:v>7.4056047835825751</c:v>
                </c:pt>
                <c:pt idx="63">
                  <c:v>7.3555522145590153</c:v>
                </c:pt>
                <c:pt idx="64">
                  <c:v>7.3016512180497948</c:v>
                </c:pt>
                <c:pt idx="65">
                  <c:v>7.2422593799039801</c:v>
                </c:pt>
                <c:pt idx="66">
                  <c:v>7.1756209043152452</c:v>
                </c:pt>
                <c:pt idx="67">
                  <c:v>7.0998405121374821</c:v>
                </c:pt>
                <c:pt idx="68">
                  <c:v>7.0128630720789129</c:v>
                </c:pt>
                <c:pt idx="69">
                  <c:v>6.9124614521669248</c:v>
                </c:pt>
                <c:pt idx="70">
                  <c:v>6.7962355879903456</c:v>
                </c:pt>
                <c:pt idx="71">
                  <c:v>6.661626094158378</c:v>
                </c:pt>
                <c:pt idx="72">
                  <c:v>6.5059457017781961</c:v>
                </c:pt>
                <c:pt idx="73">
                  <c:v>6.3264311623921996</c:v>
                </c:pt>
                <c:pt idx="74">
                  <c:v>6.1203168128740906</c:v>
                </c:pt>
                <c:pt idx="75">
                  <c:v>5.8849286476471407</c:v>
                </c:pt>
                <c:pt idx="76">
                  <c:v>5.6177946091059452</c:v>
                </c:pt>
                <c:pt idx="77">
                  <c:v>5.3167633014793703</c:v>
                </c:pt>
                <c:pt idx="78">
                  <c:v>4.9801201862961006</c:v>
                </c:pt>
                <c:pt idx="79">
                  <c:v>4.6066884408816824</c:v>
                </c:pt>
                <c:pt idx="80">
                  <c:v>4.1959018746342691</c:v>
                </c:pt>
                <c:pt idx="81">
                  <c:v>3.7478399855414195</c:v>
                </c:pt>
                <c:pt idx="82">
                  <c:v>3.2632200960626379</c:v>
                </c:pt>
                <c:pt idx="83">
                  <c:v>2.743347531929365</c:v>
                </c:pt>
                <c:pt idx="84">
                  <c:v>2.1900305974413783</c:v>
                </c:pt>
                <c:pt idx="85">
                  <c:v>1.6054713357750228</c:v>
                </c:pt>
                <c:pt idx="86">
                  <c:v>0.99214494696631739</c:v>
                </c:pt>
                <c:pt idx="87">
                  <c:v>0.35268020128475525</c:v>
                </c:pt>
                <c:pt idx="88">
                  <c:v>-0.31024920816260304</c:v>
                </c:pt>
                <c:pt idx="89">
                  <c:v>-0.99401579629664671</c:v>
                </c:pt>
                <c:pt idx="90">
                  <c:v>-1.6961087856438486</c:v>
                </c:pt>
                <c:pt idx="91">
                  <c:v>-2.4141837830355173</c:v>
                </c:pt>
                <c:pt idx="92">
                  <c:v>-3.1460935113577158</c:v>
                </c:pt>
                <c:pt idx="93">
                  <c:v>-3.8899026546862459</c:v>
                </c:pt>
                <c:pt idx="94">
                  <c:v>-4.6438903089018089</c:v>
                </c:pt>
                <c:pt idx="95">
                  <c:v>-5.4065434337997402</c:v>
                </c:pt>
                <c:pt idx="96">
                  <c:v>-6.1765442925346399</c:v>
                </c:pt>
                <c:pt idx="97">
                  <c:v>-6.9527543141648271</c:v>
                </c:pt>
                <c:pt idx="98">
                  <c:v>-7.7341962453571362</c:v>
                </c:pt>
                <c:pt idx="99">
                  <c:v>-8.520035938857168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26032"/>
        <c:axId val="303426592"/>
      </c:scatterChart>
      <c:scatterChart>
        <c:scatterStyle val="lineMarker"/>
        <c:varyColors val="0"/>
        <c:ser>
          <c:idx val="1"/>
          <c:order val="1"/>
          <c:tx>
            <c:strRef>
              <c:f>'Control Loop1'!$D$33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Loop1'!$D$34:$D$133</c:f>
              <c:numCache>
                <c:formatCode>0.00</c:formatCode>
                <c:ptCount val="100"/>
                <c:pt idx="0">
                  <c:v>129.07352960380092</c:v>
                </c:pt>
                <c:pt idx="1">
                  <c:v>126.63479968401964</c:v>
                </c:pt>
                <c:pt idx="2">
                  <c:v>124.28406509792244</c:v>
                </c:pt>
                <c:pt idx="3">
                  <c:v>122.03788712285619</c:v>
                </c:pt>
                <c:pt idx="4">
                  <c:v>119.90976510155652</c:v>
                </c:pt>
                <c:pt idx="5">
                  <c:v>117.91007697738327</c:v>
                </c:pt>
                <c:pt idx="6">
                  <c:v>116.04621654529765</c:v>
                </c:pt>
                <c:pt idx="7">
                  <c:v>114.32287813034202</c:v>
                </c:pt>
                <c:pt idx="8">
                  <c:v>112.74243538945656</c:v>
                </c:pt>
                <c:pt idx="9">
                  <c:v>111.30536529413693</c:v>
                </c:pt>
                <c:pt idx="10">
                  <c:v>110.01067770119097</c:v>
                </c:pt>
                <c:pt idx="11">
                  <c:v>108.85632209213217</c:v>
                </c:pt>
                <c:pt idx="12">
                  <c:v>107.83955374468255</c:v>
                </c:pt>
                <c:pt idx="13">
                  <c:v>106.95725047093029</c:v>
                </c:pt>
                <c:pt idx="14">
                  <c:v>106.20617762590904</c:v>
                </c:pt>
                <c:pt idx="15">
                  <c:v>105.58320342331093</c:v>
                </c:pt>
                <c:pt idx="16">
                  <c:v>105.08546904824668</c:v>
                </c:pt>
                <c:pt idx="17">
                  <c:v>104.7105190820006</c:v>
                </c:pt>
                <c:pt idx="18">
                  <c:v>104.45639777924436</c:v>
                </c:pt>
                <c:pt idx="19">
                  <c:v>104.32171611427947</c:v>
                </c:pt>
                <c:pt idx="20">
                  <c:v>104.30569349713916</c:v>
                </c:pt>
                <c:pt idx="21">
                  <c:v>104.40817682645752</c:v>
                </c:pt>
                <c:pt idx="22">
                  <c:v>104.6296382026345</c:v>
                </c:pt>
                <c:pt idx="23">
                  <c:v>104.9711512378282</c:v>
                </c:pt>
                <c:pt idx="24">
                  <c:v>105.43434451371485</c:v>
                </c:pt>
                <c:pt idx="25">
                  <c:v>106.02132939958845</c:v>
                </c:pt>
                <c:pt idx="26">
                  <c:v>106.73459822041825</c:v>
                </c:pt>
                <c:pt idx="27">
                  <c:v>107.57688776961587</c:v>
                </c:pt>
                <c:pt idx="28">
                  <c:v>108.55100257371217</c:v>
                </c:pt>
                <c:pt idx="29">
                  <c:v>109.65959239998111</c:v>
                </c:pt>
                <c:pt idx="30">
                  <c:v>110.9048796100066</c:v>
                </c:pt>
                <c:pt idx="31">
                  <c:v>112.28833453499711</c:v>
                </c:pt>
                <c:pt idx="32">
                  <c:v>113.81030153191892</c:v>
                </c:pt>
                <c:pt idx="33">
                  <c:v>115.46958511622793</c:v>
                </c:pt>
                <c:pt idx="34">
                  <c:v>117.26301459203974</c:v>
                </c:pt>
                <c:pt idx="35">
                  <c:v>119.1850163726461</c:v>
                </c:pt>
                <c:pt idx="36">
                  <c:v>121.227234313019</c:v>
                </c:pt>
                <c:pt idx="37">
                  <c:v>123.378247476303</c:v>
                </c:pt>
                <c:pt idx="38">
                  <c:v>125.62343861997512</c:v>
                </c:pt>
                <c:pt idx="39">
                  <c:v>127.94506194767682</c:v>
                </c:pt>
                <c:pt idx="40">
                  <c:v>130.322542985383</c:v>
                </c:pt>
                <c:pt idx="41">
                  <c:v>132.73301689360264</c:v>
                </c:pt>
                <c:pt idx="42">
                  <c:v>135.1520776512252</c:v>
                </c:pt>
                <c:pt idx="43">
                  <c:v>137.55467617485041</c:v>
                </c:pt>
                <c:pt idx="44">
                  <c:v>139.91607901933187</c:v>
                </c:pt>
                <c:pt idx="45">
                  <c:v>142.21278807205809</c:v>
                </c:pt>
                <c:pt idx="46">
                  <c:v>144.42332884240804</c:v>
                </c:pt>
                <c:pt idx="47">
                  <c:v>146.52883848401044</c:v>
                </c:pt>
                <c:pt idx="48">
                  <c:v>148.51341803439701</c:v>
                </c:pt>
                <c:pt idx="49">
                  <c:v>150.36424807392109</c:v>
                </c:pt>
                <c:pt idx="50">
                  <c:v>152.07149569587094</c:v>
                </c:pt>
                <c:pt idx="51">
                  <c:v>153.62805900292088</c:v>
                </c:pt>
                <c:pt idx="52">
                  <c:v>155.02920249755533</c:v>
                </c:pt>
                <c:pt idx="53">
                  <c:v>156.27213463647431</c:v>
                </c:pt>
                <c:pt idx="54">
                  <c:v>157.35557073147868</c:v>
                </c:pt>
                <c:pt idx="55">
                  <c:v>158.27931363129778</c:v>
                </c:pt>
                <c:pt idx="56">
                  <c:v>159.04387381983472</c:v>
                </c:pt>
                <c:pt idx="57">
                  <c:v>159.65014133534299</c:v>
                </c:pt>
                <c:pt idx="58">
                  <c:v>160.09911497122795</c:v>
                </c:pt>
                <c:pt idx="59">
                  <c:v>160.39168963818801</c:v>
                </c:pt>
                <c:pt idx="60">
                  <c:v>160.52850025545334</c:v>
                </c:pt>
                <c:pt idx="61">
                  <c:v>160.50981964690538</c:v>
                </c:pt>
                <c:pt idx="62">
                  <c:v>160.335508175005</c:v>
                </c:pt>
                <c:pt idx="63">
                  <c:v>160.0050138210056</c:v>
                </c:pt>
                <c:pt idx="64">
                  <c:v>159.51742273449676</c:v>
                </c:pt>
                <c:pt idx="65">
                  <c:v>158.8715615816586</c:v>
                </c:pt>
                <c:pt idx="66">
                  <c:v>158.06615397152089</c:v>
                </c:pt>
                <c:pt idx="67">
                  <c:v>157.10003345152577</c:v>
                </c:pt>
                <c:pt idx="68">
                  <c:v>155.97241460451517</c:v>
                </c:pt>
                <c:pt idx="69">
                  <c:v>154.68322117719532</c:v>
                </c:pt>
                <c:pt idx="70">
                  <c:v>153.23346547990107</c:v>
                </c:pt>
                <c:pt idx="71">
                  <c:v>151.62566623740454</c:v>
                </c:pt>
                <c:pt idx="72">
                  <c:v>149.86428274060353</c:v>
                </c:pt>
                <c:pt idx="73">
                  <c:v>147.95613230612116</c:v>
                </c:pt>
                <c:pt idx="74">
                  <c:v>145.91074736157225</c:v>
                </c:pt>
                <c:pt idx="75">
                  <c:v>143.74062059236616</c:v>
                </c:pt>
                <c:pt idx="76">
                  <c:v>141.46128485985381</c:v>
                </c:pt>
                <c:pt idx="77">
                  <c:v>139.09118225846265</c:v>
                </c:pt>
                <c:pt idx="78">
                  <c:v>136.65129554138335</c:v>
                </c:pt>
                <c:pt idx="79">
                  <c:v>134.16454424810121</c:v>
                </c:pt>
                <c:pt idx="80">
                  <c:v>131.65498270326592</c:v>
                </c:pt>
                <c:pt idx="81">
                  <c:v>129.14687012060804</c:v>
                </c:pt>
                <c:pt idx="82">
                  <c:v>126.66370591867165</c:v>
                </c:pt>
                <c:pt idx="83">
                  <c:v>124.22732966509902</c:v>
                </c:pt>
                <c:pt idx="84">
                  <c:v>121.85717299069293</c:v>
                </c:pt>
                <c:pt idx="85">
                  <c:v>119.56972382811531</c:v>
                </c:pt>
                <c:pt idx="86">
                  <c:v>117.37822879225669</c:v>
                </c:pt>
                <c:pt idx="87">
                  <c:v>115.29262586165362</c:v>
                </c:pt>
                <c:pt idx="88">
                  <c:v>113.31967344489928</c:v>
                </c:pt>
                <c:pt idx="89">
                  <c:v>111.46322678085224</c:v>
                </c:pt>
                <c:pt idx="90">
                  <c:v>109.72460837001623</c:v>
                </c:pt>
                <c:pt idx="91">
                  <c:v>108.10302334253487</c:v>
                </c:pt>
                <c:pt idx="92">
                  <c:v>106.59597995517248</c:v>
                </c:pt>
                <c:pt idx="93">
                  <c:v>105.19968659796675</c:v>
                </c:pt>
                <c:pt idx="94">
                  <c:v>103.90940744584944</c:v>
                </c:pt>
                <c:pt idx="95">
                  <c:v>102.71976787042102</c:v>
                </c:pt>
                <c:pt idx="96">
                  <c:v>101.62500742971478</c:v>
                </c:pt>
                <c:pt idx="97">
                  <c:v>100.61918274044558</c:v>
                </c:pt>
                <c:pt idx="98">
                  <c:v>99.696325167158889</c:v>
                </c:pt>
                <c:pt idx="99">
                  <c:v>98.850559495577045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27712"/>
        <c:axId val="303427152"/>
      </c:scatterChart>
      <c:valAx>
        <c:axId val="303426032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26592"/>
        <c:crossesAt val="-100"/>
        <c:crossBetween val="midCat"/>
      </c:valAx>
      <c:valAx>
        <c:axId val="30342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26032"/>
        <c:crosses val="autoZero"/>
        <c:crossBetween val="midCat"/>
      </c:valAx>
      <c:valAx>
        <c:axId val="303427152"/>
        <c:scaling>
          <c:orientation val="minMax"/>
          <c:max val="19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427712"/>
        <c:crosses val="max"/>
        <c:crossBetween val="midCat"/>
        <c:majorUnit val="15"/>
        <c:minorUnit val="5"/>
      </c:valAx>
      <c:valAx>
        <c:axId val="30342771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427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8981949881963058E-2"/>
          <c:y val="0.77717608359307466"/>
          <c:w val="0.11461883605331456"/>
          <c:h val="7.1829645440052783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</a:t>
            </a:r>
            <a:r>
              <a:rPr lang="en-US" baseline="0"/>
              <a:t> to Output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62122214397996E-2"/>
          <c:y val="8.1475752664289205E-2"/>
          <c:w val="0.8219155125934462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Loop1'!$E$33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Loop1'!$E$34:$E$133</c:f>
              <c:numCache>
                <c:formatCode>General</c:formatCode>
                <c:ptCount val="100"/>
                <c:pt idx="0">
                  <c:v>26.044168440859636</c:v>
                </c:pt>
                <c:pt idx="1">
                  <c:v>26.031608516715387</c:v>
                </c:pt>
                <c:pt idx="2">
                  <c:v>26.016528111275289</c:v>
                </c:pt>
                <c:pt idx="3">
                  <c:v>25.998432959531954</c:v>
                </c:pt>
                <c:pt idx="4">
                  <c:v>25.976736912265899</c:v>
                </c:pt>
                <c:pt idx="5">
                  <c:v>25.9507470359226</c:v>
                </c:pt>
                <c:pt idx="6">
                  <c:v>25.919647240046288</c:v>
                </c:pt>
                <c:pt idx="7">
                  <c:v>25.882480718593456</c:v>
                </c:pt>
                <c:pt idx="8">
                  <c:v>25.838131734961451</c:v>
                </c:pt>
                <c:pt idx="9">
                  <c:v>25.785307608911296</c:v>
                </c:pt>
                <c:pt idx="10">
                  <c:v>25.722522184266417</c:v>
                </c:pt>
                <c:pt idx="11">
                  <c:v>25.64808256374225</c:v>
                </c:pt>
                <c:pt idx="12">
                  <c:v>25.560081462624517</c:v>
                </c:pt>
                <c:pt idx="13">
                  <c:v>25.456398091539686</c:v>
                </c:pt>
                <c:pt idx="14">
                  <c:v>25.334710917512815</c:v>
                </c:pt>
                <c:pt idx="15">
                  <c:v>25.192525805099638</c:v>
                </c:pt>
                <c:pt idx="16">
                  <c:v>25.02722269405297</c:v>
                </c:pt>
                <c:pt idx="17">
                  <c:v>24.836122906281666</c:v>
                </c:pt>
                <c:pt idx="18">
                  <c:v>24.616577233854656</c:v>
                </c:pt>
                <c:pt idx="19">
                  <c:v>24.366072144899395</c:v>
                </c:pt>
                <c:pt idx="20">
                  <c:v>24.082348025388217</c:v>
                </c:pt>
                <c:pt idx="21">
                  <c:v>23.763519943101588</c:v>
                </c:pt>
                <c:pt idx="22">
                  <c:v>23.408188828506404</c:v>
                </c:pt>
                <c:pt idx="23">
                  <c:v>23.015530119871229</c:v>
                </c:pt>
                <c:pt idx="24">
                  <c:v>22.585348444254944</c:v>
                </c:pt>
                <c:pt idx="25">
                  <c:v>22.118090835374712</c:v>
                </c:pt>
                <c:pt idx="26">
                  <c:v>21.614816626276973</c:v>
                </c:pt>
                <c:pt idx="27">
                  <c:v>21.077128229861263</c:v>
                </c:pt>
                <c:pt idx="28">
                  <c:v>20.507072111792436</c:v>
                </c:pt>
                <c:pt idx="29">
                  <c:v>19.9070222855492</c:v>
                </c:pt>
                <c:pt idx="30">
                  <c:v>19.279559207064523</c:v>
                </c:pt>
                <c:pt idx="31">
                  <c:v>18.627355314011822</c:v>
                </c:pt>
                <c:pt idx="32">
                  <c:v>17.953075420884975</c:v>
                </c:pt>
                <c:pt idx="33">
                  <c:v>17.25929666402687</c:v>
                </c:pt>
                <c:pt idx="34">
                  <c:v>16.54844945712675</c:v>
                </c:pt>
                <c:pt idx="35">
                  <c:v>15.822778431481234</c:v>
                </c:pt>
                <c:pt idx="36">
                  <c:v>15.084320750786295</c:v>
                </c:pt>
                <c:pt idx="37">
                  <c:v>14.334898433710233</c:v>
                </c:pt>
                <c:pt idx="38">
                  <c:v>13.576121195166062</c:v>
                </c:pt>
                <c:pt idx="39">
                  <c:v>12.809396605703023</c:v>
                </c:pt>
                <c:pt idx="40">
                  <c:v>12.035944871276813</c:v>
                </c:pt>
                <c:pt idx="41">
                  <c:v>11.256816107315409</c:v>
                </c:pt>
                <c:pt idx="42">
                  <c:v>10.47290852886478</c:v>
                </c:pt>
                <c:pt idx="43">
                  <c:v>9.6849864536252586</c:v>
                </c:pt>
                <c:pt idx="44">
                  <c:v>8.8936973985586221</c:v>
                </c:pt>
                <c:pt idx="45">
                  <c:v>8.0995878440808937</c:v>
                </c:pt>
                <c:pt idx="46">
                  <c:v>7.303117453185795</c:v>
                </c:pt>
                <c:pt idx="47">
                  <c:v>6.5046716805537654</c:v>
                </c:pt>
                <c:pt idx="48">
                  <c:v>5.7045728034450764</c:v>
                </c:pt>
                <c:pt idx="49">
                  <c:v>4.9030894650421972</c:v>
                </c:pt>
                <c:pt idx="50">
                  <c:v>4.1004448526957731</c:v>
                </c:pt>
                <c:pt idx="51">
                  <c:v>3.2968236466892047</c:v>
                </c:pt>
                <c:pt idx="52">
                  <c:v>2.4923778759976907</c:v>
                </c:pt>
                <c:pt idx="53">
                  <c:v>1.6872318106555451</c:v>
                </c:pt>
                <c:pt idx="54">
                  <c:v>0.88148600895240503</c:v>
                </c:pt>
                <c:pt idx="55">
                  <c:v>7.5220623916134766E-2</c:v>
                </c:pt>
                <c:pt idx="56">
                  <c:v>-0.73150194121345913</c:v>
                </c:pt>
                <c:pt idx="57">
                  <c:v>-1.5386349537130017</c:v>
                </c:pt>
                <c:pt idx="58">
                  <c:v>-2.3461457880895327</c:v>
                </c:pt>
                <c:pt idx="59">
                  <c:v>-3.1540148326576878</c:v>
                </c:pt>
                <c:pt idx="60">
                  <c:v>-3.9622348334423139</c:v>
                </c:pt>
                <c:pt idx="61">
                  <c:v>-4.7708106560564723</c:v>
                </c:pt>
                <c:pt idx="62">
                  <c:v>-5.5797594591872448</c:v>
                </c:pt>
                <c:pt idx="63">
                  <c:v>-6.3891112863391983</c:v>
                </c:pt>
                <c:pt idx="64">
                  <c:v>-7.1989100958186345</c:v>
                </c:pt>
                <c:pt idx="65">
                  <c:v>-8.0092152628917681</c:v>
                </c:pt>
                <c:pt idx="66">
                  <c:v>-8.820103602924835</c:v>
                </c:pt>
                <c:pt idx="67">
                  <c:v>-9.6316719804237376</c:v>
                </c:pt>
                <c:pt idx="68">
                  <c:v>-10.444040586529235</c:v>
                </c:pt>
                <c:pt idx="69">
                  <c:v>-11.257356986932802</c:v>
                </c:pt>
                <c:pt idx="70">
                  <c:v>-12.071801063525808</c:v>
                </c:pt>
                <c:pt idx="71">
                  <c:v>-12.887590996411856</c:v>
                </c:pt>
                <c:pt idx="72">
                  <c:v>-13.704990457991361</c:v>
                </c:pt>
                <c:pt idx="73">
                  <c:v>-14.524317217126283</c:v>
                </c:pt>
                <c:pt idx="74">
                  <c:v>-15.345953377823935</c:v>
                </c:pt>
                <c:pt idx="75">
                  <c:v>-16.170357501580128</c:v>
                </c:pt>
                <c:pt idx="76">
                  <c:v>-16.99807888249731</c:v>
                </c:pt>
                <c:pt idx="77">
                  <c:v>-17.829774254969355</c:v>
                </c:pt>
                <c:pt idx="78">
                  <c:v>-18.666227208356375</c:v>
                </c:pt>
                <c:pt idx="79">
                  <c:v>-19.508370552041121</c:v>
                </c:pt>
                <c:pt idx="80">
                  <c:v>-20.357311804278577</c:v>
                </c:pt>
                <c:pt idx="81">
                  <c:v>-21.214361851568611</c:v>
                </c:pt>
                <c:pt idx="82">
                  <c:v>-22.08106661919167</c:v>
                </c:pt>
                <c:pt idx="83">
                  <c:v>-22.959241280425218</c:v>
                </c:pt>
                <c:pt idx="84">
                  <c:v>-23.851006080794459</c:v>
                </c:pt>
                <c:pt idx="85">
                  <c:v>-24.75882223385544</c:v>
                </c:pt>
                <c:pt idx="86">
                  <c:v>-25.685525533759034</c:v>
                </c:pt>
                <c:pt idx="87">
                  <c:v>-26.634354325338471</c:v>
                </c:pt>
                <c:pt idx="88">
                  <c:v>-27.608967313117162</c:v>
                </c:pt>
                <c:pt idx="89">
                  <c:v>-28.613445480945163</c:v>
                </c:pt>
                <c:pt idx="90">
                  <c:v>-29.652271332958414</c:v>
                </c:pt>
                <c:pt idx="91">
                  <c:v>-30.730278069247973</c:v>
                </c:pt>
                <c:pt idx="92">
                  <c:v>-31.85256160395523</c:v>
                </c:pt>
                <c:pt idx="93">
                  <c:v>-33.024350007691481</c:v>
                </c:pt>
                <c:pt idx="94">
                  <c:v>-34.25082843239678</c:v>
                </c:pt>
                <c:pt idx="95">
                  <c:v>-35.536923005442077</c:v>
                </c:pt>
                <c:pt idx="96">
                  <c:v>-36.887054193368137</c:v>
                </c:pt>
                <c:pt idx="97">
                  <c:v>-38.30487766434657</c:v>
                </c:pt>
                <c:pt idx="98">
                  <c:v>-39.793036979764125</c:v>
                </c:pt>
                <c:pt idx="99">
                  <c:v>-41.352955474942391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98032"/>
        <c:axId val="304198592"/>
      </c:scatterChart>
      <c:scatterChart>
        <c:scatterStyle val="lineMarker"/>
        <c:varyColors val="0"/>
        <c:ser>
          <c:idx val="1"/>
          <c:order val="1"/>
          <c:tx>
            <c:strRef>
              <c:f>'Control Loop1'!$F$33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Loop1'!$F$34:$F$133</c:f>
              <c:numCache>
                <c:formatCode>General</c:formatCode>
                <c:ptCount val="100"/>
                <c:pt idx="0">
                  <c:v>-6.8451825472246179</c:v>
                </c:pt>
                <c:pt idx="1">
                  <c:v>-7.5053366815801033</c:v>
                </c:pt>
                <c:pt idx="2">
                  <c:v>-8.2275598307762507</c:v>
                </c:pt>
                <c:pt idx="3">
                  <c:v>-9.0171859278098907</c:v>
                </c:pt>
                <c:pt idx="4">
                  <c:v>-9.8798500599119947</c:v>
                </c:pt>
                <c:pt idx="5">
                  <c:v>-10.821454218580218</c:v>
                </c:pt>
                <c:pt idx="6">
                  <c:v>-11.848112992843335</c:v>
                </c:pt>
                <c:pt idx="7">
                  <c:v>-12.966073839732166</c:v>
                </c:pt>
                <c:pt idx="8">
                  <c:v>-14.181605900883975</c:v>
                </c:pt>
                <c:pt idx="9">
                  <c:v>-15.500850958980637</c:v>
                </c:pt>
                <c:pt idx="10">
                  <c:v>-16.92963030133458</c:v>
                </c:pt>
                <c:pt idx="11">
                  <c:v>-18.473202331395164</c:v>
                </c:pt>
                <c:pt idx="12">
                  <c:v>-20.135968173912808</c:v>
                </c:pt>
                <c:pt idx="13">
                  <c:v>-21.921126718509299</c:v>
                </c:pt>
                <c:pt idx="14">
                  <c:v>-23.83028692321674</c:v>
                </c:pt>
                <c:pt idx="15">
                  <c:v>-25.863053872691978</c:v>
                </c:pt>
                <c:pt idx="16">
                  <c:v>-28.016615650513046</c:v>
                </c:pt>
                <c:pt idx="17">
                  <c:v>-30.285369333466008</c:v>
                </c:pt>
                <c:pt idx="18">
                  <c:v>-32.66063415430493</c:v>
                </c:pt>
                <c:pt idx="19">
                  <c:v>-35.130505024083142</c:v>
                </c:pt>
                <c:pt idx="20">
                  <c:v>-37.679896744078476</c:v>
                </c:pt>
                <c:pt idx="21">
                  <c:v>-40.290815724775307</c:v>
                </c:pt>
                <c:pt idx="22">
                  <c:v>-42.942871391253838</c:v>
                </c:pt>
                <c:pt idx="23">
                  <c:v>-45.614006533961295</c:v>
                </c:pt>
                <c:pt idx="24">
                  <c:v>-48.281390949494075</c:v>
                </c:pt>
                <c:pt idx="25">
                  <c:v>-50.9223941458106</c:v>
                </c:pt>
                <c:pt idx="26">
                  <c:v>-53.515538358484747</c:v>
                </c:pt>
                <c:pt idx="27">
                  <c:v>-56.04133679695537</c:v>
                </c:pt>
                <c:pt idx="28">
                  <c:v>-58.482942847277904</c:v>
                </c:pt>
                <c:pt idx="29">
                  <c:v>-60.826568050558997</c:v>
                </c:pt>
                <c:pt idx="30">
                  <c:v>-63.061661737379417</c:v>
                </c:pt>
                <c:pt idx="31">
                  <c:v>-65.180875432042768</c:v>
                </c:pt>
                <c:pt idx="32">
                  <c:v>-67.179855537076151</c:v>
                </c:pt>
                <c:pt idx="33">
                  <c:v>-69.056916919199452</c:v>
                </c:pt>
                <c:pt idx="34">
                  <c:v>-70.812649339757016</c:v>
                </c:pt>
                <c:pt idx="35">
                  <c:v>-72.449501312369819</c:v>
                </c:pt>
                <c:pt idx="36">
                  <c:v>-73.971375313234475</c:v>
                </c:pt>
                <c:pt idx="37">
                  <c:v>-75.383257086346916</c:v>
                </c:pt>
                <c:pt idx="38">
                  <c:v>-76.690891873813143</c:v>
                </c:pt>
                <c:pt idx="39">
                  <c:v>-77.900512621236288</c:v>
                </c:pt>
                <c:pt idx="40">
                  <c:v>-79.018619724643244</c:v>
                </c:pt>
                <c:pt idx="41">
                  <c:v>-80.051808448231839</c:v>
                </c:pt>
                <c:pt idx="42">
                  <c:v>-81.006638318855806</c:v>
                </c:pt>
                <c:pt idx="43">
                  <c:v>-81.889538133941087</c:v>
                </c:pt>
                <c:pt idx="44">
                  <c:v>-82.706740301236593</c:v>
                </c:pt>
                <c:pt idx="45">
                  <c:v>-83.464238746779188</c:v>
                </c:pt>
                <c:pt idx="46">
                  <c:v>-84.167765357073137</c:v>
                </c:pt>
                <c:pt idx="47">
                  <c:v>-84.822780714786532</c:v>
                </c:pt>
                <c:pt idx="48">
                  <c:v>-85.434475655032429</c:v>
                </c:pt>
                <c:pt idx="49">
                  <c:v>-86.007780863815256</c:v>
                </c:pt>
                <c:pt idx="50">
                  <c:v>-86.547382341156293</c:v>
                </c:pt>
                <c:pt idx="51">
                  <c:v>-87.057741055240271</c:v>
                </c:pt>
                <c:pt idx="52">
                  <c:v>-87.543115526509681</c:v>
                </c:pt>
                <c:pt idx="53">
                  <c:v>-88.007586412410333</c:v>
                </c:pt>
                <c:pt idx="54">
                  <c:v>-88.455082426420162</c:v>
                </c:pt>
                <c:pt idx="55">
                  <c:v>-88.889407130850586</c:v>
                </c:pt>
                <c:pt idx="56">
                  <c:v>-89.314266302387153</c:v>
                </c:pt>
                <c:pt idx="57">
                  <c:v>-89.733295691641175</c:v>
                </c:pt>
                <c:pt idx="58">
                  <c:v>-90.150089090753198</c:v>
                </c:pt>
                <c:pt idx="59">
                  <c:v>-90.568226692467192</c:v>
                </c:pt>
                <c:pt idx="60">
                  <c:v>-90.991303774841981</c:v>
                </c:pt>
                <c:pt idx="61">
                  <c:v>-91.42295978144476</c:v>
                </c:pt>
                <c:pt idx="62">
                  <c:v>-91.866907889952927</c:v>
                </c:pt>
                <c:pt idx="63">
                  <c:v>-92.326965174077628</c:v>
                </c:pt>
                <c:pt idx="64">
                  <c:v>-92.807083465210169</c:v>
                </c:pt>
                <c:pt idx="65">
                  <c:v>-93.311381010888837</c:v>
                </c:pt>
                <c:pt idx="66">
                  <c:v>-93.844175005871847</c:v>
                </c:pt>
                <c:pt idx="67">
                  <c:v>-94.41001503606779</c:v>
                </c:pt>
                <c:pt idx="68">
                  <c:v>-95.013717422455869</c:v>
                </c:pt>
                <c:pt idx="69">
                  <c:v>-95.660400376722194</c:v>
                </c:pt>
                <c:pt idx="70">
                  <c:v>-96.355519776336138</c:v>
                </c:pt>
                <c:pt idx="71">
                  <c:v>-97.104905225976808</c:v>
                </c:pt>
                <c:pt idx="72">
                  <c:v>-97.91479588408329</c:v>
                </c:pt>
                <c:pt idx="73">
                  <c:v>-98.791875284711253</c:v>
                </c:pt>
                <c:pt idx="74">
                  <c:v>-99.743304059696456</c:v>
                </c:pt>
                <c:pt idx="75">
                  <c:v>-100.77674904510216</c:v>
                </c:pt>
                <c:pt idx="76">
                  <c:v>-101.90040671678207</c:v>
                </c:pt>
                <c:pt idx="77">
                  <c:v>-103.12301821817572</c:v>
                </c:pt>
                <c:pt idx="78">
                  <c:v>-104.45387239430555</c:v>
                </c:pt>
                <c:pt idx="79">
                  <c:v>-105.90279220777121</c:v>
                </c:pt>
                <c:pt idx="80">
                  <c:v>-107.48009867316748</c:v>
                </c:pt>
                <c:pt idx="81">
                  <c:v>-109.19654501325662</c:v>
                </c:pt>
                <c:pt idx="82">
                  <c:v>-111.06321215601396</c:v>
                </c:pt>
                <c:pt idx="83">
                  <c:v>-113.09135505642217</c:v>
                </c:pt>
                <c:pt idx="84">
                  <c:v>-115.29218782832895</c:v>
                </c:pt>
                <c:pt idx="85">
                  <c:v>-117.6765946220461</c:v>
                </c:pt>
                <c:pt idx="86">
                  <c:v>-120.25475305870322</c:v>
                </c:pt>
                <c:pt idx="87">
                  <c:v>-123.03565850260777</c:v>
                </c:pt>
                <c:pt idx="88">
                  <c:v>-126.02654138120326</c:v>
                </c:pt>
                <c:pt idx="89">
                  <c:v>-129.23217713867481</c:v>
                </c:pt>
                <c:pt idx="90">
                  <c:v>-132.65410017195003</c:v>
                </c:pt>
                <c:pt idx="91">
                  <c:v>-136.28974979468339</c:v>
                </c:pt>
                <c:pt idx="92">
                  <c:v>-140.13159754792372</c:v>
                </c:pt>
                <c:pt idx="93">
                  <c:v>-144.16632913012245</c:v>
                </c:pt>
                <c:pt idx="94">
                  <c:v>-148.37417687475576</c:v>
                </c:pt>
                <c:pt idx="95">
                  <c:v>-152.72851390878805</c:v>
                </c:pt>
                <c:pt idx="96">
                  <c:v>-157.19582138996969</c:v>
                </c:pt>
                <c:pt idx="97">
                  <c:v>-161.73611879744487</c:v>
                </c:pt>
                <c:pt idx="98">
                  <c:v>-166.30390123010352</c:v>
                </c:pt>
                <c:pt idx="99">
                  <c:v>-170.84956102003761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99712"/>
        <c:axId val="304199152"/>
      </c:scatterChart>
      <c:valAx>
        <c:axId val="304198032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198592"/>
        <c:crossesAt val="-100"/>
        <c:crossBetween val="midCat"/>
      </c:valAx>
      <c:valAx>
        <c:axId val="30419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198032"/>
        <c:crosses val="autoZero"/>
        <c:crossBetween val="midCat"/>
      </c:valAx>
      <c:valAx>
        <c:axId val="30419915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199712"/>
        <c:crosses val="max"/>
        <c:crossBetween val="midCat"/>
        <c:majorUnit val="15"/>
        <c:minorUnit val="5"/>
      </c:valAx>
      <c:valAx>
        <c:axId val="30419971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199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760392381119958"/>
          <c:y val="0.6663392075344281"/>
          <c:w val="0.18643455182627311"/>
          <c:h val="0.1812823754824809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System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62122214397996E-2"/>
          <c:y val="8.1475752664289205E-2"/>
          <c:w val="0.8219155125934462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Loop1'!$G$33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Loop1'!$G$34:$G$133</c:f>
              <c:numCache>
                <c:formatCode>0.000</c:formatCode>
                <c:ptCount val="100"/>
                <c:pt idx="0">
                  <c:v>65.091380588761865</c:v>
                </c:pt>
                <c:pt idx="1">
                  <c:v>64.558889136044996</c:v>
                </c:pt>
                <c:pt idx="2">
                  <c:v>63.990493398310335</c:v>
                </c:pt>
                <c:pt idx="3">
                  <c:v>63.38793688475505</c:v>
                </c:pt>
                <c:pt idx="4">
                  <c:v>62.753142710823298</c:v>
                </c:pt>
                <c:pt idx="5">
                  <c:v>62.088080269537812</c:v>
                </c:pt>
                <c:pt idx="6">
                  <c:v>61.394641651617356</c:v>
                </c:pt>
                <c:pt idx="7">
                  <c:v>60.674534627070706</c:v>
                </c:pt>
                <c:pt idx="8">
                  <c:v>59.929195792336401</c:v>
                </c:pt>
                <c:pt idx="9">
                  <c:v>59.159724915310122</c:v>
                </c:pt>
                <c:pt idx="10">
                  <c:v>58.366839889944366</c:v>
                </c:pt>
                <c:pt idx="11">
                  <c:v>57.550851066758518</c:v>
                </c:pt>
                <c:pt idx="12">
                  <c:v>56.711653881284263</c:v>
                </c:pt>
                <c:pt idx="13">
                  <c:v>55.848739376906508</c:v>
                </c:pt>
                <c:pt idx="14">
                  <c:v>54.961223083867011</c:v>
                </c:pt>
                <c:pt idx="15">
                  <c:v>54.047893432428083</c:v>
                </c:pt>
                <c:pt idx="16">
                  <c:v>53.107281114414533</c:v>
                </c:pt>
                <c:pt idx="17">
                  <c:v>52.137750272553546</c:v>
                </c:pt>
                <c:pt idx="18">
                  <c:v>51.137610898702491</c:v>
                </c:pt>
                <c:pt idx="19">
                  <c:v>50.105249353976092</c:v>
                </c:pt>
                <c:pt idx="20">
                  <c:v>49.03927075956878</c:v>
                </c:pt>
                <c:pt idx="21">
                  <c:v>47.938643746824567</c:v>
                </c:pt>
                <c:pt idx="22">
                  <c:v>46.802835561104544</c:v>
                </c:pt>
                <c:pt idx="23">
                  <c:v>45.631924696730778</c:v>
                </c:pt>
                <c:pt idx="24">
                  <c:v>44.426679729523372</c:v>
                </c:pt>
                <c:pt idx="25">
                  <c:v>43.18859683999132</c:v>
                </c:pt>
                <c:pt idx="26">
                  <c:v>41.919893979798545</c:v>
                </c:pt>
                <c:pt idx="27">
                  <c:v>40.623465448000104</c:v>
                </c:pt>
                <c:pt idx="28">
                  <c:v>39.302805381015943</c:v>
                </c:pt>
                <c:pt idx="29">
                  <c:v>37.961911235795093</c:v>
                </c:pt>
                <c:pt idx="30">
                  <c:v>36.605178358773529</c:v>
                </c:pt>
                <c:pt idx="31">
                  <c:v>35.237294517302075</c:v>
                </c:pt>
                <c:pt idx="32">
                  <c:v>33.863139677490999</c:v>
                </c:pt>
                <c:pt idx="33">
                  <c:v>32.487692384554379</c:v>
                </c:pt>
                <c:pt idx="34">
                  <c:v>31.115940782016605</c:v>
                </c:pt>
                <c:pt idx="35">
                  <c:v>29.752794275641605</c:v>
                </c:pt>
                <c:pt idx="36">
                  <c:v>28.40299147619384</c:v>
                </c:pt>
                <c:pt idx="37">
                  <c:v>27.071001404809238</c:v>
                </c:pt>
                <c:pt idx="38">
                  <c:v>25.760917775221408</c:v>
                </c:pt>
                <c:pt idx="39">
                  <c:v>24.476349925457129</c:v>
                </c:pt>
                <c:pt idx="40">
                  <c:v>23.220317811377257</c:v>
                </c:pt>
                <c:pt idx="41">
                  <c:v>21.995161366386959</c:v>
                </c:pt>
                <c:pt idx="42">
                  <c:v>20.802475504398537</c:v>
                </c:pt>
                <c:pt idx="43">
                  <c:v>19.643080511547602</c:v>
                </c:pt>
                <c:pt idx="44">
                  <c:v>18.517033620959261</c:v>
                </c:pt>
                <c:pt idx="45">
                  <c:v>17.423682022443998</c:v>
                </c:pt>
                <c:pt idx="46">
                  <c:v>16.361751771806105</c:v>
                </c:pt>
                <c:pt idx="47">
                  <c:v>15.329462440066106</c:v>
                </c:pt>
                <c:pt idx="48">
                  <c:v>14.324654868340943</c:v>
                </c:pt>
                <c:pt idx="49">
                  <c:v>13.344919352314331</c:v>
                </c:pt>
                <c:pt idx="50">
                  <c:v>12.387713569553226</c:v>
                </c:pt>
                <c:pt idx="51">
                  <c:v>11.450462759899082</c:v>
                </c:pt>
                <c:pt idx="52">
                  <c:v>10.53063817181199</c:v>
                </c:pt>
                <c:pt idx="53">
                  <c:v>9.6258128849550619</c:v>
                </c:pt>
                <c:pt idx="54">
                  <c:v>8.7336964130157018</c:v>
                </c:pt>
                <c:pt idx="55">
                  <c:v>7.8521508806923936</c:v>
                </c:pt>
                <c:pt idx="56">
                  <c:v>6.9791921623761306</c:v>
                </c:pt>
                <c:pt idx="57">
                  <c:v>6.1129793756736603</c:v>
                </c:pt>
                <c:pt idx="58">
                  <c:v>5.2517957655864418</c:v>
                </c:pt>
                <c:pt idx="59">
                  <c:v>4.3940234872444739</c:v>
                </c:pt>
                <c:pt idx="60">
                  <c:v>3.5381142378446482</c:v>
                </c:pt>
                <c:pt idx="61">
                  <c:v>2.6825571932816628</c:v>
                </c:pt>
                <c:pt idx="62">
                  <c:v>1.8258453243953303</c:v>
                </c:pt>
                <c:pt idx="63">
                  <c:v>0.96644092821981697</c:v>
                </c:pt>
                <c:pt idx="64">
                  <c:v>0.10274112223116028</c:v>
                </c:pt>
                <c:pt idx="65">
                  <c:v>-0.76695588298778805</c:v>
                </c:pt>
                <c:pt idx="66">
                  <c:v>-1.6444826986095897</c:v>
                </c:pt>
                <c:pt idx="67">
                  <c:v>-2.5318314682862555</c:v>
                </c:pt>
                <c:pt idx="68">
                  <c:v>-3.4311775144503223</c:v>
                </c:pt>
                <c:pt idx="69">
                  <c:v>-4.3448955347658771</c:v>
                </c:pt>
                <c:pt idx="70">
                  <c:v>-5.275565475535462</c:v>
                </c:pt>
                <c:pt idx="71">
                  <c:v>-6.2259649022534775</c:v>
                </c:pt>
                <c:pt idx="72">
                  <c:v>-7.1990447562131648</c:v>
                </c:pt>
                <c:pt idx="73">
                  <c:v>-8.1978860547340844</c:v>
                </c:pt>
                <c:pt idx="74">
                  <c:v>-9.2256365649498449</c:v>
                </c:pt>
                <c:pt idx="75">
                  <c:v>-10.285428853932988</c:v>
                </c:pt>
                <c:pt idx="76">
                  <c:v>-11.380284273391364</c:v>
                </c:pt>
                <c:pt idx="77">
                  <c:v>-12.513010953489985</c:v>
                </c:pt>
                <c:pt idx="78">
                  <c:v>-13.686107022060273</c:v>
                </c:pt>
                <c:pt idx="79">
                  <c:v>-14.901682111159438</c:v>
                </c:pt>
                <c:pt idx="80">
                  <c:v>-16.161409929644307</c:v>
                </c:pt>
                <c:pt idx="81">
                  <c:v>-17.466521866027193</c:v>
                </c:pt>
                <c:pt idx="82">
                  <c:v>-18.817846523129031</c:v>
                </c:pt>
                <c:pt idx="83">
                  <c:v>-20.215893748495851</c:v>
                </c:pt>
                <c:pt idx="84">
                  <c:v>-21.660975483353081</c:v>
                </c:pt>
                <c:pt idx="85">
                  <c:v>-23.153350898080419</c:v>
                </c:pt>
                <c:pt idx="86">
                  <c:v>-24.693380586792717</c:v>
                </c:pt>
                <c:pt idx="87">
                  <c:v>-26.281674124053716</c:v>
                </c:pt>
                <c:pt idx="88">
                  <c:v>-27.919216521279765</c:v>
                </c:pt>
                <c:pt idx="89">
                  <c:v>-29.607461277241811</c:v>
                </c:pt>
                <c:pt idx="90">
                  <c:v>-31.348380118602261</c:v>
                </c:pt>
                <c:pt idx="91">
                  <c:v>-33.144461852283492</c:v>
                </c:pt>
                <c:pt idx="92">
                  <c:v>-34.998655115312943</c:v>
                </c:pt>
                <c:pt idx="93">
                  <c:v>-36.914252662377727</c:v>
                </c:pt>
                <c:pt idx="94">
                  <c:v>-38.89471874129859</c:v>
                </c:pt>
                <c:pt idx="95">
                  <c:v>-40.943466439241817</c:v>
                </c:pt>
                <c:pt idx="96">
                  <c:v>-43.063598485902773</c:v>
                </c:pt>
                <c:pt idx="97">
                  <c:v>-45.257631978511398</c:v>
                </c:pt>
                <c:pt idx="98">
                  <c:v>-47.527233225121265</c:v>
                </c:pt>
                <c:pt idx="99">
                  <c:v>-49.872991413799561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203072"/>
        <c:axId val="304203632"/>
      </c:scatterChart>
      <c:scatterChart>
        <c:scatterStyle val="lineMarker"/>
        <c:varyColors val="0"/>
        <c:ser>
          <c:idx val="1"/>
          <c:order val="1"/>
          <c:tx>
            <c:strRef>
              <c:f>'Control Loop1'!$H$33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Loop1'!$B$34:$B$133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Loop1'!$H$34:$H$133</c:f>
              <c:numCache>
                <c:formatCode>0.000</c:formatCode>
                <c:ptCount val="100"/>
                <c:pt idx="0">
                  <c:v>122.2283470565763</c:v>
                </c:pt>
                <c:pt idx="1">
                  <c:v>119.12946300243954</c:v>
                </c:pt>
                <c:pt idx="2">
                  <c:v>116.05650526714618</c:v>
                </c:pt>
                <c:pt idx="3">
                  <c:v>113.0207011950463</c:v>
                </c:pt>
                <c:pt idx="4">
                  <c:v>110.02991504164453</c:v>
                </c:pt>
                <c:pt idx="5">
                  <c:v>107.08862275880306</c:v>
                </c:pt>
                <c:pt idx="6">
                  <c:v>104.19810355245431</c:v>
                </c:pt>
                <c:pt idx="7">
                  <c:v>101.35680429060986</c:v>
                </c:pt>
                <c:pt idx="8">
                  <c:v>98.56082948857258</c:v>
                </c:pt>
                <c:pt idx="9">
                  <c:v>95.804514335156298</c:v>
                </c:pt>
                <c:pt idx="10">
                  <c:v>93.081047399856388</c:v>
                </c:pt>
                <c:pt idx="11">
                  <c:v>90.383119760737003</c:v>
                </c:pt>
                <c:pt idx="12">
                  <c:v>87.703585570769746</c:v>
                </c:pt>
                <c:pt idx="13">
                  <c:v>85.036123752420991</c:v>
                </c:pt>
                <c:pt idx="14">
                  <c:v>82.375890702692288</c:v>
                </c:pt>
                <c:pt idx="15">
                  <c:v>79.720149550618956</c:v>
                </c:pt>
                <c:pt idx="16">
                  <c:v>77.068853397733633</c:v>
                </c:pt>
                <c:pt idx="17">
                  <c:v>74.425149748534594</c:v>
                </c:pt>
                <c:pt idx="18">
                  <c:v>71.795763624939426</c:v>
                </c:pt>
                <c:pt idx="19">
                  <c:v>69.191211090196333</c:v>
                </c:pt>
                <c:pt idx="20">
                  <c:v>66.625796753060683</c:v>
                </c:pt>
                <c:pt idx="21">
                  <c:v>64.117361101682206</c:v>
                </c:pt>
                <c:pt idx="22">
                  <c:v>61.686766811380657</c:v>
                </c:pt>
                <c:pt idx="23">
                  <c:v>59.357144703866901</c:v>
                </c:pt>
                <c:pt idx="24">
                  <c:v>57.152953564220773</c:v>
                </c:pt>
                <c:pt idx="25">
                  <c:v>55.098935253777853</c:v>
                </c:pt>
                <c:pt idx="26">
                  <c:v>53.219059861933502</c:v>
                </c:pt>
                <c:pt idx="27">
                  <c:v>51.535550972660495</c:v>
                </c:pt>
                <c:pt idx="28">
                  <c:v>50.068059726434264</c:v>
                </c:pt>
                <c:pt idx="29">
                  <c:v>48.833024349422111</c:v>
                </c:pt>
                <c:pt idx="30">
                  <c:v>47.843217872627186</c:v>
                </c:pt>
                <c:pt idx="31">
                  <c:v>47.107459102954337</c:v>
                </c:pt>
                <c:pt idx="32">
                  <c:v>46.630445994842773</c:v>
                </c:pt>
                <c:pt idx="33">
                  <c:v>46.412668197028481</c:v>
                </c:pt>
                <c:pt idx="34">
                  <c:v>46.450365252282722</c:v>
                </c:pt>
                <c:pt idx="35">
                  <c:v>46.735515060276285</c:v>
                </c:pt>
                <c:pt idx="36">
                  <c:v>47.255858999784522</c:v>
                </c:pt>
                <c:pt idx="37">
                  <c:v>47.994990389956087</c:v>
                </c:pt>
                <c:pt idx="38">
                  <c:v>48.932546746161975</c:v>
                </c:pt>
                <c:pt idx="39">
                  <c:v>50.044549326440531</c:v>
                </c:pt>
                <c:pt idx="40">
                  <c:v>51.303923260739751</c:v>
                </c:pt>
                <c:pt idx="41">
                  <c:v>52.6812084453708</c:v>
                </c:pt>
                <c:pt idx="42">
                  <c:v>54.145439332369392</c:v>
                </c:pt>
                <c:pt idx="43">
                  <c:v>55.665138040909326</c:v>
                </c:pt>
                <c:pt idx="44">
                  <c:v>57.209338718095282</c:v>
                </c:pt>
                <c:pt idx="45">
                  <c:v>58.748549325278901</c:v>
                </c:pt>
                <c:pt idx="46">
                  <c:v>60.255563485334903</c:v>
                </c:pt>
                <c:pt idx="47">
                  <c:v>61.706057769223904</c:v>
                </c:pt>
                <c:pt idx="48">
                  <c:v>63.078942379364577</c:v>
                </c:pt>
                <c:pt idx="49">
                  <c:v>64.356467210105833</c:v>
                </c:pt>
                <c:pt idx="50">
                  <c:v>65.524113354714643</c:v>
                </c:pt>
                <c:pt idx="51">
                  <c:v>66.570317947680607</c:v>
                </c:pt>
                <c:pt idx="52">
                  <c:v>67.486086971045651</c:v>
                </c:pt>
                <c:pt idx="53">
                  <c:v>68.264548224063972</c:v>
                </c:pt>
                <c:pt idx="54">
                  <c:v>68.900488305058516</c:v>
                </c:pt>
                <c:pt idx="55">
                  <c:v>69.389906500447196</c:v>
                </c:pt>
                <c:pt idx="56">
                  <c:v>69.729607517447562</c:v>
                </c:pt>
                <c:pt idx="57">
                  <c:v>69.916845643701819</c:v>
                </c:pt>
                <c:pt idx="58">
                  <c:v>69.94902588047475</c:v>
                </c:pt>
                <c:pt idx="59">
                  <c:v>69.82346294572082</c:v>
                </c:pt>
                <c:pt idx="60">
                  <c:v>69.537196480611357</c:v>
                </c:pt>
                <c:pt idx="61">
                  <c:v>69.086859865460625</c:v>
                </c:pt>
                <c:pt idx="62">
                  <c:v>68.468600285052077</c:v>
                </c:pt>
                <c:pt idx="63">
                  <c:v>67.678048646927977</c:v>
                </c:pt>
                <c:pt idx="64">
                  <c:v>66.710339269286592</c:v>
                </c:pt>
                <c:pt idx="65">
                  <c:v>65.560180570769759</c:v>
                </c:pt>
                <c:pt idx="66">
                  <c:v>64.221978965649043</c:v>
                </c:pt>
                <c:pt idx="67">
                  <c:v>62.690018415457985</c:v>
                </c:pt>
                <c:pt idx="68">
                  <c:v>60.958697182059296</c:v>
                </c:pt>
                <c:pt idx="69">
                  <c:v>59.022820800473127</c:v>
                </c:pt>
                <c:pt idx="70">
                  <c:v>56.877945703564933</c:v>
                </c:pt>
                <c:pt idx="71">
                  <c:v>54.520761011427737</c:v>
                </c:pt>
                <c:pt idx="72">
                  <c:v>51.949486856520238</c:v>
                </c:pt>
                <c:pt idx="73">
                  <c:v>49.164257021409909</c:v>
                </c:pt>
                <c:pt idx="74">
                  <c:v>46.167443301875792</c:v>
                </c:pt>
                <c:pt idx="75">
                  <c:v>42.963871547263992</c:v>
                </c:pt>
                <c:pt idx="76">
                  <c:v>39.560878143071733</c:v>
                </c:pt>
                <c:pt idx="77">
                  <c:v>35.968164040286936</c:v>
                </c:pt>
                <c:pt idx="78">
                  <c:v>32.197423147077799</c:v>
                </c:pt>
                <c:pt idx="79">
                  <c:v>28.261752040329995</c:v>
                </c:pt>
                <c:pt idx="80">
                  <c:v>24.17488403009844</c:v>
                </c:pt>
                <c:pt idx="81">
                  <c:v>19.950325107351418</c:v>
                </c:pt>
                <c:pt idx="82">
                  <c:v>15.600493762657692</c:v>
                </c:pt>
                <c:pt idx="83">
                  <c:v>11.135974608676847</c:v>
                </c:pt>
                <c:pt idx="84">
                  <c:v>6.5649851623639819</c:v>
                </c:pt>
                <c:pt idx="85">
                  <c:v>1.8931292060692186</c:v>
                </c:pt>
                <c:pt idx="86">
                  <c:v>-2.8765242664465234</c:v>
                </c:pt>
                <c:pt idx="87">
                  <c:v>-7.743032640954155</c:v>
                </c:pt>
                <c:pt idx="88">
                  <c:v>-12.706867936303979</c:v>
                </c:pt>
                <c:pt idx="89">
                  <c:v>-17.768950357822575</c:v>
                </c:pt>
                <c:pt idx="90">
                  <c:v>-22.929491801933807</c:v>
                </c:pt>
                <c:pt idx="91">
                  <c:v>-28.18672645214852</c:v>
                </c:pt>
                <c:pt idx="92">
                  <c:v>-33.535617592751237</c:v>
                </c:pt>
                <c:pt idx="93">
                  <c:v>-38.966642532155703</c:v>
                </c:pt>
                <c:pt idx="94">
                  <c:v>-44.464769428906322</c:v>
                </c:pt>
                <c:pt idx="95">
                  <c:v>-50.008746038367022</c:v>
                </c:pt>
                <c:pt idx="96">
                  <c:v>-55.57081396025491</c:v>
                </c:pt>
                <c:pt idx="97">
                  <c:v>-61.116936056999293</c:v>
                </c:pt>
                <c:pt idx="98">
                  <c:v>-66.607576062944631</c:v>
                </c:pt>
                <c:pt idx="99">
                  <c:v>-71.999001524460567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204752"/>
        <c:axId val="304204192"/>
      </c:scatterChart>
      <c:valAx>
        <c:axId val="304203072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203632"/>
        <c:crossesAt val="-100"/>
        <c:crossBetween val="midCat"/>
      </c:valAx>
      <c:valAx>
        <c:axId val="30420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203072"/>
        <c:crosses val="autoZero"/>
        <c:crossBetween val="midCat"/>
      </c:valAx>
      <c:valAx>
        <c:axId val="30420419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204752"/>
        <c:crosses val="max"/>
        <c:crossBetween val="midCat"/>
        <c:majorUnit val="15"/>
        <c:minorUnit val="5"/>
      </c:valAx>
      <c:valAx>
        <c:axId val="304204752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204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56860171890278"/>
          <c:y val="0.79666504778975944"/>
          <c:w val="0.22610184900071845"/>
          <c:h val="5.387840741191708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Error Amp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62122214397996E-2"/>
          <c:y val="8.1475752664289205E-2"/>
          <c:w val="0.8219155125934462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Loop2'!$C$33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Loop2'!$C$34:$C$133</c:f>
              <c:numCache>
                <c:formatCode>0.00</c:formatCode>
                <c:ptCount val="100"/>
                <c:pt idx="0">
                  <c:v>43.272052393133393</c:v>
                </c:pt>
                <c:pt idx="1">
                  <c:v>42.753845888181004</c:v>
                </c:pt>
                <c:pt idx="2">
                  <c:v>42.202073244619655</c:v>
                </c:pt>
                <c:pt idx="3">
                  <c:v>41.618939886304872</c:v>
                </c:pt>
                <c:pt idx="4">
                  <c:v>41.006927283940009</c:v>
                </c:pt>
                <c:pt idx="5">
                  <c:v>40.368673623513196</c:v>
                </c:pt>
                <c:pt idx="6">
                  <c:v>39.706865096995216</c:v>
                </c:pt>
                <c:pt idx="7">
                  <c:v>39.024144529502266</c:v>
                </c:pt>
                <c:pt idx="8">
                  <c:v>38.323040585142429</c:v>
                </c:pt>
                <c:pt idx="9">
                  <c:v>37.605917845088221</c:v>
                </c:pt>
                <c:pt idx="10">
                  <c:v>36.874945951205831</c:v>
                </c:pt>
                <c:pt idx="11">
                  <c:v>36.132084800333743</c:v>
                </c:pt>
                <c:pt idx="12">
                  <c:v>35.379082319920087</c:v>
                </c:pt>
                <c:pt idx="13">
                  <c:v>34.617481439504218</c:v>
                </c:pt>
                <c:pt idx="14">
                  <c:v>33.848633277904526</c:v>
                </c:pt>
                <c:pt idx="15">
                  <c:v>33.073714117052013</c:v>
                </c:pt>
                <c:pt idx="16">
                  <c:v>32.293744308154132</c:v>
                </c:pt>
                <c:pt idx="17">
                  <c:v>31.509607781988311</c:v>
                </c:pt>
                <c:pt idx="18">
                  <c:v>30.722071278458735</c:v>
                </c:pt>
                <c:pt idx="19">
                  <c:v>29.93180276233673</c:v>
                </c:pt>
                <c:pt idx="20">
                  <c:v>29.139388758239022</c:v>
                </c:pt>
                <c:pt idx="21">
                  <c:v>28.345350531215768</c:v>
                </c:pt>
                <c:pt idx="22">
                  <c:v>27.550159174628863</c:v>
                </c:pt>
                <c:pt idx="23">
                  <c:v>26.754249758335263</c:v>
                </c:pt>
                <c:pt idx="24">
                  <c:v>25.958034749411361</c:v>
                </c:pt>
                <c:pt idx="25">
                  <c:v>25.16191695401583</c:v>
                </c:pt>
                <c:pt idx="26">
                  <c:v>24.366302249078803</c:v>
                </c:pt>
                <c:pt idx="27">
                  <c:v>23.571612380395372</c:v>
                </c:pt>
                <c:pt idx="28">
                  <c:v>22.778298101129298</c:v>
                </c:pt>
                <c:pt idx="29">
                  <c:v>21.986852911103956</c:v>
                </c:pt>
                <c:pt idx="30">
                  <c:v>21.197827629759761</c:v>
                </c:pt>
                <c:pt idx="31">
                  <c:v>20.411845988954035</c:v>
                </c:pt>
                <c:pt idx="32">
                  <c:v>19.629621358019026</c:v>
                </c:pt>
                <c:pt idx="33">
                  <c:v>18.851974602097695</c:v>
                </c:pt>
                <c:pt idx="34">
                  <c:v>18.079852912725205</c:v>
                </c:pt>
                <c:pt idx="35">
                  <c:v>17.314349222238338</c:v>
                </c:pt>
                <c:pt idx="36">
                  <c:v>16.556721506583369</c:v>
                </c:pt>
                <c:pt idx="37">
                  <c:v>15.808410884210303</c:v>
                </c:pt>
                <c:pt idx="38">
                  <c:v>15.071056932122499</c:v>
                </c:pt>
                <c:pt idx="39">
                  <c:v>14.346508083469891</c:v>
                </c:pt>
                <c:pt idx="40">
                  <c:v>13.636824395522599</c:v>
                </c:pt>
                <c:pt idx="41">
                  <c:v>12.944269477907209</c:v>
                </c:pt>
                <c:pt idx="42">
                  <c:v>12.271288097321483</c:v>
                </c:pt>
                <c:pt idx="43">
                  <c:v>11.620466125516163</c:v>
                </c:pt>
                <c:pt idx="44">
                  <c:v>10.994470295584568</c:v>
                </c:pt>
                <c:pt idx="45">
                  <c:v>10.395966866887477</c:v>
                </c:pt>
                <c:pt idx="46">
                  <c:v>9.8275208342022182</c:v>
                </c:pt>
                <c:pt idx="47">
                  <c:v>9.2914805806850662</c:v>
                </c:pt>
                <c:pt idx="48">
                  <c:v>8.7898563831937384</c:v>
                </c:pt>
                <c:pt idx="49">
                  <c:v>8.3242041509546763</c:v>
                </c:pt>
                <c:pt idx="50">
                  <c:v>7.8955272949686446</c:v>
                </c:pt>
                <c:pt idx="51">
                  <c:v>7.5042089267706915</c:v>
                </c:pt>
                <c:pt idx="52">
                  <c:v>7.1499834118942704</c:v>
                </c:pt>
                <c:pt idx="53">
                  <c:v>6.8319511112883937</c:v>
                </c:pt>
                <c:pt idx="54">
                  <c:v>6.548634047811877</c:v>
                </c:pt>
                <c:pt idx="55">
                  <c:v>6.2980646617322913</c:v>
                </c:pt>
                <c:pt idx="56">
                  <c:v>6.0778960136262228</c:v>
                </c:pt>
                <c:pt idx="57">
                  <c:v>5.8855204101193461</c:v>
                </c:pt>
                <c:pt idx="58">
                  <c:v>5.7181843919728506</c:v>
                </c:pt>
                <c:pt idx="59">
                  <c:v>5.5730906810657102</c:v>
                </c:pt>
                <c:pt idx="60">
                  <c:v>5.4474811235870177</c:v>
                </c:pt>
                <c:pt idx="61">
                  <c:v>5.338698049908265</c:v>
                </c:pt>
                <c:pt idx="62">
                  <c:v>5.244224225799238</c:v>
                </c:pt>
                <c:pt idx="63">
                  <c:v>5.1617034444269034</c:v>
                </c:pt>
                <c:pt idx="64">
                  <c:v>5.0889448151869532</c:v>
                </c:pt>
                <c:pt idx="65">
                  <c:v>5.023914111747521</c:v>
                </c:pt>
                <c:pt idx="66">
                  <c:v>4.9647153731473468</c:v>
                </c:pt>
                <c:pt idx="67">
                  <c:v>4.9095655233293742</c:v>
                </c:pt>
                <c:pt idx="68">
                  <c:v>4.8567642570357634</c:v>
                </c:pt>
                <c:pt idx="69">
                  <c:v>4.80466095270328</c:v>
                </c:pt>
                <c:pt idx="70">
                  <c:v>4.7516199900253122</c:v>
                </c:pt>
                <c:pt idx="71">
                  <c:v>4.6959856123484842</c:v>
                </c:pt>
                <c:pt idx="72">
                  <c:v>4.6360474014202904</c:v>
                </c:pt>
                <c:pt idx="73">
                  <c:v>4.5700075292984872</c:v>
                </c:pt>
                <c:pt idx="74">
                  <c:v>4.4959512125648811</c:v>
                </c:pt>
                <c:pt idx="75">
                  <c:v>4.4118221953704158</c:v>
                </c:pt>
                <c:pt idx="76">
                  <c:v>4.3154055850674613</c:v>
                </c:pt>
                <c:pt idx="77">
                  <c:v>4.2043208772531759</c:v>
                </c:pt>
                <c:pt idx="78">
                  <c:v>4.0760284094134285</c:v>
                </c:pt>
                <c:pt idx="79">
                  <c:v>3.9278525957128658</c:v>
                </c:pt>
                <c:pt idx="80">
                  <c:v>3.7570249004869662</c:v>
                </c:pt>
                <c:pt idx="81">
                  <c:v>3.5607483825517301</c:v>
                </c:pt>
                <c:pt idx="82">
                  <c:v>3.3362836347985736</c:v>
                </c:pt>
                <c:pt idx="83">
                  <c:v>3.0810530744905904</c:v>
                </c:pt>
                <c:pt idx="84">
                  <c:v>2.7927571047382029</c:v>
                </c:pt>
                <c:pt idx="85">
                  <c:v>2.4694922841216798</c:v>
                </c:pt>
                <c:pt idx="86">
                  <c:v>2.1098591768164257</c:v>
                </c:pt>
                <c:pt idx="87">
                  <c:v>1.7130469037573062</c:v>
                </c:pt>
                <c:pt idx="88">
                  <c:v>1.2788831639501275</c:v>
                </c:pt>
                <c:pt idx="89">
                  <c:v>0.80784261623194098</c:v>
                </c:pt>
                <c:pt idx="90">
                  <c:v>0.30101224836528778</c:v>
                </c:pt>
                <c:pt idx="91">
                  <c:v>-0.23998158907056144</c:v>
                </c:pt>
                <c:pt idx="92">
                  <c:v>-0.8130748531112485</c:v>
                </c:pt>
                <c:pt idx="93">
                  <c:v>-1.4158837302059841</c:v>
                </c:pt>
                <c:pt idx="94">
                  <c:v>-2.0458260130277042</c:v>
                </c:pt>
                <c:pt idx="95">
                  <c:v>-2.7002349206315159</c:v>
                </c:pt>
                <c:pt idx="96">
                  <c:v>-3.3764574587257803</c:v>
                </c:pt>
                <c:pt idx="97">
                  <c:v>-4.0719329337370702</c:v>
                </c:pt>
                <c:pt idx="98">
                  <c:v>-4.7842504155617611</c:v>
                </c:pt>
                <c:pt idx="99">
                  <c:v>-5.5111863533181946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37760"/>
        <c:axId val="303038320"/>
      </c:scatterChart>
      <c:scatterChart>
        <c:scatterStyle val="lineMarker"/>
        <c:varyColors val="0"/>
        <c:ser>
          <c:idx val="1"/>
          <c:order val="1"/>
          <c:tx>
            <c:strRef>
              <c:f>'Control Loop2'!$D$33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Loop2'!$D$34:$D$133</c:f>
              <c:numCache>
                <c:formatCode>0.00</c:formatCode>
                <c:ptCount val="100"/>
                <c:pt idx="0">
                  <c:v>128.59020595126353</c:v>
                </c:pt>
                <c:pt idx="1">
                  <c:v>126.08556253690257</c:v>
                </c:pt>
                <c:pt idx="2">
                  <c:v>123.66188255525508</c:v>
                </c:pt>
                <c:pt idx="3">
                  <c:v>121.3353226286419</c:v>
                </c:pt>
                <c:pt idx="4">
                  <c:v>119.11893269649646</c:v>
                </c:pt>
                <c:pt idx="5">
                  <c:v>117.0225786801585</c:v>
                </c:pt>
                <c:pt idx="6">
                  <c:v>115.05306404269388</c:v>
                </c:pt>
                <c:pt idx="7">
                  <c:v>113.21440151599273</c:v>
                </c:pt>
                <c:pt idx="8">
                  <c:v>111.5081816774245</c:v>
                </c:pt>
                <c:pt idx="9">
                  <c:v>109.93398903492678</c:v>
                </c:pt>
                <c:pt idx="10">
                  <c:v>108.48982545267754</c:v>
                </c:pt>
                <c:pt idx="11">
                  <c:v>107.17251192093498</c:v>
                </c:pt>
                <c:pt idx="12">
                  <c:v>105.97805047403304</c:v>
                </c:pt>
                <c:pt idx="13">
                  <c:v>104.90193711567018</c:v>
                </c:pt>
                <c:pt idx="14">
                  <c:v>103.93942339306693</c:v>
                </c:pt>
                <c:pt idx="15">
                  <c:v>103.08572881714565</c:v>
                </c:pt>
                <c:pt idx="16">
                  <c:v>102.33620900649562</c:v>
                </c:pt>
                <c:pt idx="17">
                  <c:v>101.68648569603093</c:v>
                </c:pt>
                <c:pt idx="18">
                  <c:v>101.13254503754116</c:v>
                </c:pt>
                <c:pt idx="19">
                  <c:v>100.67081029372312</c:v>
                </c:pt>
                <c:pt idx="20">
                  <c:v>100.29819436216995</c:v>
                </c:pt>
                <c:pt idx="21">
                  <c:v>100.01213674755756</c:v>
                </c:pt>
                <c:pt idx="22">
                  <c:v>99.810628745192616</c:v>
                </c:pt>
                <c:pt idx="23">
                  <c:v>99.692229771376347</c:v>
                </c:pt>
                <c:pt idx="24">
                  <c:v>99.656077003582169</c:v>
                </c:pt>
                <c:pt idx="25">
                  <c:v>99.70188978031706</c:v>
                </c:pt>
                <c:pt idx="26">
                  <c:v>99.829969546008485</c:v>
                </c:pt>
                <c:pt idx="27">
                  <c:v>100.04119549114571</c:v>
                </c:pt>
                <c:pt idx="28">
                  <c:v>100.33701540889354</c:v>
                </c:pt>
                <c:pt idx="29">
                  <c:v>100.71943064242004</c:v>
                </c:pt>
                <c:pt idx="30">
                  <c:v>101.19097331047035</c:v>
                </c:pt>
                <c:pt idx="31">
                  <c:v>101.75467325660273</c:v>
                </c:pt>
                <c:pt idx="32">
                  <c:v>102.41401136554765</c:v>
                </c:pt>
                <c:pt idx="33">
                  <c:v>103.17285504276521</c:v>
                </c:pt>
                <c:pt idx="34">
                  <c:v>104.03537080435675</c:v>
                </c:pt>
                <c:pt idx="35">
                  <c:v>105.00590816158811</c:v>
                </c:pt>
                <c:pt idx="36">
                  <c:v>106.0888484557543</c:v>
                </c:pt>
                <c:pt idx="37">
                  <c:v>107.28841223183592</c:v>
                </c:pt>
                <c:pt idx="38">
                  <c:v>108.60841945133883</c:v>
                </c:pt>
                <c:pt idx="39">
                  <c:v>110.05199874211519</c:v>
                </c:pt>
                <c:pt idx="40">
                  <c:v>111.6212454255061</c:v>
                </c:pt>
                <c:pt idx="41">
                  <c:v>113.31683367465226</c:v>
                </c:pt>
                <c:pt idx="42">
                  <c:v>115.13759607416939</c:v>
                </c:pt>
                <c:pt idx="43">
                  <c:v>117.08009387165903</c:v>
                </c:pt>
                <c:pt idx="44">
                  <c:v>119.13821242386778</c:v>
                </c:pt>
                <c:pt idx="45">
                  <c:v>121.30282688711425</c:v>
                </c:pt>
                <c:pt idx="46">
                  <c:v>123.56159025957194</c:v>
                </c:pt>
                <c:pt idx="47">
                  <c:v>125.89889605318143</c:v>
                </c:pt>
                <c:pt idx="48">
                  <c:v>128.29605810480945</c:v>
                </c:pt>
                <c:pt idx="49">
                  <c:v>130.73172897581603</c:v>
                </c:pt>
                <c:pt idx="50">
                  <c:v>133.18254769352941</c:v>
                </c:pt>
                <c:pt idx="51">
                  <c:v>135.62397247241412</c:v>
                </c:pt>
                <c:pt idx="52">
                  <c:v>138.0312224217887</c:v>
                </c:pt>
                <c:pt idx="53">
                  <c:v>140.38023235511054</c:v>
                </c:pt>
                <c:pt idx="54">
                  <c:v>142.64852227828212</c:v>
                </c:pt>
                <c:pt idx="55">
                  <c:v>144.81589869367443</c:v>
                </c:pt>
                <c:pt idx="56">
                  <c:v>146.8649340784977</c:v>
                </c:pt>
                <c:pt idx="57">
                  <c:v>148.78120595991112</c:v>
                </c:pt>
                <c:pt idx="58">
                  <c:v>150.55330963686433</c:v>
                </c:pt>
                <c:pt idx="59">
                  <c:v>152.17268268990884</c:v>
                </c:pt>
                <c:pt idx="60">
                  <c:v>153.63329235419246</c:v>
                </c:pt>
                <c:pt idx="61">
                  <c:v>154.93123925784977</c:v>
                </c:pt>
                <c:pt idx="62">
                  <c:v>156.06432568706737</c:v>
                </c:pt>
                <c:pt idx="63">
                  <c:v>157.03162685835318</c:v>
                </c:pt>
                <c:pt idx="64">
                  <c:v>157.8330927103525</c:v>
                </c:pt>
                <c:pt idx="65">
                  <c:v>158.46919761745409</c:v>
                </c:pt>
                <c:pt idx="66">
                  <c:v>158.94064733952209</c:v>
                </c:pt>
                <c:pt idx="67">
                  <c:v>159.24814683038073</c:v>
                </c:pt>
                <c:pt idx="68">
                  <c:v>159.39222909307938</c:v>
                </c:pt>
                <c:pt idx="69">
                  <c:v>159.37314368909659</c:v>
                </c:pt>
                <c:pt idx="70">
                  <c:v>159.19080328645776</c:v>
                </c:pt>
                <c:pt idx="71">
                  <c:v>158.84478727489125</c:v>
                </c:pt>
                <c:pt idx="72">
                  <c:v>158.33440252398185</c:v>
                </c:pt>
                <c:pt idx="73">
                  <c:v>157.65880237652721</c:v>
                </c:pt>
                <c:pt idx="74">
                  <c:v>156.81716551555172</c:v>
                </c:pt>
                <c:pt idx="75">
                  <c:v>155.80893595412221</c:v>
                </c:pt>
                <c:pt idx="76">
                  <c:v>154.63412357542504</c:v>
                </c:pt>
                <c:pt idx="77">
                  <c:v>153.2936609073171</c:v>
                </c:pt>
                <c:pt idx="78">
                  <c:v>151.78980577314456</c:v>
                </c:pt>
                <c:pt idx="79">
                  <c:v>150.1265710378778</c:v>
                </c:pt>
                <c:pt idx="80">
                  <c:v>148.31015233801318</c:v>
                </c:pt>
                <c:pt idx="81">
                  <c:v>146.34931374475465</c:v>
                </c:pt>
                <c:pt idx="82">
                  <c:v>144.25568205419538</c:v>
                </c:pt>
                <c:pt idx="83">
                  <c:v>142.04389597870804</c:v>
                </c:pt>
                <c:pt idx="84">
                  <c:v>139.731560336218</c:v>
                </c:pt>
                <c:pt idx="85">
                  <c:v>137.33896992244777</c:v>
                </c:pt>
                <c:pt idx="86">
                  <c:v>134.88859333740069</c:v>
                </c:pt>
                <c:pt idx="87">
                  <c:v>132.40434047310862</c:v>
                </c:pt>
                <c:pt idx="88">
                  <c:v>129.91067211781424</c:v>
                </c:pt>
                <c:pt idx="89">
                  <c:v>127.43163779472164</c:v>
                </c:pt>
                <c:pt idx="90">
                  <c:v>124.98994103362605</c:v>
                </c:pt>
                <c:pt idx="91">
                  <c:v>122.60612602471355</c:v>
                </c:pt>
                <c:pt idx="92">
                  <c:v>120.2979575520453</c:v>
                </c:pt>
                <c:pt idx="93">
                  <c:v>118.08003342340189</c:v>
                </c:pt>
                <c:pt idx="94">
                  <c:v>115.96363369167278</c:v>
                </c:pt>
                <c:pt idx="95">
                  <c:v>113.95678142886091</c:v>
                </c:pt>
                <c:pt idx="96">
                  <c:v>112.06447037875925</c:v>
                </c:pt>
                <c:pt idx="97">
                  <c:v>110.28900663513424</c:v>
                </c:pt>
                <c:pt idx="98">
                  <c:v>108.63041287724694</c:v>
                </c:pt>
                <c:pt idx="99">
                  <c:v>107.08685146525221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39440"/>
        <c:axId val="303038880"/>
      </c:scatterChart>
      <c:valAx>
        <c:axId val="303037760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038320"/>
        <c:crossesAt val="-100"/>
        <c:crossBetween val="midCat"/>
      </c:valAx>
      <c:valAx>
        <c:axId val="30303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037760"/>
        <c:crosses val="autoZero"/>
        <c:crossBetween val="midCat"/>
      </c:valAx>
      <c:valAx>
        <c:axId val="303038880"/>
        <c:scaling>
          <c:orientation val="minMax"/>
          <c:max val="19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3039440"/>
        <c:crosses val="max"/>
        <c:crossBetween val="midCat"/>
        <c:majorUnit val="15"/>
        <c:minorUnit val="5"/>
      </c:valAx>
      <c:valAx>
        <c:axId val="30303944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038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7229829193551942E-2"/>
          <c:y val="0.78791418180954587"/>
          <c:w val="0.19553627902774012"/>
          <c:h val="7.5925304524448026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System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62122214397996E-2"/>
          <c:y val="8.1475752664289205E-2"/>
          <c:w val="0.8219155125934462"/>
          <c:h val="0.80254431404185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Loop2'!$G$33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Loop2'!$G$34:$G$133</c:f>
              <c:numCache>
                <c:formatCode>0.000</c:formatCode>
                <c:ptCount val="100"/>
                <c:pt idx="0">
                  <c:v>63.011089070292655</c:v>
                </c:pt>
                <c:pt idx="1">
                  <c:v>62.491356091223608</c:v>
                </c:pt>
                <c:pt idx="2">
                  <c:v>61.93774551623585</c:v>
                </c:pt>
                <c:pt idx="3">
                  <c:v>61.352399395191576</c:v>
                </c:pt>
                <c:pt idx="4">
                  <c:v>60.737723008259508</c:v>
                </c:pt>
                <c:pt idx="5">
                  <c:v>60.09626297760213</c:v>
                </c:pt>
                <c:pt idx="6">
                  <c:v>59.430595507074152</c:v>
                </c:pt>
                <c:pt idx="7">
                  <c:v>58.743231375692304</c:v>
                </c:pt>
                <c:pt idx="8">
                  <c:v>58.036540826060339</c:v>
                </c:pt>
                <c:pt idx="9">
                  <c:v>57.312698527425937</c:v>
                </c:pt>
                <c:pt idx="10">
                  <c:v>56.57364668066041</c:v>
                </c:pt>
                <c:pt idx="11">
                  <c:v>55.821073114133419</c:v>
                </c:pt>
                <c:pt idx="12">
                  <c:v>55.056400759276926</c:v>
                </c:pt>
                <c:pt idx="13">
                  <c:v>54.280784980122178</c:v>
                </c:pt>
                <c:pt idx="14">
                  <c:v>53.495115650289932</c:v>
                </c:pt>
                <c:pt idx="15">
                  <c:v>52.700021454257275</c:v>
                </c:pt>
                <c:pt idx="16">
                  <c:v>51.895874523633211</c:v>
                </c:pt>
                <c:pt idx="17">
                  <c:v>51.082794142155763</c:v>
                </c:pt>
                <c:pt idx="18">
                  <c:v>50.260648844113263</c:v>
                </c:pt>
                <c:pt idx="19">
                  <c:v>49.42905679578179</c:v>
                </c:pt>
                <c:pt idx="20">
                  <c:v>48.587384908567586</c:v>
                </c:pt>
                <c:pt idx="21">
                  <c:v>47.734747709263161</c:v>
                </c:pt>
                <c:pt idx="22">
                  <c:v>46.870007602710459</c:v>
                </c:pt>
                <c:pt idx="23">
                  <c:v>45.991778801114563</c:v>
                </c:pt>
                <c:pt idx="24">
                  <c:v>45.098437825351525</c:v>
                </c:pt>
                <c:pt idx="25">
                  <c:v>44.188144023874216</c:v>
                </c:pt>
                <c:pt idx="26">
                  <c:v>43.25887386570669</c:v>
                </c:pt>
                <c:pt idx="27">
                  <c:v>42.30847265342932</c:v>
                </c:pt>
                <c:pt idx="28">
                  <c:v>41.334726548415176</c:v>
                </c:pt>
                <c:pt idx="29">
                  <c:v>40.335456208959762</c:v>
                </c:pt>
                <c:pt idx="30">
                  <c:v>39.308630834599654</c:v>
                </c:pt>
                <c:pt idx="31">
                  <c:v>38.252498133767901</c:v>
                </c:pt>
                <c:pt idx="32">
                  <c:v>37.165722140818531</c:v>
                </c:pt>
                <c:pt idx="33">
                  <c:v>36.047517656392941</c:v>
                </c:pt>
                <c:pt idx="34">
                  <c:v>34.897768277300806</c:v>
                </c:pt>
                <c:pt idx="35">
                  <c:v>33.717115284750307</c:v>
                </c:pt>
                <c:pt idx="36">
                  <c:v>32.507007360557054</c:v>
                </c:pt>
                <c:pt idx="37">
                  <c:v>31.269705783797221</c:v>
                </c:pt>
                <c:pt idx="38">
                  <c:v>30.008245346753654</c:v>
                </c:pt>
                <c:pt idx="39">
                  <c:v>28.72635631749673</c:v>
                </c:pt>
                <c:pt idx="40">
                  <c:v>27.428356146069238</c:v>
                </c:pt>
                <c:pt idx="41">
                  <c:v>26.11902065483385</c:v>
                </c:pt>
                <c:pt idx="42">
                  <c:v>24.803443348005132</c:v>
                </c:pt>
                <c:pt idx="43">
                  <c:v>23.486889043959362</c:v>
                </c:pt>
                <c:pt idx="44">
                  <c:v>22.174645403294349</c:v>
                </c:pt>
                <c:pt idx="45">
                  <c:v>20.871874139463532</c:v>
                </c:pt>
                <c:pt idx="46">
                  <c:v>19.583463413466841</c:v>
                </c:pt>
                <c:pt idx="47">
                  <c:v>18.313884230495745</c:v>
                </c:pt>
                <c:pt idx="48">
                  <c:v>17.067056095808606</c:v>
                </c:pt>
                <c:pt idx="49">
                  <c:v>15.84622980984131</c:v>
                </c:pt>
                <c:pt idx="50">
                  <c:v>14.653896948815555</c:v>
                </c:pt>
                <c:pt idx="51">
                  <c:v>13.491735315960188</c:v>
                </c:pt>
                <c:pt idx="52">
                  <c:v>12.360597033423115</c:v>
                </c:pt>
                <c:pt idx="53">
                  <c:v>11.26054131857607</c:v>
                </c:pt>
                <c:pt idx="54">
                  <c:v>10.190908400464696</c:v>
                </c:pt>
                <c:pt idx="55">
                  <c:v>9.1504258805057859</c:v>
                </c:pt>
                <c:pt idx="56">
                  <c:v>8.137335365199128</c:v>
                </c:pt>
                <c:pt idx="57">
                  <c:v>7.1495260599736739</c:v>
                </c:pt>
                <c:pt idx="58">
                  <c:v>6.1846631501767311</c:v>
                </c:pt>
                <c:pt idx="59">
                  <c:v>5.2403015684563616</c:v>
                </c:pt>
                <c:pt idx="60">
                  <c:v>4.3139792619867521</c:v>
                </c:pt>
                <c:pt idx="61">
                  <c:v>3.403287498574628</c:v>
                </c:pt>
                <c:pt idx="62">
                  <c:v>2.5059185256960643</c:v>
                </c:pt>
                <c:pt idx="63">
                  <c:v>1.6196927776101551</c:v>
                </c:pt>
                <c:pt idx="64">
                  <c:v>0.74256882936293422</c:v>
                </c:pt>
                <c:pt idx="65">
                  <c:v>-0.12736040573881535</c:v>
                </c:pt>
                <c:pt idx="66">
                  <c:v>-0.99188191886066779</c:v>
                </c:pt>
                <c:pt idx="67">
                  <c:v>-1.8526844140688272</c:v>
                </c:pt>
                <c:pt idx="68">
                  <c:v>-2.7113853395817227</c:v>
                </c:pt>
                <c:pt idx="69">
                  <c:v>-3.5695613010434446</c:v>
                </c:pt>
                <c:pt idx="70">
                  <c:v>-4.4287804146691494</c:v>
                </c:pt>
                <c:pt idx="71">
                  <c:v>-5.2906354129982711</c:v>
                </c:pt>
                <c:pt idx="72">
                  <c:v>-6.1567764091376862</c:v>
                </c:pt>
                <c:pt idx="73">
                  <c:v>-7.0289421538888606</c:v>
                </c:pt>
                <c:pt idx="74">
                  <c:v>-7.9089883941913808</c:v>
                </c:pt>
                <c:pt idx="75">
                  <c:v>-8.7989115876722828</c:v>
                </c:pt>
                <c:pt idx="76">
                  <c:v>-9.7008657990050775</c:v>
                </c:pt>
                <c:pt idx="77">
                  <c:v>-10.617170189559003</c:v>
                </c:pt>
                <c:pt idx="78">
                  <c:v>-11.550304254048884</c:v>
                </c:pt>
                <c:pt idx="79">
                  <c:v>-12.50288805687673</c:v>
                </c:pt>
                <c:pt idx="80">
                  <c:v>-13.477645427927248</c:v>
                </c:pt>
                <c:pt idx="81">
                  <c:v>-14.477349661136447</c:v>
                </c:pt>
                <c:pt idx="82">
                  <c:v>-15.504753937269214</c:v>
                </c:pt>
                <c:pt idx="83">
                  <c:v>-16.562512537545203</c:v>
                </c:pt>
                <c:pt idx="84">
                  <c:v>-17.653103759116409</c:v>
                </c:pt>
                <c:pt idx="85">
                  <c:v>-18.778770835222055</c:v>
                </c:pt>
                <c:pt idx="86">
                  <c:v>-19.941502428789537</c:v>
                </c:pt>
                <c:pt idx="87">
                  <c:v>-21.143078691228023</c:v>
                </c:pt>
                <c:pt idx="88">
                  <c:v>-22.385211897198577</c:v>
                </c:pt>
                <c:pt idx="89">
                  <c:v>-23.66981186274543</c:v>
                </c:pt>
                <c:pt idx="90">
                  <c:v>-24.999404867059958</c:v>
                </c:pt>
                <c:pt idx="91">
                  <c:v>-26.377727782949499</c:v>
                </c:pt>
                <c:pt idx="92">
                  <c:v>-27.810499082653624</c:v>
                </c:pt>
                <c:pt idx="93">
                  <c:v>-29.306320088328953</c:v>
                </c:pt>
                <c:pt idx="94">
                  <c:v>-30.877560180440636</c:v>
                </c:pt>
                <c:pt idx="95">
                  <c:v>-32.540909928428675</c:v>
                </c:pt>
                <c:pt idx="96">
                  <c:v>-34.317072557486945</c:v>
                </c:pt>
                <c:pt idx="97">
                  <c:v>-36.228950531241679</c:v>
                </c:pt>
                <c:pt idx="98">
                  <c:v>-38.297963157384331</c:v>
                </c:pt>
                <c:pt idx="99">
                  <c:v>-40.539043132883023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97728"/>
        <c:axId val="304498288"/>
      </c:scatterChart>
      <c:scatterChart>
        <c:scatterStyle val="lineMarker"/>
        <c:varyColors val="0"/>
        <c:ser>
          <c:idx val="1"/>
          <c:order val="1"/>
          <c:tx>
            <c:strRef>
              <c:f>'Control Loop2'!$H$33</c:f>
              <c:strCache>
                <c:ptCount val="1"/>
                <c:pt idx="0">
                  <c:v>Phase</c:v>
                </c:pt>
              </c:strCache>
            </c:strRef>
          </c:tx>
          <c:marker>
            <c:symbol val="none"/>
          </c:marker>
          <c:xVal>
            <c:numRef>
              <c:f>'Control Loop2'!$B$34:$B$133</c:f>
              <c:numCache>
                <c:formatCode>General</c:formatCode>
                <c:ptCount val="100"/>
                <c:pt idx="0">
                  <c:v>100</c:v>
                </c:pt>
                <c:pt idx="1">
                  <c:v>109.74987654930599</c:v>
                </c:pt>
                <c:pt idx="2">
                  <c:v>120.450354025878</c:v>
                </c:pt>
                <c:pt idx="3">
                  <c:v>132.19411484660299</c:v>
                </c:pt>
                <c:pt idx="4">
                  <c:v>145.08287784959401</c:v>
                </c:pt>
                <c:pt idx="5">
                  <c:v>159.228279334109</c:v>
                </c:pt>
                <c:pt idx="6">
                  <c:v>174.752840000768</c:v>
                </c:pt>
                <c:pt idx="7">
                  <c:v>191.79102616724899</c:v>
                </c:pt>
                <c:pt idx="8">
                  <c:v>210.49041445120201</c:v>
                </c:pt>
                <c:pt idx="9">
                  <c:v>231.01297000831599</c:v>
                </c:pt>
                <c:pt idx="10">
                  <c:v>253.53644939701101</c:v>
                </c:pt>
                <c:pt idx="11">
                  <c:v>278.255940220713</c:v>
                </c:pt>
                <c:pt idx="12">
                  <c:v>305.38555088334198</c:v>
                </c:pt>
                <c:pt idx="13">
                  <c:v>335.16026509388399</c:v>
                </c:pt>
                <c:pt idx="14">
                  <c:v>367.83797718286303</c:v>
                </c:pt>
                <c:pt idx="15">
                  <c:v>403.70172585965503</c:v>
                </c:pt>
                <c:pt idx="16">
                  <c:v>443.062145758388</c:v>
                </c:pt>
                <c:pt idx="17">
                  <c:v>486.26015800653499</c:v>
                </c:pt>
                <c:pt idx="18">
                  <c:v>533.66992312063098</c:v>
                </c:pt>
                <c:pt idx="19">
                  <c:v>585.70208180566704</c:v>
                </c:pt>
                <c:pt idx="20">
                  <c:v>642.80731172843196</c:v>
                </c:pt>
                <c:pt idx="21">
                  <c:v>705.48023107186498</c:v>
                </c:pt>
                <c:pt idx="22">
                  <c:v>774.26368268112697</c:v>
                </c:pt>
                <c:pt idx="23">
                  <c:v>849.75343590864497</c:v>
                </c:pt>
                <c:pt idx="24">
                  <c:v>932.60334688321996</c:v>
                </c:pt>
                <c:pt idx="25">
                  <c:v>1023.53102189903</c:v>
                </c:pt>
                <c:pt idx="26">
                  <c:v>1123.3240329780299</c:v>
                </c:pt>
                <c:pt idx="27">
                  <c:v>1232.84673944207</c:v>
                </c:pt>
                <c:pt idx="28">
                  <c:v>1353.04777457981</c:v>
                </c:pt>
                <c:pt idx="29">
                  <c:v>1484.9682622544599</c:v>
                </c:pt>
                <c:pt idx="30">
                  <c:v>1629.75083462064</c:v>
                </c:pt>
                <c:pt idx="31">
                  <c:v>1788.6495290574401</c:v>
                </c:pt>
                <c:pt idx="32">
                  <c:v>1963.0406500402701</c:v>
                </c:pt>
                <c:pt idx="33">
                  <c:v>2154.4346900318801</c:v>
                </c:pt>
                <c:pt idx="34">
                  <c:v>2364.4894126454101</c:v>
                </c:pt>
                <c:pt idx="35">
                  <c:v>2595.0242113997401</c:v>
                </c:pt>
                <c:pt idx="36">
                  <c:v>2848.0358684357998</c:v>
                </c:pt>
                <c:pt idx="37">
                  <c:v>3125.7158496882398</c:v>
                </c:pt>
                <c:pt idx="38">
                  <c:v>3430.4692863149198</c:v>
                </c:pt>
                <c:pt idx="39">
                  <c:v>3764.93580679247</c:v>
                </c:pt>
                <c:pt idx="40">
                  <c:v>4132.0124001153399</c:v>
                </c:pt>
                <c:pt idx="41">
                  <c:v>4534.8785081285796</c:v>
                </c:pt>
                <c:pt idx="42">
                  <c:v>4977.0235643321103</c:v>
                </c:pt>
                <c:pt idx="43">
                  <c:v>5462.27721768434</c:v>
                </c:pt>
                <c:pt idx="44">
                  <c:v>5994.8425031894103</c:v>
                </c:pt>
                <c:pt idx="45">
                  <c:v>6579.3322465756801</c:v>
                </c:pt>
                <c:pt idx="46">
                  <c:v>7220.8090183854702</c:v>
                </c:pt>
                <c:pt idx="47">
                  <c:v>7924.8289835391797</c:v>
                </c:pt>
                <c:pt idx="48">
                  <c:v>8697.4900261778293</c:v>
                </c:pt>
                <c:pt idx="49">
                  <c:v>9545.4845666183501</c:v>
                </c:pt>
                <c:pt idx="50">
                  <c:v>10476.157527896699</c:v>
                </c:pt>
                <c:pt idx="51">
                  <c:v>11497.5699539774</c:v>
                </c:pt>
                <c:pt idx="52">
                  <c:v>12618.568830660201</c:v>
                </c:pt>
                <c:pt idx="53">
                  <c:v>13848.863713938699</c:v>
                </c:pt>
                <c:pt idx="54">
                  <c:v>15199.1108295293</c:v>
                </c:pt>
                <c:pt idx="55">
                  <c:v>16681.0053720006</c:v>
                </c:pt>
                <c:pt idx="56">
                  <c:v>18307.3828029537</c:v>
                </c:pt>
                <c:pt idx="57">
                  <c:v>20092.330025650499</c:v>
                </c:pt>
                <c:pt idx="58">
                  <c:v>22051.307399030498</c:v>
                </c:pt>
                <c:pt idx="59">
                  <c:v>24201.282647943801</c:v>
                </c:pt>
                <c:pt idx="60">
                  <c:v>26560.877829466801</c:v>
                </c:pt>
                <c:pt idx="61">
                  <c:v>29150.530628251799</c:v>
                </c:pt>
                <c:pt idx="62">
                  <c:v>31992.671377973798</c:v>
                </c:pt>
                <c:pt idx="63">
                  <c:v>35111.917342151297</c:v>
                </c:pt>
                <c:pt idx="64">
                  <c:v>38535.2859371054</c:v>
                </c:pt>
                <c:pt idx="65">
                  <c:v>42292.428743894998</c:v>
                </c:pt>
                <c:pt idx="66">
                  <c:v>46415.888336127799</c:v>
                </c:pt>
                <c:pt idx="67">
                  <c:v>50941.380148163902</c:v>
                </c:pt>
                <c:pt idx="68">
                  <c:v>55908.101825122198</c:v>
                </c:pt>
                <c:pt idx="69">
                  <c:v>61359.072734131798</c:v>
                </c:pt>
                <c:pt idx="70">
                  <c:v>67341.506577508306</c:v>
                </c:pt>
                <c:pt idx="71">
                  <c:v>73907.220335257705</c:v>
                </c:pt>
                <c:pt idx="72">
                  <c:v>81113.083078968702</c:v>
                </c:pt>
                <c:pt idx="73">
                  <c:v>89021.5085445039</c:v>
                </c:pt>
                <c:pt idx="74">
                  <c:v>97700.995729922506</c:v>
                </c:pt>
                <c:pt idx="75">
                  <c:v>107226.722201033</c:v>
                </c:pt>
                <c:pt idx="76">
                  <c:v>117681.1952435</c:v>
                </c:pt>
                <c:pt idx="77">
                  <c:v>129154.966501488</c:v>
                </c:pt>
                <c:pt idx="78">
                  <c:v>141747.41629268101</c:v>
                </c:pt>
                <c:pt idx="79">
                  <c:v>155567.614393047</c:v>
                </c:pt>
                <c:pt idx="80">
                  <c:v>170735.26474706901</c:v>
                </c:pt>
                <c:pt idx="81">
                  <c:v>187381.74228603899</c:v>
                </c:pt>
                <c:pt idx="82">
                  <c:v>205651.23083486501</c:v>
                </c:pt>
                <c:pt idx="83">
                  <c:v>225701.97196339199</c:v>
                </c:pt>
                <c:pt idx="84">
                  <c:v>247707.63559917099</c:v>
                </c:pt>
                <c:pt idx="85">
                  <c:v>271858.82427329401</c:v>
                </c:pt>
                <c:pt idx="86">
                  <c:v>298364.72402833402</c:v>
                </c:pt>
                <c:pt idx="87">
                  <c:v>327454.916287773</c:v>
                </c:pt>
                <c:pt idx="88">
                  <c:v>359381.36638046301</c:v>
                </c:pt>
                <c:pt idx="89">
                  <c:v>394420.60594376602</c:v>
                </c:pt>
                <c:pt idx="90">
                  <c:v>432876.12810830597</c:v>
                </c:pt>
                <c:pt idx="91">
                  <c:v>475081.01621027902</c:v>
                </c:pt>
                <c:pt idx="92">
                  <c:v>521400.82879996998</c:v>
                </c:pt>
                <c:pt idx="93">
                  <c:v>572236.76593502203</c:v>
                </c:pt>
                <c:pt idx="94">
                  <c:v>628029.14418342605</c:v>
                </c:pt>
                <c:pt idx="95">
                  <c:v>689261.21043497103</c:v>
                </c:pt>
                <c:pt idx="96">
                  <c:v>756463.32755462895</c:v>
                </c:pt>
                <c:pt idx="97">
                  <c:v>830217.56813197501</c:v>
                </c:pt>
                <c:pt idx="98">
                  <c:v>911162.75611549104</c:v>
                </c:pt>
                <c:pt idx="99">
                  <c:v>1000000</c:v>
                </c:pt>
              </c:numCache>
            </c:numRef>
          </c:xVal>
          <c:yVal>
            <c:numRef>
              <c:f>'Control Loop2'!$H$34:$H$133</c:f>
              <c:numCache>
                <c:formatCode>0.000</c:formatCode>
                <c:ptCount val="100"/>
                <c:pt idx="0">
                  <c:v>126.20723612782054</c:v>
                </c:pt>
                <c:pt idx="1">
                  <c:v>123.47056170256758</c:v>
                </c:pt>
                <c:pt idx="2">
                  <c:v>120.79232617200775</c:v>
                </c:pt>
                <c:pt idx="3">
                  <c:v>118.18652154720935</c:v>
                </c:pt>
                <c:pt idx="4">
                  <c:v>115.66383218621586</c:v>
                </c:pt>
                <c:pt idx="5">
                  <c:v>113.23154107009471</c:v>
                </c:pt>
                <c:pt idx="6">
                  <c:v>110.89363438552687</c:v>
                </c:pt>
                <c:pt idx="7">
                  <c:v>108.65105594057511</c:v>
                </c:pt>
                <c:pt idx="8">
                  <c:v>106.50205846781674</c:v>
                </c:pt>
                <c:pt idx="9">
                  <c:v>104.44260300008283</c:v>
                </c:pt>
                <c:pt idx="10">
                  <c:v>102.46676687805918</c:v>
                </c:pt>
                <c:pt idx="11">
                  <c:v>100.56713237824931</c:v>
                </c:pt>
                <c:pt idx="12">
                  <c:v>98.735139076922195</c:v>
                </c:pt>
                <c:pt idx="13">
                  <c:v>96.961392528470441</c:v>
                </c:pt>
                <c:pt idx="14">
                  <c:v>95.235929118079611</c:v>
                </c:pt>
                <c:pt idx="15">
                  <c:v>93.548442100570824</c:v>
                </c:pt>
                <c:pt idx="16">
                  <c:v>91.888477208154313</c:v>
                </c:pt>
                <c:pt idx="17">
                  <c:v>90.245608236968252</c:v>
                </c:pt>
                <c:pt idx="18">
                  <c:v>88.609604098806287</c:v>
                </c:pt>
                <c:pt idx="19">
                  <c:v>86.970599226432284</c:v>
                </c:pt>
                <c:pt idx="20">
                  <c:v>85.319279073269612</c:v>
                </c:pt>
                <c:pt idx="21">
                  <c:v>83.647091713383418</c:v>
                </c:pt>
                <c:pt idx="22">
                  <c:v>81.946495027835113</c:v>
                </c:pt>
                <c:pt idx="23">
                  <c:v>80.211246320219757</c:v>
                </c:pt>
                <c:pt idx="24">
                  <c:v>78.436737005904035</c:v>
                </c:pt>
                <c:pt idx="25">
                  <c:v>76.620368837013558</c:v>
                </c:pt>
                <c:pt idx="26">
                  <c:v>74.761959695473465</c:v>
                </c:pt>
                <c:pt idx="27">
                  <c:v>72.864156450864499</c:v>
                </c:pt>
                <c:pt idx="28">
                  <c:v>70.932820570068202</c:v>
                </c:pt>
                <c:pt idx="29">
                  <c:v>68.977340847096286</c:v>
                </c:pt>
                <c:pt idx="30">
                  <c:v>67.010819537252189</c:v>
                </c:pt>
                <c:pt idx="31">
                  <c:v>65.050076697198833</c:v>
                </c:pt>
                <c:pt idx="32">
                  <c:v>63.115425760608396</c:v>
                </c:pt>
                <c:pt idx="33">
                  <c:v>61.230192845939911</c:v>
                </c:pt>
                <c:pt idx="34">
                  <c:v>59.419981618521639</c:v>
                </c:pt>
                <c:pt idx="35">
                  <c:v>57.711719816708978</c:v>
                </c:pt>
                <c:pt idx="36">
                  <c:v>56.132555167385327</c:v>
                </c:pt>
                <c:pt idx="37">
                  <c:v>54.708689262760188</c:v>
                </c:pt>
                <c:pt idx="38">
                  <c:v>53.464242488211951</c:v>
                </c:pt>
                <c:pt idx="39">
                  <c:v>52.420230582056249</c:v>
                </c:pt>
                <c:pt idx="40">
                  <c:v>51.593708455819652</c:v>
                </c:pt>
                <c:pt idx="41">
                  <c:v>50.997107616129036</c:v>
                </c:pt>
                <c:pt idx="42">
                  <c:v>50.637768482727651</c:v>
                </c:pt>
                <c:pt idx="43">
                  <c:v>50.517654202631363</c:v>
                </c:pt>
                <c:pt idx="44">
                  <c:v>50.633230175699879</c:v>
                </c:pt>
                <c:pt idx="45">
                  <c:v>50.975501120932833</c:v>
                </c:pt>
                <c:pt idx="46">
                  <c:v>51.530209667121241</c:v>
                </c:pt>
                <c:pt idx="47">
                  <c:v>52.278210336366016</c:v>
                </c:pt>
                <c:pt idx="48">
                  <c:v>53.196034264775506</c:v>
                </c:pt>
                <c:pt idx="49">
                  <c:v>54.256649516326149</c:v>
                </c:pt>
                <c:pt idx="50">
                  <c:v>55.43039983602371</c:v>
                </c:pt>
                <c:pt idx="51">
                  <c:v>56.686075962571152</c:v>
                </c:pt>
                <c:pt idx="52">
                  <c:v>57.992046199257118</c:v>
                </c:pt>
                <c:pt idx="53">
                  <c:v>59.317355461510346</c:v>
                </c:pt>
                <c:pt idx="54">
                  <c:v>60.632700558066503</c:v>
                </c:pt>
                <c:pt idx="55">
                  <c:v>61.911205194463776</c:v>
                </c:pt>
                <c:pt idx="56">
                  <c:v>63.128947030003516</c:v>
                </c:pt>
                <c:pt idx="57">
                  <c:v>64.265223510965697</c:v>
                </c:pt>
                <c:pt idx="58">
                  <c:v>65.302575042154842</c:v>
                </c:pt>
                <c:pt idx="59">
                  <c:v>66.226607355791089</c:v>
                </c:pt>
                <c:pt idx="60">
                  <c:v>67.025667132450579</c:v>
                </c:pt>
                <c:pt idx="61">
                  <c:v>67.690426702722149</c:v>
                </c:pt>
                <c:pt idx="62">
                  <c:v>68.213427757947485</c:v>
                </c:pt>
                <c:pt idx="63">
                  <c:v>68.588623848115731</c:v>
                </c:pt>
                <c:pt idx="64">
                  <c:v>68.81095008667657</c:v>
                </c:pt>
                <c:pt idx="65">
                  <c:v>68.875938047846844</c:v>
                </c:pt>
                <c:pt idx="66">
                  <c:v>68.779385481725811</c:v>
                </c:pt>
                <c:pt idx="67">
                  <c:v>68.517084546011304</c:v>
                </c:pt>
                <c:pt idx="68">
                  <c:v>68.084608607510518</c:v>
                </c:pt>
                <c:pt idx="69">
                  <c:v>67.477155885282471</c:v>
                </c:pt>
                <c:pt idx="70">
                  <c:v>66.689447781858775</c:v>
                </c:pt>
                <c:pt idx="71">
                  <c:v>65.715680172598084</c:v>
                </c:pt>
                <c:pt idx="72">
                  <c:v>64.549526720590976</c:v>
                </c:pt>
                <c:pt idx="73">
                  <c:v>63.184194003208276</c:v>
                </c:pt>
                <c:pt idx="74">
                  <c:v>61.612528419678512</c:v>
                </c:pt>
                <c:pt idx="75">
                  <c:v>59.827174010684729</c:v>
                </c:pt>
                <c:pt idx="76">
                  <c:v>57.820777940981031</c:v>
                </c:pt>
                <c:pt idx="77">
                  <c:v>55.586235960944322</c:v>
                </c:pt>
                <c:pt idx="78">
                  <c:v>53.11696327263688</c:v>
                </c:pt>
                <c:pt idx="79">
                  <c:v>50.407166785036878</c:v>
                </c:pt>
                <c:pt idx="80">
                  <c:v>47.452083231550517</c:v>
                </c:pt>
                <c:pt idx="81">
                  <c:v>44.248135394807491</c:v>
                </c:pt>
                <c:pt idx="82">
                  <c:v>40.792948179245485</c:v>
                </c:pt>
                <c:pt idx="83">
                  <c:v>37.085160972865481</c:v>
                </c:pt>
                <c:pt idx="84">
                  <c:v>33.123976712631631</c:v>
                </c:pt>
                <c:pt idx="85">
                  <c:v>28.908405097608323</c:v>
                </c:pt>
                <c:pt idx="86">
                  <c:v>24.436190023796499</c:v>
                </c:pt>
                <c:pt idx="87">
                  <c:v>19.702460495423111</c:v>
                </c:pt>
                <c:pt idx="88">
                  <c:v>14.698210456428257</c:v>
                </c:pt>
                <c:pt idx="89">
                  <c:v>9.4087991094647379</c:v>
                </c:pt>
                <c:pt idx="90">
                  <c:v>3.8127786783008304</c:v>
                </c:pt>
                <c:pt idx="91">
                  <c:v>-2.1184813975853132</c:v>
                </c:pt>
                <c:pt idx="92">
                  <c:v>-8.4196785312929165</c:v>
                </c:pt>
                <c:pt idx="93">
                  <c:v>-15.127995799772663</c:v>
                </c:pt>
                <c:pt idx="94">
                  <c:v>-22.275865004260055</c:v>
                </c:pt>
                <c:pt idx="95">
                  <c:v>-29.879055572532295</c:v>
                </c:pt>
                <c:pt idx="96">
                  <c:v>-37.920246015292591</c:v>
                </c:pt>
                <c:pt idx="97">
                  <c:v>-46.331044087818569</c:v>
                </c:pt>
                <c:pt idx="98">
                  <c:v>-54.979477850349738</c:v>
                </c:pt>
                <c:pt idx="99">
                  <c:v>-63.672440527300949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99408"/>
        <c:axId val="304498848"/>
      </c:scatterChart>
      <c:valAx>
        <c:axId val="304497728"/>
        <c:scaling>
          <c:logBase val="10"/>
          <c:orientation val="minMax"/>
          <c:min val="1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- 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498288"/>
        <c:crossesAt val="-100"/>
        <c:crossBetween val="midCat"/>
      </c:valAx>
      <c:valAx>
        <c:axId val="30449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Gain - dB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497728"/>
        <c:crosses val="autoZero"/>
        <c:crossBetween val="midCat"/>
      </c:valAx>
      <c:valAx>
        <c:axId val="30449884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Phase - °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04499408"/>
        <c:crosses val="max"/>
        <c:crossBetween val="midCat"/>
        <c:majorUnit val="15"/>
        <c:minorUnit val="5"/>
      </c:valAx>
      <c:valAx>
        <c:axId val="304499408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498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56860171890278"/>
          <c:y val="0.79666504778975944"/>
          <c:w val="0.21334435437232457"/>
          <c:h val="5.387840741191708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262576</xdr:colOff>
      <xdr:row>28</xdr:row>
      <xdr:rowOff>89918</xdr:rowOff>
    </xdr:from>
    <xdr:to>
      <xdr:col>5</xdr:col>
      <xdr:colOff>5495925</xdr:colOff>
      <xdr:row>49</xdr:row>
      <xdr:rowOff>147068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269584</xdr:colOff>
      <xdr:row>4</xdr:row>
      <xdr:rowOff>197980</xdr:rowOff>
    </xdr:from>
    <xdr:to>
      <xdr:col>5</xdr:col>
      <xdr:colOff>5486400</xdr:colOff>
      <xdr:row>27</xdr:row>
      <xdr:rowOff>55105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3322320</xdr:colOff>
          <xdr:row>0</xdr:row>
          <xdr:rowOff>152400</xdr:rowOff>
        </xdr:from>
        <xdr:to>
          <xdr:col>3</xdr:col>
          <xdr:colOff>4122420</xdr:colOff>
          <xdr:row>2</xdr:row>
          <xdr:rowOff>83820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Converge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247650</xdr:colOff>
      <xdr:row>85</xdr:row>
      <xdr:rowOff>1056</xdr:rowOff>
    </xdr:from>
    <xdr:to>
      <xdr:col>5</xdr:col>
      <xdr:colOff>5476875</xdr:colOff>
      <xdr:row>106</xdr:row>
      <xdr:rowOff>122976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254000</xdr:colOff>
      <xdr:row>118</xdr:row>
      <xdr:rowOff>69852</xdr:rowOff>
    </xdr:from>
    <xdr:to>
      <xdr:col>5</xdr:col>
      <xdr:colOff>5486400</xdr:colOff>
      <xdr:row>139</xdr:row>
      <xdr:rowOff>191772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2228851</xdr:colOff>
      <xdr:row>0</xdr:row>
      <xdr:rowOff>47625</xdr:rowOff>
    </xdr:from>
    <xdr:to>
      <xdr:col>13</xdr:col>
      <xdr:colOff>2124076</xdr:colOff>
      <xdr:row>26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0</xdr:row>
      <xdr:rowOff>47625</xdr:rowOff>
    </xdr:from>
    <xdr:to>
      <xdr:col>10</xdr:col>
      <xdr:colOff>2171700</xdr:colOff>
      <xdr:row>26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2179320</xdr:colOff>
      <xdr:row>0</xdr:row>
      <xdr:rowOff>53340</xdr:rowOff>
    </xdr:from>
    <xdr:to>
      <xdr:col>17</xdr:col>
      <xdr:colOff>1000125</xdr:colOff>
      <xdr:row>26</xdr:row>
      <xdr:rowOff>167639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2238376</xdr:colOff>
      <xdr:row>0</xdr:row>
      <xdr:rowOff>57150</xdr:rowOff>
    </xdr:from>
    <xdr:to>
      <xdr:col>13</xdr:col>
      <xdr:colOff>2133601</xdr:colOff>
      <xdr:row>26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0</xdr:row>
      <xdr:rowOff>57150</xdr:rowOff>
    </xdr:from>
    <xdr:to>
      <xdr:col>10</xdr:col>
      <xdr:colOff>2181225</xdr:colOff>
      <xdr:row>26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2196465</xdr:colOff>
      <xdr:row>0</xdr:row>
      <xdr:rowOff>57151</xdr:rowOff>
    </xdr:from>
    <xdr:to>
      <xdr:col>17</xdr:col>
      <xdr:colOff>1066800</xdr:colOff>
      <xdr:row>27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2</xdr:row>
      <xdr:rowOff>142875</xdr:rowOff>
    </xdr:from>
    <xdr:to>
      <xdr:col>15</xdr:col>
      <xdr:colOff>446611</xdr:colOff>
      <xdr:row>38</xdr:row>
      <xdr:rowOff>94399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523875"/>
          <a:ext cx="8514286" cy="6809524"/>
        </a:xfrm>
        <a:prstGeom prst="rect">
          <a:avLst/>
        </a:prstGeom>
      </xdr:spPr>
    </xdr:pic>
    <xdr:clientData/>
  </xdr:twoCellAnchor>
  <xdr:twoCellAnchor>
    <xdr:from>
      <xdr:col>3</xdr:col>
      <xdr:colOff>85724</xdr:colOff>
      <xdr:row>2</xdr:row>
      <xdr:rowOff>128585</xdr:rowOff>
    </xdr:from>
    <xdr:to>
      <xdr:col>16</xdr:col>
      <xdr:colOff>95249</xdr:colOff>
      <xdr:row>45</xdr:row>
      <xdr:rowOff>28574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Y196"/>
  <sheetViews>
    <sheetView tabSelected="1" zoomScaleNormal="100" workbookViewId="0">
      <selection activeCell="C6" sqref="C6"/>
    </sheetView>
  </sheetViews>
  <sheetFormatPr defaultColWidth="9.109375" defaultRowHeight="14.4" x14ac:dyDescent="0.3"/>
  <cols>
    <col min="1" max="1" width="9.109375" style="2"/>
    <col min="2" max="2" width="28.6640625" style="2" customWidth="1"/>
    <col min="3" max="3" width="15.33203125" style="2" customWidth="1"/>
    <col min="4" max="4" width="74.44140625" style="2" customWidth="1"/>
    <col min="5" max="5" width="8.88671875" style="2" customWidth="1"/>
    <col min="6" max="6" width="86.109375" style="2" customWidth="1"/>
    <col min="7" max="7" width="21.88671875" style="170" customWidth="1"/>
    <col min="8" max="8" width="21.44140625" style="15" bestFit="1" customWidth="1"/>
    <col min="9" max="9" width="19.6640625" style="15" customWidth="1"/>
    <col min="10" max="11" width="10.6640625" style="167" customWidth="1"/>
    <col min="12" max="13" width="12.33203125" style="167" bestFit="1" customWidth="1"/>
    <col min="14" max="14" width="11.33203125" style="167" bestFit="1" customWidth="1"/>
    <col min="15" max="17" width="12.33203125" style="167" bestFit="1" customWidth="1"/>
    <col min="18" max="18" width="11.33203125" style="167" bestFit="1" customWidth="1"/>
    <col min="19" max="21" width="12.33203125" style="167" bestFit="1" customWidth="1"/>
    <col min="22" max="22" width="14" style="167" customWidth="1"/>
    <col min="23" max="40" width="12.109375" style="175" bestFit="1" customWidth="1"/>
    <col min="41" max="41" width="11.109375" style="175" bestFit="1" customWidth="1"/>
    <col min="42" max="49" width="12.109375" style="175" bestFit="1" customWidth="1"/>
    <col min="50" max="50" width="11.109375" style="175" bestFit="1" customWidth="1"/>
    <col min="51" max="58" width="12.109375" style="175" bestFit="1" customWidth="1"/>
    <col min="59" max="59" width="10.109375" style="175" bestFit="1" customWidth="1"/>
    <col min="60" max="60" width="10.109375" style="175" customWidth="1"/>
    <col min="61" max="61" width="21.44140625" style="99" bestFit="1" customWidth="1"/>
    <col min="62" max="62" width="29" style="174" bestFit="1" customWidth="1"/>
    <col min="63" max="67" width="9.109375" style="99"/>
    <col min="68" max="73" width="9.109375" style="230"/>
    <col min="74" max="77" width="9.109375" style="99"/>
    <col min="78" max="16384" width="9.109375" style="2"/>
  </cols>
  <sheetData>
    <row r="1" spans="1:62" ht="18.899999999999999" customHeight="1" x14ac:dyDescent="0.3">
      <c r="A1" s="158" t="s">
        <v>320</v>
      </c>
      <c r="B1" s="1"/>
      <c r="C1" s="1"/>
      <c r="D1" s="1"/>
      <c r="E1" s="8"/>
      <c r="F1" s="1"/>
      <c r="G1" s="164" t="s">
        <v>36</v>
      </c>
      <c r="H1" s="165">
        <v>0</v>
      </c>
      <c r="I1" s="166"/>
      <c r="P1" s="168"/>
      <c r="Q1" s="168"/>
      <c r="R1" s="168"/>
      <c r="S1" s="168"/>
      <c r="T1" s="168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>
        <v>0</v>
      </c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5"/>
      <c r="BJ1" s="169"/>
    </row>
    <row r="2" spans="1:62" ht="18.899999999999999" customHeight="1" x14ac:dyDescent="0.3">
      <c r="A2" s="5"/>
      <c r="B2" s="157" t="s">
        <v>27</v>
      </c>
      <c r="C2" s="1"/>
      <c r="D2" s="123" t="s">
        <v>198</v>
      </c>
      <c r="E2" s="1"/>
      <c r="F2" s="1"/>
      <c r="G2" s="170" t="s">
        <v>11</v>
      </c>
      <c r="H2" s="15" t="s">
        <v>2</v>
      </c>
      <c r="I2" s="171">
        <f>Vin_nom</f>
        <v>12</v>
      </c>
      <c r="J2" s="171">
        <f>Vin_min</f>
        <v>3.5</v>
      </c>
      <c r="K2" s="171">
        <f t="shared" ref="K2:AP2" si="0">J2+(Vin_max-Vin_min)/49</f>
        <v>3.795918367346939</v>
      </c>
      <c r="L2" s="171">
        <f t="shared" si="0"/>
        <v>4.091836734693878</v>
      </c>
      <c r="M2" s="171">
        <f t="shared" si="0"/>
        <v>4.387755102040817</v>
      </c>
      <c r="N2" s="171">
        <f t="shared" si="0"/>
        <v>4.683673469387756</v>
      </c>
      <c r="O2" s="171">
        <f t="shared" si="0"/>
        <v>4.979591836734695</v>
      </c>
      <c r="P2" s="171">
        <f t="shared" si="0"/>
        <v>5.275510204081634</v>
      </c>
      <c r="Q2" s="171">
        <f t="shared" si="0"/>
        <v>5.571428571428573</v>
      </c>
      <c r="R2" s="171">
        <f t="shared" si="0"/>
        <v>5.8673469387755119</v>
      </c>
      <c r="S2" s="171">
        <f t="shared" si="0"/>
        <v>6.1632653061224509</v>
      </c>
      <c r="T2" s="171">
        <f t="shared" si="0"/>
        <v>6.4591836734693899</v>
      </c>
      <c r="U2" s="171">
        <f t="shared" si="0"/>
        <v>6.7551020408163289</v>
      </c>
      <c r="V2" s="171">
        <f t="shared" si="0"/>
        <v>7.0510204081632679</v>
      </c>
      <c r="W2" s="171">
        <f t="shared" si="0"/>
        <v>7.3469387755102069</v>
      </c>
      <c r="X2" s="171">
        <f t="shared" si="0"/>
        <v>7.6428571428571459</v>
      </c>
      <c r="Y2" s="171">
        <f t="shared" si="0"/>
        <v>7.9387755102040849</v>
      </c>
      <c r="Z2" s="171">
        <f t="shared" si="0"/>
        <v>8.2346938775510239</v>
      </c>
      <c r="AA2" s="171">
        <f t="shared" si="0"/>
        <v>8.5306122448979629</v>
      </c>
      <c r="AB2" s="171">
        <f t="shared" si="0"/>
        <v>8.8265306122449019</v>
      </c>
      <c r="AC2" s="171">
        <f t="shared" si="0"/>
        <v>9.1224489795918409</v>
      </c>
      <c r="AD2" s="171">
        <f t="shared" si="0"/>
        <v>9.4183673469387799</v>
      </c>
      <c r="AE2" s="171">
        <f t="shared" si="0"/>
        <v>9.7142857142857189</v>
      </c>
      <c r="AF2" s="171">
        <f t="shared" si="0"/>
        <v>10.010204081632658</v>
      </c>
      <c r="AG2" s="171">
        <f t="shared" si="0"/>
        <v>10.306122448979597</v>
      </c>
      <c r="AH2" s="171">
        <f t="shared" si="0"/>
        <v>10.602040816326536</v>
      </c>
      <c r="AI2" s="171">
        <f t="shared" si="0"/>
        <v>10.897959183673475</v>
      </c>
      <c r="AJ2" s="171">
        <f t="shared" si="0"/>
        <v>11.193877551020414</v>
      </c>
      <c r="AK2" s="171">
        <f t="shared" si="0"/>
        <v>11.489795918367353</v>
      </c>
      <c r="AL2" s="171">
        <f t="shared" si="0"/>
        <v>11.785714285714292</v>
      </c>
      <c r="AM2" s="171">
        <f t="shared" si="0"/>
        <v>12.081632653061231</v>
      </c>
      <c r="AN2" s="171">
        <f t="shared" si="0"/>
        <v>12.37755102040817</v>
      </c>
      <c r="AO2" s="171">
        <f t="shared" si="0"/>
        <v>12.673469387755109</v>
      </c>
      <c r="AP2" s="171">
        <f t="shared" si="0"/>
        <v>12.969387755102048</v>
      </c>
      <c r="AQ2" s="171">
        <f t="shared" ref="AQ2:BG2" si="1">AP2+(Vin_max-Vin_min)/49</f>
        <v>13.265306122448987</v>
      </c>
      <c r="AR2" s="171">
        <f t="shared" si="1"/>
        <v>13.561224489795926</v>
      </c>
      <c r="AS2" s="171">
        <f t="shared" si="1"/>
        <v>13.857142857142865</v>
      </c>
      <c r="AT2" s="171">
        <f t="shared" si="1"/>
        <v>14.153061224489804</v>
      </c>
      <c r="AU2" s="171">
        <f t="shared" si="1"/>
        <v>14.448979591836743</v>
      </c>
      <c r="AV2" s="171">
        <f t="shared" si="1"/>
        <v>14.744897959183682</v>
      </c>
      <c r="AW2" s="171">
        <f t="shared" si="1"/>
        <v>15.040816326530621</v>
      </c>
      <c r="AX2" s="171">
        <f t="shared" si="1"/>
        <v>15.33673469387756</v>
      </c>
      <c r="AY2" s="171">
        <f t="shared" si="1"/>
        <v>15.632653061224499</v>
      </c>
      <c r="AZ2" s="171">
        <f t="shared" si="1"/>
        <v>15.928571428571438</v>
      </c>
      <c r="BA2" s="171">
        <f t="shared" si="1"/>
        <v>16.224489795918377</v>
      </c>
      <c r="BB2" s="171">
        <f t="shared" si="1"/>
        <v>16.520408163265316</v>
      </c>
      <c r="BC2" s="171">
        <f t="shared" si="1"/>
        <v>16.816326530612255</v>
      </c>
      <c r="BD2" s="171">
        <f t="shared" si="1"/>
        <v>17.112244897959194</v>
      </c>
      <c r="BE2" s="171">
        <f t="shared" si="1"/>
        <v>17.408163265306133</v>
      </c>
      <c r="BF2" s="171">
        <f t="shared" si="1"/>
        <v>17.704081632653072</v>
      </c>
      <c r="BG2" s="171">
        <f t="shared" si="1"/>
        <v>18.000000000000011</v>
      </c>
      <c r="BH2" s="171">
        <f>V_AbsMax</f>
        <v>36</v>
      </c>
      <c r="BI2" s="15" t="s">
        <v>2</v>
      </c>
      <c r="BJ2" s="169"/>
    </row>
    <row r="3" spans="1:62" ht="18.899999999999999" customHeight="1" thickBot="1" x14ac:dyDescent="0.35">
      <c r="A3" s="1"/>
      <c r="B3" s="277" t="s">
        <v>350</v>
      </c>
      <c r="C3" s="1"/>
      <c r="D3" s="1"/>
      <c r="E3" s="1"/>
      <c r="F3" s="1"/>
      <c r="G3" s="170" t="s">
        <v>12</v>
      </c>
      <c r="H3" s="15" t="s">
        <v>23</v>
      </c>
      <c r="I3" s="172">
        <f t="shared" ref="I3:AN3" ca="1" si="2">I33+I36+I59+I62+I65+I68+I21*Icc+I52+I56</f>
        <v>0.61834704090896708</v>
      </c>
      <c r="J3" s="172">
        <f t="shared" ca="1" si="2"/>
        <v>0.96585947644189885</v>
      </c>
      <c r="K3" s="172">
        <f t="shared" ca="1" si="2"/>
        <v>0.85435054749799211</v>
      </c>
      <c r="L3" s="172">
        <f t="shared" ca="1" si="2"/>
        <v>0.77313561774267447</v>
      </c>
      <c r="M3" s="172">
        <f t="shared" ca="1" si="2"/>
        <v>0.71255059830469158</v>
      </c>
      <c r="N3" s="172">
        <f t="shared" ca="1" si="2"/>
        <v>0.66659324477493764</v>
      </c>
      <c r="O3" s="172">
        <f t="shared" ca="1" si="2"/>
        <v>0.63135744031050667</v>
      </c>
      <c r="P3" s="172">
        <f t="shared" ca="1" si="2"/>
        <v>0.60420197594582503</v>
      </c>
      <c r="Q3" s="172">
        <f t="shared" ca="1" si="2"/>
        <v>0.58328380525858747</v>
      </c>
      <c r="R3" s="172">
        <f t="shared" ca="1" si="2"/>
        <v>0.56728250516152179</v>
      </c>
      <c r="S3" s="172">
        <f t="shared" ca="1" si="2"/>
        <v>0.55523071345473995</v>
      </c>
      <c r="T3" s="172">
        <f t="shared" ca="1" si="2"/>
        <v>0.54640534441546862</v>
      </c>
      <c r="U3" s="172">
        <f t="shared" ca="1" si="2"/>
        <v>0.54023699459020802</v>
      </c>
      <c r="V3" s="172">
        <f t="shared" ca="1" si="2"/>
        <v>0.52787476143439038</v>
      </c>
      <c r="W3" s="172">
        <f t="shared" ca="1" si="2"/>
        <v>0.5212415846341929</v>
      </c>
      <c r="X3" s="172">
        <f t="shared" ca="1" si="2"/>
        <v>0.52417445525453266</v>
      </c>
      <c r="Y3" s="172">
        <f t="shared" ca="1" si="2"/>
        <v>0.52763714882904644</v>
      </c>
      <c r="Z3" s="172">
        <f t="shared" ca="1" si="2"/>
        <v>0.53160149314937255</v>
      </c>
      <c r="AA3" s="172">
        <f t="shared" ca="1" si="2"/>
        <v>0.53604309439753639</v>
      </c>
      <c r="AB3" s="172">
        <f t="shared" ca="1" si="2"/>
        <v>0.54094072775215374</v>
      </c>
      <c r="AC3" s="172">
        <f t="shared" ca="1" si="2"/>
        <v>0.54627584158358322</v>
      </c>
      <c r="AD3" s="172">
        <f t="shared" ca="1" si="2"/>
        <v>0.55203215142612738</v>
      </c>
      <c r="AE3" s="172">
        <f t="shared" ca="1" si="2"/>
        <v>0.55819530541918538</v>
      </c>
      <c r="AF3" s="172">
        <f t="shared" ca="1" si="2"/>
        <v>0.5647526070314558</v>
      </c>
      <c r="AG3" s="172">
        <f t="shared" ca="1" si="2"/>
        <v>0.57169278399506851</v>
      </c>
      <c r="AH3" s="172">
        <f t="shared" ca="1" si="2"/>
        <v>0.57900579474554636</v>
      </c>
      <c r="AI3" s="172">
        <f t="shared" ca="1" si="2"/>
        <v>0.58668266547997505</v>
      </c>
      <c r="AJ3" s="172">
        <f t="shared" ca="1" si="2"/>
        <v>0.59471535234854367</v>
      </c>
      <c r="AK3" s="172">
        <f t="shared" ca="1" si="2"/>
        <v>0.60309662438529787</v>
      </c>
      <c r="AL3" s="172">
        <f t="shared" ca="1" si="2"/>
        <v>0.61181996363749791</v>
      </c>
      <c r="AM3" s="172">
        <f t="shared" ca="1" si="2"/>
        <v>0.62087947962508594</v>
      </c>
      <c r="AN3" s="172">
        <f t="shared" ca="1" si="2"/>
        <v>0.63026983579414897</v>
      </c>
      <c r="AO3" s="172">
        <f t="shared" ref="AO3:BH3" ca="1" si="3">AO33+AO36+AO59+AO62+AO65+AO68+AO21*Icc+AO52+AO56</f>
        <v>0.63998618605235835</v>
      </c>
      <c r="AP3" s="172">
        <f t="shared" ca="1" si="3"/>
        <v>0.65002411981402097</v>
      </c>
      <c r="AQ3" s="172">
        <f t="shared" ca="1" si="3"/>
        <v>0.66037961425581104</v>
      </c>
      <c r="AR3" s="172">
        <f t="shared" ca="1" si="3"/>
        <v>0.6710489927054718</v>
      </c>
      <c r="AS3" s="172">
        <f t="shared" ca="1" si="3"/>
        <v>0.6820288882655986</v>
      </c>
      <c r="AT3" s="172">
        <f t="shared" ca="1" si="3"/>
        <v>0.69331621192144144</v>
      </c>
      <c r="AU3" s="172">
        <f t="shared" ca="1" si="3"/>
        <v>0.70490812450209539</v>
      </c>
      <c r="AV3" s="172">
        <f t="shared" ca="1" si="3"/>
        <v>0.71680201196360571</v>
      </c>
      <c r="AW3" s="172">
        <f t="shared" ca="1" si="3"/>
        <v>0.72899546354452782</v>
      </c>
      <c r="AX3" s="172">
        <f t="shared" ca="1" si="3"/>
        <v>0.74148625241253008</v>
      </c>
      <c r="AY3" s="172">
        <f t="shared" ca="1" si="3"/>
        <v>0.75427231847734233</v>
      </c>
      <c r="AZ3" s="172">
        <f t="shared" ca="1" si="3"/>
        <v>0.76735175309275439</v>
      </c>
      <c r="BA3" s="172">
        <f t="shared" ca="1" si="3"/>
        <v>0.78072278541014251</v>
      </c>
      <c r="BB3" s="172">
        <f t="shared" ca="1" si="3"/>
        <v>0.79438377017948769</v>
      </c>
      <c r="BC3" s="172">
        <f t="shared" ca="1" si="3"/>
        <v>0.80833317682210981</v>
      </c>
      <c r="BD3" s="172">
        <f t="shared" ca="1" si="3"/>
        <v>0.8225695796232908</v>
      </c>
      <c r="BE3" s="172">
        <f t="shared" ca="1" si="3"/>
        <v>0.8370916489133019</v>
      </c>
      <c r="BF3" s="172">
        <f t="shared" ca="1" si="3"/>
        <v>0.85189814312267997</v>
      </c>
      <c r="BG3" s="172">
        <f t="shared" ca="1" si="3"/>
        <v>0.86698790161240036</v>
      </c>
      <c r="BH3" s="172">
        <f t="shared" ca="1" si="3"/>
        <v>1.3774504392496325</v>
      </c>
      <c r="BI3" s="15" t="s">
        <v>23</v>
      </c>
      <c r="BJ3" s="169" t="s">
        <v>12</v>
      </c>
    </row>
    <row r="4" spans="1:62" ht="18.899999999999999" customHeight="1" thickBot="1" x14ac:dyDescent="0.35">
      <c r="A4" s="1"/>
      <c r="B4" s="161" t="s">
        <v>25</v>
      </c>
      <c r="C4" s="162" t="s">
        <v>12</v>
      </c>
      <c r="D4" s="163" t="s">
        <v>319</v>
      </c>
      <c r="E4" s="1"/>
      <c r="F4" s="1"/>
      <c r="H4" s="15" t="s">
        <v>24</v>
      </c>
      <c r="I4" s="173">
        <f ca="1">IF(Reset=1,150,Ta+Rth_ja*I3)</f>
        <v>143.55041122726902</v>
      </c>
      <c r="J4" s="173">
        <f ca="1">IF(Reset=1,150,Ta+Rth_ja*J3)</f>
        <v>153.97578429325696</v>
      </c>
      <c r="K4" s="173">
        <f t="shared" ref="K4:AO4" ca="1" si="4">IF(Reset=1,150,Ta+Rth_ja*K3)</f>
        <v>150.63051642493977</v>
      </c>
      <c r="L4" s="173">
        <f t="shared" ca="1" si="4"/>
        <v>148.19406853228023</v>
      </c>
      <c r="M4" s="173">
        <f t="shared" ca="1" si="4"/>
        <v>146.37651794914075</v>
      </c>
      <c r="N4" s="173">
        <f t="shared" ca="1" si="4"/>
        <v>144.99779734324812</v>
      </c>
      <c r="O4" s="173">
        <f t="shared" ca="1" si="4"/>
        <v>143.94072320931519</v>
      </c>
      <c r="P4" s="173">
        <f t="shared" ca="1" si="4"/>
        <v>143.12605927837475</v>
      </c>
      <c r="Q4" s="173">
        <f t="shared" ca="1" si="4"/>
        <v>142.49851415775763</v>
      </c>
      <c r="R4" s="173">
        <f t="shared" ca="1" si="4"/>
        <v>142.01847515484565</v>
      </c>
      <c r="S4" s="173">
        <f t="shared" ca="1" si="4"/>
        <v>141.6569214036422</v>
      </c>
      <c r="T4" s="173">
        <f t="shared" ca="1" si="4"/>
        <v>141.39216033246407</v>
      </c>
      <c r="U4" s="173">
        <f t="shared" ca="1" si="4"/>
        <v>141.20710983770624</v>
      </c>
      <c r="V4" s="173">
        <f t="shared" ca="1" si="4"/>
        <v>140.8362428430317</v>
      </c>
      <c r="W4" s="173">
        <f t="shared" ca="1" si="4"/>
        <v>140.63724753902579</v>
      </c>
      <c r="X4" s="173">
        <f t="shared" ca="1" si="4"/>
        <v>140.72523365763598</v>
      </c>
      <c r="Y4" s="173">
        <f t="shared" ca="1" si="4"/>
        <v>140.8291144648714</v>
      </c>
      <c r="Z4" s="173">
        <f t="shared" ca="1" si="4"/>
        <v>140.94804479448118</v>
      </c>
      <c r="AA4" s="173">
        <f t="shared" ca="1" si="4"/>
        <v>141.08129283192608</v>
      </c>
      <c r="AB4" s="173">
        <f t="shared" ca="1" si="4"/>
        <v>141.2282218325646</v>
      </c>
      <c r="AC4" s="173">
        <f t="shared" ca="1" si="4"/>
        <v>141.38827524750749</v>
      </c>
      <c r="AD4" s="173">
        <f t="shared" ca="1" si="4"/>
        <v>141.56096454278384</v>
      </c>
      <c r="AE4" s="173">
        <f t="shared" ca="1" si="4"/>
        <v>141.74585916257556</v>
      </c>
      <c r="AF4" s="173">
        <f t="shared" ca="1" si="4"/>
        <v>141.94257821094368</v>
      </c>
      <c r="AG4" s="173">
        <f t="shared" ca="1" si="4"/>
        <v>142.15078351985204</v>
      </c>
      <c r="AH4" s="173">
        <f t="shared" ca="1" si="4"/>
        <v>142.3701738423664</v>
      </c>
      <c r="AI4" s="173">
        <f t="shared" ca="1" si="4"/>
        <v>142.60047996439926</v>
      </c>
      <c r="AJ4" s="173">
        <f t="shared" ca="1" si="4"/>
        <v>142.84146057045632</v>
      </c>
      <c r="AK4" s="173">
        <f t="shared" ca="1" si="4"/>
        <v>143.09289873155893</v>
      </c>
      <c r="AL4" s="173">
        <f t="shared" ca="1" si="4"/>
        <v>143.35459890912495</v>
      </c>
      <c r="AM4" s="173">
        <f t="shared" ca="1" si="4"/>
        <v>143.62638438875257</v>
      </c>
      <c r="AN4" s="173">
        <f t="shared" ca="1" si="4"/>
        <v>143.90809507382448</v>
      </c>
      <c r="AO4" s="173">
        <f t="shared" ca="1" si="4"/>
        <v>144.19958558157074</v>
      </c>
      <c r="AP4" s="173">
        <f t="shared" ref="AP4:BG4" ca="1" si="5">IF(Reset=1,150,Ta+Rth_ja*AP3)</f>
        <v>144.50072359442063</v>
      </c>
      <c r="AQ4" s="173">
        <f t="shared" ca="1" si="5"/>
        <v>144.81138842767433</v>
      </c>
      <c r="AR4" s="173">
        <f t="shared" ca="1" si="5"/>
        <v>145.13146978116416</v>
      </c>
      <c r="AS4" s="173">
        <f t="shared" ca="1" si="5"/>
        <v>145.46086664796795</v>
      </c>
      <c r="AT4" s="173">
        <f t="shared" ca="1" si="5"/>
        <v>145.79948635764325</v>
      </c>
      <c r="AU4" s="173">
        <f t="shared" ca="1" si="5"/>
        <v>146.14724373506286</v>
      </c>
      <c r="AV4" s="173">
        <f t="shared" ca="1" si="5"/>
        <v>146.50406035890816</v>
      </c>
      <c r="AW4" s="173">
        <f t="shared" ca="1" si="5"/>
        <v>146.86986390633584</v>
      </c>
      <c r="AX4" s="173">
        <f t="shared" ca="1" si="5"/>
        <v>147.24458757237591</v>
      </c>
      <c r="AY4" s="173">
        <f t="shared" ca="1" si="5"/>
        <v>147.62816955432027</v>
      </c>
      <c r="AZ4" s="173">
        <f t="shared" ca="1" si="5"/>
        <v>148.02055259278262</v>
      </c>
      <c r="BA4" s="173">
        <f t="shared" ca="1" si="5"/>
        <v>148.42168356230428</v>
      </c>
      <c r="BB4" s="173">
        <f t="shared" ca="1" si="5"/>
        <v>148.83151310538463</v>
      </c>
      <c r="BC4" s="173">
        <f t="shared" ca="1" si="5"/>
        <v>149.24999530466329</v>
      </c>
      <c r="BD4" s="173">
        <f t="shared" ca="1" si="5"/>
        <v>149.67708738869874</v>
      </c>
      <c r="BE4" s="173">
        <f t="shared" ca="1" si="5"/>
        <v>150.11274946739906</v>
      </c>
      <c r="BF4" s="173">
        <f t="shared" ca="1" si="5"/>
        <v>150.5569442936804</v>
      </c>
      <c r="BG4" s="173">
        <f t="shared" ca="1" si="5"/>
        <v>151.00963704837201</v>
      </c>
      <c r="BH4" s="173">
        <f t="shared" ref="BH4" ca="1" si="6">IF(Reset=1,150,Ta+Rth_ja*BH3)</f>
        <v>166.32351317748896</v>
      </c>
      <c r="BI4" s="15" t="s">
        <v>24</v>
      </c>
      <c r="BJ4" s="169"/>
    </row>
    <row r="5" spans="1:62" ht="15" thickBot="1" x14ac:dyDescent="0.35">
      <c r="A5" s="1"/>
      <c r="B5" s="1"/>
      <c r="C5" s="1"/>
      <c r="D5" s="1"/>
      <c r="E5" s="1"/>
      <c r="F5" s="7"/>
      <c r="G5" s="170" t="s">
        <v>35</v>
      </c>
      <c r="J5" s="171">
        <f>J2</f>
        <v>3.5</v>
      </c>
      <c r="K5" s="171">
        <f t="shared" ref="K5:BH5" si="7">K2</f>
        <v>3.795918367346939</v>
      </c>
      <c r="L5" s="171">
        <f t="shared" si="7"/>
        <v>4.091836734693878</v>
      </c>
      <c r="M5" s="171">
        <f t="shared" si="7"/>
        <v>4.387755102040817</v>
      </c>
      <c r="N5" s="171">
        <f t="shared" si="7"/>
        <v>4.683673469387756</v>
      </c>
      <c r="O5" s="171">
        <f t="shared" si="7"/>
        <v>4.979591836734695</v>
      </c>
      <c r="P5" s="171">
        <f t="shared" si="7"/>
        <v>5.275510204081634</v>
      </c>
      <c r="Q5" s="171">
        <f t="shared" si="7"/>
        <v>5.571428571428573</v>
      </c>
      <c r="R5" s="171">
        <f t="shared" si="7"/>
        <v>5.8673469387755119</v>
      </c>
      <c r="S5" s="171">
        <f t="shared" si="7"/>
        <v>6.1632653061224509</v>
      </c>
      <c r="T5" s="171">
        <f t="shared" si="7"/>
        <v>6.4591836734693899</v>
      </c>
      <c r="U5" s="171">
        <f t="shared" si="7"/>
        <v>6.7551020408163289</v>
      </c>
      <c r="V5" s="171">
        <f t="shared" si="7"/>
        <v>7.0510204081632679</v>
      </c>
      <c r="W5" s="171">
        <f t="shared" si="7"/>
        <v>7.3469387755102069</v>
      </c>
      <c r="X5" s="171">
        <f t="shared" si="7"/>
        <v>7.6428571428571459</v>
      </c>
      <c r="Y5" s="171">
        <f t="shared" si="7"/>
        <v>7.9387755102040849</v>
      </c>
      <c r="Z5" s="171">
        <f t="shared" si="7"/>
        <v>8.2346938775510239</v>
      </c>
      <c r="AA5" s="171">
        <f t="shared" si="7"/>
        <v>8.5306122448979629</v>
      </c>
      <c r="AB5" s="171">
        <f t="shared" si="7"/>
        <v>8.8265306122449019</v>
      </c>
      <c r="AC5" s="171">
        <f t="shared" si="7"/>
        <v>9.1224489795918409</v>
      </c>
      <c r="AD5" s="171">
        <f t="shared" si="7"/>
        <v>9.4183673469387799</v>
      </c>
      <c r="AE5" s="171">
        <f t="shared" si="7"/>
        <v>9.7142857142857189</v>
      </c>
      <c r="AF5" s="171">
        <f t="shared" si="7"/>
        <v>10.010204081632658</v>
      </c>
      <c r="AG5" s="171">
        <f t="shared" si="7"/>
        <v>10.306122448979597</v>
      </c>
      <c r="AH5" s="171">
        <f t="shared" si="7"/>
        <v>10.602040816326536</v>
      </c>
      <c r="AI5" s="171">
        <f t="shared" si="7"/>
        <v>10.897959183673475</v>
      </c>
      <c r="AJ5" s="171">
        <f t="shared" si="7"/>
        <v>11.193877551020414</v>
      </c>
      <c r="AK5" s="171">
        <f t="shared" si="7"/>
        <v>11.489795918367353</v>
      </c>
      <c r="AL5" s="171">
        <f t="shared" si="7"/>
        <v>11.785714285714292</v>
      </c>
      <c r="AM5" s="171">
        <f t="shared" si="7"/>
        <v>12.081632653061231</v>
      </c>
      <c r="AN5" s="171">
        <f t="shared" si="7"/>
        <v>12.37755102040817</v>
      </c>
      <c r="AO5" s="171">
        <f t="shared" si="7"/>
        <v>12.673469387755109</v>
      </c>
      <c r="AP5" s="171">
        <f t="shared" si="7"/>
        <v>12.969387755102048</v>
      </c>
      <c r="AQ5" s="171">
        <f t="shared" si="7"/>
        <v>13.265306122448987</v>
      </c>
      <c r="AR5" s="171">
        <f t="shared" si="7"/>
        <v>13.561224489795926</v>
      </c>
      <c r="AS5" s="171">
        <f t="shared" si="7"/>
        <v>13.857142857142865</v>
      </c>
      <c r="AT5" s="171">
        <f t="shared" si="7"/>
        <v>14.153061224489804</v>
      </c>
      <c r="AU5" s="171">
        <f t="shared" si="7"/>
        <v>14.448979591836743</v>
      </c>
      <c r="AV5" s="171">
        <f t="shared" si="7"/>
        <v>14.744897959183682</v>
      </c>
      <c r="AW5" s="171">
        <f t="shared" si="7"/>
        <v>15.040816326530621</v>
      </c>
      <c r="AX5" s="171">
        <f t="shared" si="7"/>
        <v>15.33673469387756</v>
      </c>
      <c r="AY5" s="171">
        <f t="shared" si="7"/>
        <v>15.632653061224499</v>
      </c>
      <c r="AZ5" s="171">
        <f t="shared" si="7"/>
        <v>15.928571428571438</v>
      </c>
      <c r="BA5" s="171">
        <f t="shared" si="7"/>
        <v>16.224489795918377</v>
      </c>
      <c r="BB5" s="171">
        <f t="shared" si="7"/>
        <v>16.520408163265316</v>
      </c>
      <c r="BC5" s="171">
        <f t="shared" si="7"/>
        <v>16.816326530612255</v>
      </c>
      <c r="BD5" s="171">
        <f t="shared" si="7"/>
        <v>17.112244897959194</v>
      </c>
      <c r="BE5" s="171">
        <f t="shared" si="7"/>
        <v>17.408163265306133</v>
      </c>
      <c r="BF5" s="171">
        <f t="shared" si="7"/>
        <v>17.704081632653072</v>
      </c>
      <c r="BG5" s="171">
        <f t="shared" si="7"/>
        <v>18.000000000000011</v>
      </c>
      <c r="BH5" s="171">
        <f t="shared" si="7"/>
        <v>36</v>
      </c>
    </row>
    <row r="6" spans="1:62" x14ac:dyDescent="0.3">
      <c r="A6" s="1"/>
      <c r="B6" s="140" t="s">
        <v>82</v>
      </c>
      <c r="C6" s="67">
        <v>12</v>
      </c>
      <c r="D6" s="68" t="s">
        <v>158</v>
      </c>
      <c r="E6" s="1"/>
      <c r="F6" s="1"/>
      <c r="G6" s="170" t="s">
        <v>199</v>
      </c>
    </row>
    <row r="7" spans="1:62" x14ac:dyDescent="0.3">
      <c r="A7" s="1"/>
      <c r="B7" s="41" t="s">
        <v>188</v>
      </c>
      <c r="C7" s="65">
        <v>3.5</v>
      </c>
      <c r="D7" s="69" t="s">
        <v>159</v>
      </c>
      <c r="E7" s="1"/>
      <c r="F7" s="3"/>
      <c r="I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5"/>
      <c r="BJ7" s="169"/>
    </row>
    <row r="8" spans="1:62" x14ac:dyDescent="0.3">
      <c r="A8" s="1"/>
      <c r="B8" s="41" t="s">
        <v>156</v>
      </c>
      <c r="C8" s="65">
        <v>6</v>
      </c>
      <c r="D8" s="69" t="s">
        <v>160</v>
      </c>
      <c r="E8" s="1"/>
      <c r="F8" s="3"/>
      <c r="G8" s="170" t="s">
        <v>55</v>
      </c>
      <c r="I8" s="167" t="str">
        <f t="shared" ref="I8:AN8" ca="1" si="8">IF(I14&gt;I12,"Boost &gt;","buck &gt;")</f>
        <v>buck &gt;</v>
      </c>
      <c r="J8" s="167" t="str">
        <f t="shared" ca="1" si="8"/>
        <v>buck &gt;</v>
      </c>
      <c r="K8" s="167" t="str">
        <f t="shared" ca="1" si="8"/>
        <v>buck &gt;</v>
      </c>
      <c r="L8" s="167" t="str">
        <f t="shared" ca="1" si="8"/>
        <v>buck &gt;</v>
      </c>
      <c r="M8" s="167" t="str">
        <f t="shared" ca="1" si="8"/>
        <v>buck &gt;</v>
      </c>
      <c r="N8" s="167" t="str">
        <f t="shared" ca="1" si="8"/>
        <v>buck &gt;</v>
      </c>
      <c r="O8" s="167" t="str">
        <f t="shared" ca="1" si="8"/>
        <v>buck &gt;</v>
      </c>
      <c r="P8" s="167" t="str">
        <f t="shared" ca="1" si="8"/>
        <v>buck &gt;</v>
      </c>
      <c r="Q8" s="167" t="str">
        <f t="shared" ca="1" si="8"/>
        <v>buck &gt;</v>
      </c>
      <c r="R8" s="167" t="str">
        <f t="shared" ca="1" si="8"/>
        <v>buck &gt;</v>
      </c>
      <c r="S8" s="167" t="str">
        <f t="shared" ca="1" si="8"/>
        <v>buck &gt;</v>
      </c>
      <c r="T8" s="167" t="str">
        <f t="shared" ca="1" si="8"/>
        <v>buck &gt;</v>
      </c>
      <c r="U8" s="167" t="str">
        <f t="shared" ca="1" si="8"/>
        <v>buck &gt;</v>
      </c>
      <c r="V8" s="167" t="str">
        <f t="shared" ca="1" si="8"/>
        <v>buck &gt;</v>
      </c>
      <c r="W8" s="167" t="str">
        <f t="shared" ca="1" si="8"/>
        <v>buck &gt;</v>
      </c>
      <c r="X8" s="167" t="str">
        <f t="shared" ca="1" si="8"/>
        <v>buck &gt;</v>
      </c>
      <c r="Y8" s="167" t="str">
        <f t="shared" ca="1" si="8"/>
        <v>buck &gt;</v>
      </c>
      <c r="Z8" s="167" t="str">
        <f t="shared" ca="1" si="8"/>
        <v>buck &gt;</v>
      </c>
      <c r="AA8" s="167" t="str">
        <f t="shared" ca="1" si="8"/>
        <v>buck &gt;</v>
      </c>
      <c r="AB8" s="167" t="str">
        <f t="shared" ca="1" si="8"/>
        <v>buck &gt;</v>
      </c>
      <c r="AC8" s="167" t="str">
        <f t="shared" ca="1" si="8"/>
        <v>buck &gt;</v>
      </c>
      <c r="AD8" s="167" t="str">
        <f t="shared" ca="1" si="8"/>
        <v>buck &gt;</v>
      </c>
      <c r="AE8" s="167" t="str">
        <f t="shared" ca="1" si="8"/>
        <v>buck &gt;</v>
      </c>
      <c r="AF8" s="167" t="str">
        <f t="shared" ca="1" si="8"/>
        <v>buck &gt;</v>
      </c>
      <c r="AG8" s="167" t="str">
        <f t="shared" ca="1" si="8"/>
        <v>buck &gt;</v>
      </c>
      <c r="AH8" s="167" t="str">
        <f t="shared" ca="1" si="8"/>
        <v>buck &gt;</v>
      </c>
      <c r="AI8" s="167" t="str">
        <f t="shared" ca="1" si="8"/>
        <v>buck &gt;</v>
      </c>
      <c r="AJ8" s="167" t="str">
        <f t="shared" ca="1" si="8"/>
        <v>buck &gt;</v>
      </c>
      <c r="AK8" s="167" t="str">
        <f t="shared" ca="1" si="8"/>
        <v>buck &gt;</v>
      </c>
      <c r="AL8" s="167" t="str">
        <f t="shared" ca="1" si="8"/>
        <v>buck &gt;</v>
      </c>
      <c r="AM8" s="167" t="str">
        <f t="shared" ca="1" si="8"/>
        <v>buck &gt;</v>
      </c>
      <c r="AN8" s="167" t="str">
        <f t="shared" ca="1" si="8"/>
        <v>buck &gt;</v>
      </c>
      <c r="AO8" s="167" t="str">
        <f t="shared" ref="AO8:BH8" ca="1" si="9">IF(AO14&gt;AO12,"Boost &gt;","buck &gt;")</f>
        <v>buck &gt;</v>
      </c>
      <c r="AP8" s="167" t="str">
        <f t="shared" ca="1" si="9"/>
        <v>buck &gt;</v>
      </c>
      <c r="AQ8" s="167" t="str">
        <f t="shared" ca="1" si="9"/>
        <v>buck &gt;</v>
      </c>
      <c r="AR8" s="167" t="str">
        <f t="shared" ca="1" si="9"/>
        <v>buck &gt;</v>
      </c>
      <c r="AS8" s="167" t="str">
        <f t="shared" ca="1" si="9"/>
        <v>buck &gt;</v>
      </c>
      <c r="AT8" s="167" t="str">
        <f t="shared" ca="1" si="9"/>
        <v>buck &gt;</v>
      </c>
      <c r="AU8" s="167" t="str">
        <f t="shared" ca="1" si="9"/>
        <v>buck &gt;</v>
      </c>
      <c r="AV8" s="167" t="str">
        <f t="shared" ca="1" si="9"/>
        <v>buck &gt;</v>
      </c>
      <c r="AW8" s="167" t="str">
        <f t="shared" ca="1" si="9"/>
        <v>buck &gt;</v>
      </c>
      <c r="AX8" s="167" t="str">
        <f t="shared" ca="1" si="9"/>
        <v>buck &gt;</v>
      </c>
      <c r="AY8" s="167" t="str">
        <f t="shared" ca="1" si="9"/>
        <v>buck &gt;</v>
      </c>
      <c r="AZ8" s="167" t="str">
        <f t="shared" ca="1" si="9"/>
        <v>buck &gt;</v>
      </c>
      <c r="BA8" s="167" t="str">
        <f t="shared" ca="1" si="9"/>
        <v>buck &gt;</v>
      </c>
      <c r="BB8" s="167" t="str">
        <f t="shared" ca="1" si="9"/>
        <v>buck &gt;</v>
      </c>
      <c r="BC8" s="167" t="str">
        <f t="shared" ca="1" si="9"/>
        <v>buck &gt;</v>
      </c>
      <c r="BD8" s="167" t="str">
        <f t="shared" ca="1" si="9"/>
        <v>buck &gt;</v>
      </c>
      <c r="BE8" s="167" t="str">
        <f t="shared" ca="1" si="9"/>
        <v>buck &gt;</v>
      </c>
      <c r="BF8" s="167" t="str">
        <f t="shared" ca="1" si="9"/>
        <v>buck &gt;</v>
      </c>
      <c r="BG8" s="167" t="str">
        <f t="shared" ca="1" si="9"/>
        <v>buck &gt;</v>
      </c>
      <c r="BH8" s="167" t="str">
        <f t="shared" ca="1" si="9"/>
        <v>buck &gt;</v>
      </c>
      <c r="BI8" s="15"/>
      <c r="BJ8" s="169" t="s">
        <v>55</v>
      </c>
    </row>
    <row r="9" spans="1:62" x14ac:dyDescent="0.3">
      <c r="A9" s="1"/>
      <c r="B9" s="41" t="s">
        <v>78</v>
      </c>
      <c r="C9" s="65">
        <v>18</v>
      </c>
      <c r="D9" s="69" t="s">
        <v>336</v>
      </c>
      <c r="E9" s="1"/>
      <c r="F9" s="3"/>
      <c r="H9" s="15" t="s">
        <v>56</v>
      </c>
      <c r="I9" s="171">
        <f ca="1">IF(Reset=1,I2-Vreg,IF(I14=0,I2-(I22-I23/2)*(I30+dcr*10^-3)-I21-I75,I2-(I22-I23/2)*(I30+R_ds_ON_boost+dcr*10^-3)))</f>
        <v>6.1125726860453584</v>
      </c>
      <c r="J9" s="171">
        <f t="shared" ref="J9:AO9" ca="1" si="10">IF(Reset=1,J2,IF(J14=0,J2-(J22-J23/2)*(J30+dcr*10^-3)-J21-J75,J2-(J22-J23/2)*(J30+R_ds_ON_boost+dcr*10^-3)))</f>
        <v>3.0197006927099883</v>
      </c>
      <c r="K9" s="171">
        <f t="shared" ca="1" si="10"/>
        <v>3.3595523020914277</v>
      </c>
      <c r="L9" s="171">
        <f t="shared" ca="1" si="10"/>
        <v>3.6920220762905078</v>
      </c>
      <c r="M9" s="171">
        <f t="shared" ca="1" si="10"/>
        <v>4.0188226220540608</v>
      </c>
      <c r="N9" s="171">
        <f t="shared" ca="1" si="10"/>
        <v>4.3411368657284255</v>
      </c>
      <c r="O9" s="171">
        <f t="shared" ca="1" si="10"/>
        <v>4.6598141999421925</v>
      </c>
      <c r="P9" s="171">
        <f t="shared" ca="1" si="10"/>
        <v>4.975483308911743</v>
      </c>
      <c r="Q9" s="171">
        <f t="shared" ca="1" si="10"/>
        <v>5.2886211147212805</v>
      </c>
      <c r="R9" s="171">
        <f t="shared" ca="1" si="10"/>
        <v>5.5995968843881458</v>
      </c>
      <c r="S9" s="171">
        <f t="shared" ca="1" si="10"/>
        <v>5.9087015179491846</v>
      </c>
      <c r="T9" s="171">
        <f t="shared" ca="1" si="10"/>
        <v>6.2161675313661897</v>
      </c>
      <c r="U9" s="171">
        <f t="shared" ca="1" si="10"/>
        <v>6.5221813831476396</v>
      </c>
      <c r="V9" s="171">
        <f t="shared" ca="1" si="10"/>
        <v>6.8388846449430361</v>
      </c>
      <c r="W9" s="171">
        <f t="shared" ca="1" si="10"/>
        <v>1.4629010246091969</v>
      </c>
      <c r="X9" s="171">
        <f t="shared" ca="1" si="10"/>
        <v>1.7583815669683056</v>
      </c>
      <c r="Y9" s="171">
        <f t="shared" ca="1" si="10"/>
        <v>2.0539216383137848</v>
      </c>
      <c r="Z9" s="171">
        <f t="shared" ca="1" si="10"/>
        <v>2.3495107629966419</v>
      </c>
      <c r="AA9" s="171">
        <f t="shared" ca="1" si="10"/>
        <v>2.6451403972995302</v>
      </c>
      <c r="AB9" s="171">
        <f t="shared" ca="1" si="10"/>
        <v>2.9408035301343212</v>
      </c>
      <c r="AC9" s="171">
        <f t="shared" ca="1" si="10"/>
        <v>3.2364943753458815</v>
      </c>
      <c r="AD9" s="171">
        <f t="shared" ca="1" si="10"/>
        <v>3.5322081325733437</v>
      </c>
      <c r="AE9" s="171">
        <f t="shared" ca="1" si="10"/>
        <v>3.8279407999107913</v>
      </c>
      <c r="AF9" s="171">
        <f t="shared" ca="1" si="10"/>
        <v>4.1236890260549703</v>
      </c>
      <c r="AG9" s="171">
        <f t="shared" ca="1" si="10"/>
        <v>4.4194499928053137</v>
      </c>
      <c r="AH9" s="171">
        <f t="shared" ca="1" si="10"/>
        <v>4.7152213210769442</v>
      </c>
      <c r="AI9" s="171">
        <f t="shared" ca="1" si="10"/>
        <v>5.0110009952619112</v>
      </c>
      <c r="AJ9" s="171">
        <f t="shared" ca="1" si="10"/>
        <v>5.3067873020069323</v>
      </c>
      <c r="AK9" s="171">
        <f t="shared" ca="1" si="10"/>
        <v>5.602578780391922</v>
      </c>
      <c r="AL9" s="171">
        <f t="shared" ca="1" si="10"/>
        <v>5.8983741811794719</v>
      </c>
      <c r="AM9" s="171">
        <f t="shared" ca="1" si="10"/>
        <v>6.1941724333232999</v>
      </c>
      <c r="AN9" s="171">
        <f t="shared" ca="1" si="10"/>
        <v>6.4899726163173446</v>
      </c>
      <c r="AO9" s="171">
        <f t="shared" ca="1" si="10"/>
        <v>6.7857739372686181</v>
      </c>
      <c r="AP9" s="171">
        <f t="shared" ref="AP9:BH9" ca="1" si="11">IF(Reset=1,AP2,IF(AP14=0,AP2-(AP22-AP23/2)*(AP30+dcr*10^-3)-AP21-AP75,AP2-(AP22-AP23/2)*(AP30+R_ds_ON_boost+dcr*10^-3)))</f>
        <v>7.0815757118092337</v>
      </c>
      <c r="AQ9" s="171">
        <f t="shared" ca="1" si="11"/>
        <v>7.3773773481432432</v>
      </c>
      <c r="AR9" s="171">
        <f t="shared" ca="1" si="11"/>
        <v>7.6731783336644428</v>
      </c>
      <c r="AS9" s="171">
        <f t="shared" ca="1" si="11"/>
        <v>7.9689782236916198</v>
      </c>
      <c r="AT9" s="171">
        <f t="shared" ca="1" si="11"/>
        <v>8.2647766319547227</v>
      </c>
      <c r="AU9" s="171">
        <f t="shared" ca="1" si="11"/>
        <v>8.5605732225343925</v>
      </c>
      <c r="AV9" s="171">
        <f t="shared" ca="1" si="11"/>
        <v>8.8563677030123102</v>
      </c>
      <c r="AW9" s="171">
        <f t="shared" ca="1" si="11"/>
        <v>9.1521598186337485</v>
      </c>
      <c r="AX9" s="171">
        <f t="shared" ca="1" si="11"/>
        <v>9.4479493473191933</v>
      </c>
      <c r="AY9" s="171">
        <f t="shared" ca="1" si="11"/>
        <v>9.743736095390382</v>
      </c>
      <c r="AZ9" s="171">
        <f t="shared" ca="1" si="11"/>
        <v>10.03951989389936</v>
      </c>
      <c r="BA9" s="171">
        <f t="shared" ca="1" si="11"/>
        <v>10.335300595467974</v>
      </c>
      <c r="BB9" s="171">
        <f t="shared" ca="1" si="11"/>
        <v>10.631078071560667</v>
      </c>
      <c r="BC9" s="171">
        <f t="shared" ca="1" si="11"/>
        <v>10.926852210126087</v>
      </c>
      <c r="BD9" s="171">
        <f t="shared" ca="1" si="11"/>
        <v>11.222622913553389</v>
      </c>
      <c r="BE9" s="171">
        <f t="shared" ca="1" si="11"/>
        <v>11.518390096897775</v>
      </c>
      <c r="BF9" s="171">
        <f t="shared" ca="1" si="11"/>
        <v>11.814153686336903</v>
      </c>
      <c r="BG9" s="171">
        <f t="shared" ca="1" si="11"/>
        <v>12.10991361782569</v>
      </c>
      <c r="BH9" s="171">
        <f t="shared" ca="1" si="11"/>
        <v>30.102204488086151</v>
      </c>
      <c r="BI9" s="15" t="s">
        <v>56</v>
      </c>
      <c r="BJ9" s="169"/>
    </row>
    <row r="10" spans="1:62" x14ac:dyDescent="0.3">
      <c r="A10" s="1"/>
      <c r="B10" s="41" t="s">
        <v>79</v>
      </c>
      <c r="C10" s="65">
        <v>36</v>
      </c>
      <c r="D10" s="69" t="s">
        <v>318</v>
      </c>
      <c r="E10" s="1"/>
      <c r="F10" s="3"/>
      <c r="H10" s="15" t="s">
        <v>57</v>
      </c>
      <c r="I10" s="171">
        <f ca="1">IF(Reset=1,0,IF(I12&gt;I14,IF(I14=0,0,Vreg+I71+(I22-I23/2)*(I30+dcr*10^-3)-I2),I71+(I22-I23/2)*(R_ds_ON_boost+dcr*10^-3)))</f>
        <v>0</v>
      </c>
      <c r="J10" s="171">
        <f t="shared" ref="J10:AO10" ca="1" si="12">IF(Reset=1,J71,IF(J12&gt;J14,IF(J14=0,0,Vreg+J71+(J22-J23/2)*(J30+dcr*10^-3)-J2),J71+(J22-J23/2)*(R_ds_ON_boost+dcr*10^-3)))</f>
        <v>2.7477863116274666</v>
      </c>
      <c r="K10" s="171">
        <f t="shared" ca="1" si="12"/>
        <v>2.3964021466473575</v>
      </c>
      <c r="L10" s="171">
        <f t="shared" ca="1" si="12"/>
        <v>2.0545940434204262</v>
      </c>
      <c r="M10" s="171">
        <f t="shared" ca="1" si="12"/>
        <v>1.7200546047913736</v>
      </c>
      <c r="N10" s="171">
        <f t="shared" ca="1" si="12"/>
        <v>1.3912165201361688</v>
      </c>
      <c r="O10" s="171">
        <f t="shared" ca="1" si="12"/>
        <v>1.0669696729092379</v>
      </c>
      <c r="P10" s="171">
        <f t="shared" ca="1" si="12"/>
        <v>0.74650124692213637</v>
      </c>
      <c r="Q10" s="171">
        <f t="shared" ca="1" si="12"/>
        <v>0.42919994816489382</v>
      </c>
      <c r="R10" s="171">
        <f t="shared" ca="1" si="12"/>
        <v>0.11459575366594432</v>
      </c>
      <c r="S10" s="171">
        <f t="shared" ca="1" si="12"/>
        <v>-0.1976795314436357</v>
      </c>
      <c r="T10" s="171">
        <f t="shared" ca="1" si="12"/>
        <v>-0.50795424778860809</v>
      </c>
      <c r="U10" s="171">
        <f t="shared" ca="1" si="12"/>
        <v>-0.81759011320497521</v>
      </c>
      <c r="V10" s="171">
        <f t="shared" ca="1" si="12"/>
        <v>-1.137515343505366</v>
      </c>
      <c r="W10" s="171">
        <f t="shared" ca="1" si="12"/>
        <v>0</v>
      </c>
      <c r="X10" s="171">
        <f t="shared" ca="1" si="12"/>
        <v>0</v>
      </c>
      <c r="Y10" s="171">
        <f t="shared" ca="1" si="12"/>
        <v>0</v>
      </c>
      <c r="Z10" s="171">
        <f t="shared" ca="1" si="12"/>
        <v>0</v>
      </c>
      <c r="AA10" s="171">
        <f t="shared" ca="1" si="12"/>
        <v>0</v>
      </c>
      <c r="AB10" s="171">
        <f t="shared" ca="1" si="12"/>
        <v>0</v>
      </c>
      <c r="AC10" s="171">
        <f t="shared" ca="1" si="12"/>
        <v>0</v>
      </c>
      <c r="AD10" s="171">
        <f t="shared" ca="1" si="12"/>
        <v>0</v>
      </c>
      <c r="AE10" s="171">
        <f t="shared" ca="1" si="12"/>
        <v>0</v>
      </c>
      <c r="AF10" s="171">
        <f t="shared" ca="1" si="12"/>
        <v>0</v>
      </c>
      <c r="AG10" s="171">
        <f t="shared" ca="1" si="12"/>
        <v>0</v>
      </c>
      <c r="AH10" s="171">
        <f t="shared" ca="1" si="12"/>
        <v>0</v>
      </c>
      <c r="AI10" s="171">
        <f t="shared" ca="1" si="12"/>
        <v>0</v>
      </c>
      <c r="AJ10" s="171">
        <f t="shared" ca="1" si="12"/>
        <v>0</v>
      </c>
      <c r="AK10" s="171">
        <f t="shared" ca="1" si="12"/>
        <v>0</v>
      </c>
      <c r="AL10" s="171">
        <f t="shared" ca="1" si="12"/>
        <v>0</v>
      </c>
      <c r="AM10" s="171">
        <f t="shared" ca="1" si="12"/>
        <v>0</v>
      </c>
      <c r="AN10" s="171">
        <f t="shared" ca="1" si="12"/>
        <v>0</v>
      </c>
      <c r="AO10" s="171">
        <f t="shared" ca="1" si="12"/>
        <v>0</v>
      </c>
      <c r="AP10" s="171">
        <f t="shared" ref="AP10:BH10" ca="1" si="13">IF(Reset=1,AP71,IF(AP12&gt;AP14,IF(AP14=0,0,Vreg+AP71+(AP22-AP23/2)*(AP30+dcr*10^-3)-AP2),AP71+(AP22-AP23/2)*(R_ds_ON_boost+dcr*10^-3)))</f>
        <v>0</v>
      </c>
      <c r="AQ10" s="171">
        <f t="shared" ca="1" si="13"/>
        <v>0</v>
      </c>
      <c r="AR10" s="171">
        <f t="shared" ca="1" si="13"/>
        <v>0</v>
      </c>
      <c r="AS10" s="171">
        <f t="shared" ca="1" si="13"/>
        <v>0</v>
      </c>
      <c r="AT10" s="171">
        <f t="shared" ca="1" si="13"/>
        <v>0</v>
      </c>
      <c r="AU10" s="171">
        <f t="shared" ca="1" si="13"/>
        <v>0</v>
      </c>
      <c r="AV10" s="171">
        <f t="shared" ca="1" si="13"/>
        <v>0</v>
      </c>
      <c r="AW10" s="171">
        <f t="shared" ca="1" si="13"/>
        <v>0</v>
      </c>
      <c r="AX10" s="171">
        <f t="shared" ca="1" si="13"/>
        <v>0</v>
      </c>
      <c r="AY10" s="171">
        <f t="shared" ca="1" si="13"/>
        <v>0</v>
      </c>
      <c r="AZ10" s="171">
        <f t="shared" ca="1" si="13"/>
        <v>0</v>
      </c>
      <c r="BA10" s="171">
        <f t="shared" ca="1" si="13"/>
        <v>0</v>
      </c>
      <c r="BB10" s="171">
        <f t="shared" ca="1" si="13"/>
        <v>0</v>
      </c>
      <c r="BC10" s="171">
        <f t="shared" ca="1" si="13"/>
        <v>0</v>
      </c>
      <c r="BD10" s="171">
        <f t="shared" ca="1" si="13"/>
        <v>0</v>
      </c>
      <c r="BE10" s="171">
        <f t="shared" ca="1" si="13"/>
        <v>0</v>
      </c>
      <c r="BF10" s="171">
        <f t="shared" ca="1" si="13"/>
        <v>0</v>
      </c>
      <c r="BG10" s="171">
        <f t="shared" ca="1" si="13"/>
        <v>0</v>
      </c>
      <c r="BH10" s="171">
        <f t="shared" ca="1" si="13"/>
        <v>0</v>
      </c>
      <c r="BI10" s="15" t="s">
        <v>57</v>
      </c>
      <c r="BJ10" s="169"/>
    </row>
    <row r="11" spans="1:62" x14ac:dyDescent="0.3">
      <c r="A11" s="1"/>
      <c r="B11" s="41" t="s">
        <v>7</v>
      </c>
      <c r="C11" s="66">
        <v>2000</v>
      </c>
      <c r="D11" s="69" t="s">
        <v>161</v>
      </c>
      <c r="E11" s="1"/>
      <c r="F11" s="49"/>
      <c r="G11" s="170" t="s">
        <v>110</v>
      </c>
      <c r="H11" s="15" t="s">
        <v>58</v>
      </c>
      <c r="I11" s="171">
        <f ca="1">IF(Reset=1,Vreg,Vreg+I71+I75+(I22-I23/2)*dcr*10^-3)</f>
        <v>6.0895258121686782</v>
      </c>
      <c r="J11" s="171">
        <f t="shared" ref="J11:AO11" ca="1" si="14">Vreg+J71+J75+(J22-J23/2)*dcr*10^-3</f>
        <v>6.3287468910160598</v>
      </c>
      <c r="K11" s="171">
        <f t="shared" ca="1" si="14"/>
        <v>6.2954831444560391</v>
      </c>
      <c r="L11" s="171">
        <f t="shared" ca="1" si="14"/>
        <v>6.267321595902299</v>
      </c>
      <c r="M11" s="171">
        <f t="shared" ca="1" si="14"/>
        <v>6.2433262860039243</v>
      </c>
      <c r="N11" s="171">
        <f t="shared" ca="1" si="14"/>
        <v>6.2226286039748597</v>
      </c>
      <c r="O11" s="171">
        <f t="shared" ca="1" si="14"/>
        <v>6.204601346084595</v>
      </c>
      <c r="P11" s="171">
        <f t="shared" ca="1" si="14"/>
        <v>6.1887778298498661</v>
      </c>
      <c r="Q11" s="171">
        <f t="shared" ca="1" si="14"/>
        <v>6.1748022910368343</v>
      </c>
      <c r="R11" s="171">
        <f t="shared" ca="1" si="14"/>
        <v>6.1623980138457304</v>
      </c>
      <c r="S11" s="171">
        <f t="shared" ca="1" si="14"/>
        <v>6.1513460728050351</v>
      </c>
      <c r="T11" s="171">
        <f t="shared" ca="1" si="14"/>
        <v>6.1414353967217519</v>
      </c>
      <c r="U11" s="171">
        <f t="shared" ca="1" si="14"/>
        <v>6.1313971708249646</v>
      </c>
      <c r="V11" s="171">
        <f t="shared" ca="1" si="14"/>
        <v>6.121529261175878</v>
      </c>
      <c r="W11" s="171">
        <f t="shared" ca="1" si="14"/>
        <v>6.0999564889637234</v>
      </c>
      <c r="X11" s="171">
        <f t="shared" ca="1" si="14"/>
        <v>6.0990780072660495</v>
      </c>
      <c r="Y11" s="171">
        <f t="shared" ca="1" si="14"/>
        <v>6.098233215711609</v>
      </c>
      <c r="Z11" s="171">
        <f t="shared" ca="1" si="14"/>
        <v>6.0974216705208084</v>
      </c>
      <c r="AA11" s="171">
        <f t="shared" ca="1" si="14"/>
        <v>6.0966425738112653</v>
      </c>
      <c r="AB11" s="171">
        <f t="shared" ca="1" si="14"/>
        <v>6.0958948990184787</v>
      </c>
      <c r="AC11" s="171">
        <f t="shared" ca="1" si="14"/>
        <v>6.0951774796229214</v>
      </c>
      <c r="AD11" s="171">
        <f t="shared" ca="1" si="14"/>
        <v>6.0944890718505942</v>
      </c>
      <c r="AE11" s="171">
        <f t="shared" ca="1" si="14"/>
        <v>6.0938283988031134</v>
      </c>
      <c r="AF11" s="171">
        <f t="shared" ca="1" si="14"/>
        <v>6.0931941812745807</v>
      </c>
      <c r="AG11" s="171">
        <f t="shared" ca="1" si="14"/>
        <v>6.0925851589909481</v>
      </c>
      <c r="AH11" s="171">
        <f t="shared" ca="1" si="14"/>
        <v>6.0920001049448622</v>
      </c>
      <c r="AI11" s="171">
        <f t="shared" ca="1" si="14"/>
        <v>6.0914378347500744</v>
      </c>
      <c r="AJ11" s="171">
        <f t="shared" ca="1" si="14"/>
        <v>6.0908972124076017</v>
      </c>
      <c r="AK11" s="171">
        <f t="shared" ca="1" si="14"/>
        <v>6.0903771534953703</v>
      </c>
      <c r="AL11" s="171">
        <f t="shared" ca="1" si="14"/>
        <v>6.0898766265190387</v>
      </c>
      <c r="AM11" s="171">
        <f t="shared" ca="1" si="14"/>
        <v>6.089394652963251</v>
      </c>
      <c r="AN11" s="171">
        <f t="shared" ca="1" si="14"/>
        <v>6.0889303064380575</v>
      </c>
      <c r="AO11" s="171">
        <f t="shared" ca="1" si="14"/>
        <v>6.0884827112094957</v>
      </c>
      <c r="AP11" s="171">
        <f t="shared" ref="AP11:BH11" ca="1" si="15">Vreg+AP71+AP75+(AP22-AP23/2)*dcr*10^-3</f>
        <v>6.0880510403257508</v>
      </c>
      <c r="AQ11" s="171">
        <f t="shared" ca="1" si="15"/>
        <v>6.087634513493013</v>
      </c>
      <c r="AR11" s="171">
        <f t="shared" ca="1" si="15"/>
        <v>6.0872323948129887</v>
      </c>
      <c r="AS11" s="171">
        <f t="shared" ca="1" si="15"/>
        <v>6.0868439904626488</v>
      </c>
      <c r="AT11" s="171">
        <f t="shared" ca="1" si="15"/>
        <v>6.0864686463737021</v>
      </c>
      <c r="AU11" s="171">
        <f t="shared" ca="1" si="15"/>
        <v>6.0861057459520431</v>
      </c>
      <c r="AV11" s="171">
        <f t="shared" ca="1" si="15"/>
        <v>6.085754707864762</v>
      </c>
      <c r="AW11" s="171">
        <f t="shared" ca="1" si="15"/>
        <v>6.0854149839128855</v>
      </c>
      <c r="AX11" s="171">
        <f t="shared" ca="1" si="15"/>
        <v>6.0850860570011278</v>
      </c>
      <c r="AY11" s="171">
        <f t="shared" ca="1" si="15"/>
        <v>6.0847674392108582</v>
      </c>
      <c r="AZ11" s="171">
        <f t="shared" ca="1" si="15"/>
        <v>6.0844586699788525</v>
      </c>
      <c r="BA11" s="171">
        <f t="shared" ca="1" si="15"/>
        <v>6.0841593143817425</v>
      </c>
      <c r="BB11" s="171">
        <f t="shared" ca="1" si="15"/>
        <v>6.0838689615242378</v>
      </c>
      <c r="BC11" s="171">
        <f t="shared" ca="1" si="15"/>
        <v>6.0835872230279273</v>
      </c>
      <c r="BD11" s="171">
        <f t="shared" ca="1" si="15"/>
        <v>6.0833137316166148</v>
      </c>
      <c r="BE11" s="171">
        <f t="shared" ca="1" si="15"/>
        <v>6.0830481397936289</v>
      </c>
      <c r="BF11" s="171">
        <f t="shared" ca="1" si="15"/>
        <v>6.0827901186062681</v>
      </c>
      <c r="BG11" s="171">
        <f t="shared" ca="1" si="15"/>
        <v>6.0825393564923989</v>
      </c>
      <c r="BH11" s="171">
        <f t="shared" ca="1" si="15"/>
        <v>6.0773159037241706</v>
      </c>
      <c r="BI11" s="15" t="s">
        <v>58</v>
      </c>
      <c r="BJ11" s="169"/>
    </row>
    <row r="12" spans="1:62" ht="15.6" x14ac:dyDescent="0.3">
      <c r="A12" s="1"/>
      <c r="B12" s="265" t="s">
        <v>340</v>
      </c>
      <c r="C12" s="266">
        <f>(fsw/12724)^-1.175</f>
        <v>8.794730912029582</v>
      </c>
      <c r="D12" s="264" t="s">
        <v>339</v>
      </c>
      <c r="E12" s="1"/>
      <c r="F12" s="49"/>
      <c r="G12" s="176">
        <v>55</v>
      </c>
      <c r="H12" s="15" t="s">
        <v>34</v>
      </c>
      <c r="I12" s="177">
        <f t="shared" ref="I12:AN12" ca="1" si="16">IF(Reset=1,0.7,IF(I14=0,IF(I11/(I9+I11)&gt;1,1,I11/(I9+I11)),IF(IF((I11*(1-I14)+I10*I14)/(I9+I10)&gt;I14,(I10*I14-I11+I9*I14)/(I10-I11),(I11*(1-I14)+I10*I14)/(I9+I10))&gt;$M$169,$M$169,IF((I11*(1-I14)+I10*I14)/(I9+I10)&gt;I14,(I10*I14-I11+I9*I14)/(I10-I11),(I11*(1-I14)+I10*I14)/(I9+I10)))))</f>
        <v>0.49905561842989327</v>
      </c>
      <c r="J12" s="177">
        <f t="shared" ca="1" si="16"/>
        <v>0.83318549935273278</v>
      </c>
      <c r="K12" s="177">
        <f t="shared" ca="1" si="16"/>
        <v>0.81372507198916832</v>
      </c>
      <c r="L12" s="177">
        <f t="shared" ca="1" si="16"/>
        <v>0.79879008324012279</v>
      </c>
      <c r="M12" s="177">
        <f t="shared" ca="1" si="16"/>
        <v>0.78706490202260326</v>
      </c>
      <c r="N12" s="177">
        <f t="shared" ca="1" si="16"/>
        <v>0.77768706681197453</v>
      </c>
      <c r="O12" s="177">
        <f t="shared" ca="1" si="16"/>
        <v>0.77007305238123347</v>
      </c>
      <c r="P12" s="177">
        <f t="shared" ca="1" si="16"/>
        <v>0.76381443927230763</v>
      </c>
      <c r="Q12" s="177">
        <f t="shared" ca="1" si="16"/>
        <v>0.75861731294270085</v>
      </c>
      <c r="R12" s="177">
        <f t="shared" ca="1" si="16"/>
        <v>0.75426517564080131</v>
      </c>
      <c r="S12" s="177">
        <f t="shared" ca="1" si="16"/>
        <v>0.75059535149300183</v>
      </c>
      <c r="T12" s="177">
        <f t="shared" ca="1" si="16"/>
        <v>0.74747926572775047</v>
      </c>
      <c r="U12" s="177">
        <f t="shared" ca="1" si="16"/>
        <v>0.74468562628695389</v>
      </c>
      <c r="V12" s="177">
        <f t="shared" ca="1" si="16"/>
        <v>0.74103246366121434</v>
      </c>
      <c r="W12" s="177">
        <f t="shared" ca="1" si="16"/>
        <v>0.80656768662059874</v>
      </c>
      <c r="X12" s="177">
        <f t="shared" ca="1" si="16"/>
        <v>0.77621500303555235</v>
      </c>
      <c r="Y12" s="177">
        <f t="shared" ca="1" si="16"/>
        <v>0.74805169000198846</v>
      </c>
      <c r="Z12" s="177">
        <f t="shared" ca="1" si="16"/>
        <v>0.72185041356862567</v>
      </c>
      <c r="AA12" s="177">
        <f t="shared" ca="1" si="16"/>
        <v>0.6974140851996673</v>
      </c>
      <c r="AB12" s="177">
        <f t="shared" ca="1" si="16"/>
        <v>0.67457102246024325</v>
      </c>
      <c r="AC12" s="177">
        <f t="shared" ca="1" si="16"/>
        <v>0.65317100454806964</v>
      </c>
      <c r="AD12" s="177">
        <f t="shared" ca="1" si="16"/>
        <v>0.63308203659401263</v>
      </c>
      <c r="AE12" s="177">
        <f t="shared" ca="1" si="16"/>
        <v>0.61418767930955465</v>
      </c>
      <c r="AF12" s="177">
        <f t="shared" ca="1" si="16"/>
        <v>0.59638483259780706</v>
      </c>
      <c r="AG12" s="177">
        <f t="shared" ca="1" si="16"/>
        <v>0.57958188600138649</v>
      </c>
      <c r="AH12" s="177">
        <f t="shared" ca="1" si="16"/>
        <v>0.56369716736592845</v>
      </c>
      <c r="AI12" s="177">
        <f t="shared" ca="1" si="16"/>
        <v>0.54865763531916689</v>
      </c>
      <c r="AJ12" s="177">
        <f t="shared" ca="1" si="16"/>
        <v>0.53439777217069895</v>
      </c>
      <c r="AK12" s="177">
        <f t="shared" ca="1" si="16"/>
        <v>0.52085864241093061</v>
      </c>
      <c r="AL12" s="177">
        <f t="shared" ca="1" si="16"/>
        <v>0.50798708870924647</v>
      </c>
      <c r="AM12" s="177">
        <f t="shared" ca="1" si="16"/>
        <v>0.49573504261327217</v>
      </c>
      <c r="AN12" s="177">
        <f t="shared" ca="1" si="16"/>
        <v>0.48405893135744787</v>
      </c>
      <c r="AO12" s="177">
        <f t="shared" ref="AO12:BH12" ca="1" si="17">IF(Reset=1,0.7,IF(AO14=0,IF(AO11/(AO9+AO11)&gt;1,1,AO11/(AO9+AO11)),IF(IF((AO11*(1-AO14)+AO10*AO14)/(AO9+AO10)&gt;AO14,(AO10*AO14-AO11+AO9*AO14)/(AO10-AO11),(AO11*(1-AO14)+AO10*AO14)/(AO9+AO10))&gt;$M$169,$M$169,IF((AO11*(1-AO14)+AO10*AO14)/(AO9+AO10)&gt;AO14,(AO10*AO14-AO11+AO9*AO14)/(AO10-AO11),(AO11*(1-AO14)+AO10*AO14)/(AO9+AO10)))))</f>
        <v>0.47291916554492686</v>
      </c>
      <c r="AP12" s="177">
        <f t="shared" ca="1" si="17"/>
        <v>0.46227969515831502</v>
      </c>
      <c r="AQ12" s="177">
        <f t="shared" ca="1" si="17"/>
        <v>0.45210762352445855</v>
      </c>
      <c r="AR12" s="177">
        <f t="shared" ca="1" si="17"/>
        <v>0.44237287061608893</v>
      </c>
      <c r="AS12" s="177">
        <f t="shared" ca="1" si="17"/>
        <v>0.43304787850355514</v>
      </c>
      <c r="AT12" s="177">
        <f t="shared" ca="1" si="17"/>
        <v>0.42410735293924473</v>
      </c>
      <c r="AU12" s="177">
        <f t="shared" ca="1" si="17"/>
        <v>0.41552803601736699</v>
      </c>
      <c r="AV12" s="177">
        <f t="shared" ca="1" si="17"/>
        <v>0.40728850564325825</v>
      </c>
      <c r="AW12" s="177">
        <f t="shared" ca="1" si="17"/>
        <v>0.39936899820146177</v>
      </c>
      <c r="AX12" s="177">
        <f t="shared" ca="1" si="17"/>
        <v>0.39175125135610239</v>
      </c>
      <c r="AY12" s="177">
        <f t="shared" ca="1" si="17"/>
        <v>0.3844183643709278</v>
      </c>
      <c r="AZ12" s="177">
        <f t="shared" ca="1" si="17"/>
        <v>0.37735467371617437</v>
      </c>
      <c r="BA12" s="177">
        <f t="shared" ca="1" si="17"/>
        <v>0.37054564204830959</v>
      </c>
      <c r="BB12" s="177">
        <f t="shared" ca="1" si="17"/>
        <v>0.36397775891733719</v>
      </c>
      <c r="BC12" s="177">
        <f t="shared" ca="1" si="17"/>
        <v>0.35763845178336645</v>
      </c>
      <c r="BD12" s="177">
        <f t="shared" ca="1" si="17"/>
        <v>0.35151600611657363</v>
      </c>
      <c r="BE12" s="177">
        <f t="shared" ca="1" si="17"/>
        <v>0.34559949351826819</v>
      </c>
      <c r="BF12" s="177">
        <f t="shared" ca="1" si="17"/>
        <v>0.33987870694024247</v>
      </c>
      <c r="BG12" s="177">
        <f t="shared" ca="1" si="17"/>
        <v>0.33434410219880711</v>
      </c>
      <c r="BH12" s="177">
        <f t="shared" ca="1" si="17"/>
        <v>0.16797668509447256</v>
      </c>
      <c r="BI12" s="15" t="s">
        <v>34</v>
      </c>
      <c r="BJ12" s="169"/>
    </row>
    <row r="13" spans="1:62" ht="16.2" thickBot="1" x14ac:dyDescent="0.35">
      <c r="A13" s="1"/>
      <c r="B13" s="42" t="s">
        <v>325</v>
      </c>
      <c r="C13" s="73">
        <v>125</v>
      </c>
      <c r="D13" s="229" t="s">
        <v>163</v>
      </c>
      <c r="E13" s="1"/>
      <c r="F13" s="49"/>
      <c r="G13" s="170" t="s">
        <v>109</v>
      </c>
      <c r="I13" s="177">
        <f t="shared" ref="I13:AN13" si="18">IF(m_*I2+b_&lt;0,0,m_*I2+b_)</f>
        <v>0</v>
      </c>
      <c r="J13" s="177">
        <f t="shared" si="18"/>
        <v>0.57999999999999996</v>
      </c>
      <c r="K13" s="177">
        <f t="shared" si="18"/>
        <v>0.54251700680272097</v>
      </c>
      <c r="L13" s="177">
        <f t="shared" si="18"/>
        <v>0.50503401360544209</v>
      </c>
      <c r="M13" s="177">
        <f t="shared" si="18"/>
        <v>0.4675510204081631</v>
      </c>
      <c r="N13" s="177">
        <f t="shared" si="18"/>
        <v>0.43006802721088422</v>
      </c>
      <c r="O13" s="177">
        <f t="shared" si="18"/>
        <v>0.39258503401360523</v>
      </c>
      <c r="P13" s="177">
        <f t="shared" si="18"/>
        <v>0.35510204081632635</v>
      </c>
      <c r="Q13" s="177">
        <f t="shared" si="18"/>
        <v>0.31761904761904736</v>
      </c>
      <c r="R13" s="177">
        <f t="shared" si="18"/>
        <v>0.28013605442176848</v>
      </c>
      <c r="S13" s="177">
        <f t="shared" si="18"/>
        <v>0.24265306122448949</v>
      </c>
      <c r="T13" s="177">
        <f t="shared" si="18"/>
        <v>0.20517006802721061</v>
      </c>
      <c r="U13" s="177">
        <f t="shared" si="18"/>
        <v>0.16768707482993161</v>
      </c>
      <c r="V13" s="177">
        <f t="shared" si="18"/>
        <v>0.13020408163265274</v>
      </c>
      <c r="W13" s="177">
        <f t="shared" si="18"/>
        <v>9.2721088435373744E-2</v>
      </c>
      <c r="X13" s="177">
        <f t="shared" si="18"/>
        <v>5.5238095238094864E-2</v>
      </c>
      <c r="Y13" s="177">
        <f t="shared" si="18"/>
        <v>1.7755102040815984E-2</v>
      </c>
      <c r="Z13" s="177">
        <f t="shared" si="18"/>
        <v>0</v>
      </c>
      <c r="AA13" s="177">
        <f t="shared" si="18"/>
        <v>0</v>
      </c>
      <c r="AB13" s="177">
        <f t="shared" si="18"/>
        <v>0</v>
      </c>
      <c r="AC13" s="177">
        <f t="shared" si="18"/>
        <v>0</v>
      </c>
      <c r="AD13" s="177">
        <f t="shared" si="18"/>
        <v>0</v>
      </c>
      <c r="AE13" s="177">
        <f t="shared" si="18"/>
        <v>0</v>
      </c>
      <c r="AF13" s="177">
        <f t="shared" si="18"/>
        <v>0</v>
      </c>
      <c r="AG13" s="177">
        <f t="shared" si="18"/>
        <v>0</v>
      </c>
      <c r="AH13" s="177">
        <f t="shared" si="18"/>
        <v>0</v>
      </c>
      <c r="AI13" s="177">
        <f t="shared" si="18"/>
        <v>0</v>
      </c>
      <c r="AJ13" s="177">
        <f t="shared" si="18"/>
        <v>0</v>
      </c>
      <c r="AK13" s="177">
        <f t="shared" si="18"/>
        <v>0</v>
      </c>
      <c r="AL13" s="177">
        <f t="shared" si="18"/>
        <v>0</v>
      </c>
      <c r="AM13" s="177">
        <f t="shared" si="18"/>
        <v>0</v>
      </c>
      <c r="AN13" s="177">
        <f t="shared" si="18"/>
        <v>0</v>
      </c>
      <c r="AO13" s="177">
        <f t="shared" ref="AO13:BH13" si="19">IF(m_*AO2+b_&lt;0,0,m_*AO2+b_)</f>
        <v>0</v>
      </c>
      <c r="AP13" s="177">
        <f t="shared" si="19"/>
        <v>0</v>
      </c>
      <c r="AQ13" s="177">
        <f t="shared" si="19"/>
        <v>0</v>
      </c>
      <c r="AR13" s="177">
        <f t="shared" si="19"/>
        <v>0</v>
      </c>
      <c r="AS13" s="177">
        <f t="shared" si="19"/>
        <v>0</v>
      </c>
      <c r="AT13" s="177">
        <f t="shared" si="19"/>
        <v>0</v>
      </c>
      <c r="AU13" s="177">
        <f t="shared" si="19"/>
        <v>0</v>
      </c>
      <c r="AV13" s="177">
        <f t="shared" si="19"/>
        <v>0</v>
      </c>
      <c r="AW13" s="177">
        <f t="shared" si="19"/>
        <v>0</v>
      </c>
      <c r="AX13" s="177">
        <f t="shared" si="19"/>
        <v>0</v>
      </c>
      <c r="AY13" s="177">
        <f t="shared" si="19"/>
        <v>0</v>
      </c>
      <c r="AZ13" s="177">
        <f t="shared" si="19"/>
        <v>0</v>
      </c>
      <c r="BA13" s="177">
        <f t="shared" si="19"/>
        <v>0</v>
      </c>
      <c r="BB13" s="177">
        <f t="shared" si="19"/>
        <v>0</v>
      </c>
      <c r="BC13" s="177">
        <f t="shared" si="19"/>
        <v>0</v>
      </c>
      <c r="BD13" s="177">
        <f t="shared" si="19"/>
        <v>0</v>
      </c>
      <c r="BE13" s="177">
        <f t="shared" si="19"/>
        <v>0</v>
      </c>
      <c r="BF13" s="177">
        <f t="shared" si="19"/>
        <v>0</v>
      </c>
      <c r="BG13" s="177">
        <f t="shared" si="19"/>
        <v>0</v>
      </c>
      <c r="BH13" s="177">
        <f t="shared" si="19"/>
        <v>0</v>
      </c>
      <c r="BI13" s="15"/>
      <c r="BJ13" s="169"/>
    </row>
    <row r="14" spans="1:62" ht="15" thickBot="1" x14ac:dyDescent="0.35">
      <c r="A14" s="1"/>
      <c r="B14" s="26"/>
      <c r="C14" s="102"/>
      <c r="D14" s="26"/>
      <c r="E14" s="48"/>
      <c r="F14" s="49"/>
      <c r="G14" s="176">
        <f ca="1">t_on_min_Boost*I19*10^-6</f>
        <v>0.11</v>
      </c>
      <c r="H14" s="15" t="s">
        <v>47</v>
      </c>
      <c r="I14" s="177">
        <f t="shared" ref="I14:AN14" ca="1" si="20">IF(I13&lt;D_boost_min,0,I13)</f>
        <v>0</v>
      </c>
      <c r="J14" s="177">
        <f t="shared" ca="1" si="20"/>
        <v>0.57999999999999996</v>
      </c>
      <c r="K14" s="177">
        <f t="shared" ca="1" si="20"/>
        <v>0.54251700680272097</v>
      </c>
      <c r="L14" s="177">
        <f t="shared" ca="1" si="20"/>
        <v>0.50503401360544209</v>
      </c>
      <c r="M14" s="177">
        <f t="shared" ca="1" si="20"/>
        <v>0.4675510204081631</v>
      </c>
      <c r="N14" s="177">
        <f t="shared" ca="1" si="20"/>
        <v>0.43006802721088422</v>
      </c>
      <c r="O14" s="177">
        <f t="shared" ca="1" si="20"/>
        <v>0.39258503401360523</v>
      </c>
      <c r="P14" s="177">
        <f t="shared" ca="1" si="20"/>
        <v>0.35510204081632635</v>
      </c>
      <c r="Q14" s="177">
        <f t="shared" ca="1" si="20"/>
        <v>0.31761904761904736</v>
      </c>
      <c r="R14" s="177">
        <f t="shared" ca="1" si="20"/>
        <v>0.28013605442176848</v>
      </c>
      <c r="S14" s="177">
        <f t="shared" ca="1" si="20"/>
        <v>0.24265306122448949</v>
      </c>
      <c r="T14" s="177">
        <f t="shared" ca="1" si="20"/>
        <v>0.20517006802721061</v>
      </c>
      <c r="U14" s="177">
        <f t="shared" ca="1" si="20"/>
        <v>0.16768707482993161</v>
      </c>
      <c r="V14" s="177">
        <f t="shared" ca="1" si="20"/>
        <v>0.13020408163265274</v>
      </c>
      <c r="W14" s="177">
        <f t="shared" ca="1" si="20"/>
        <v>0</v>
      </c>
      <c r="X14" s="177">
        <f t="shared" ca="1" si="20"/>
        <v>0</v>
      </c>
      <c r="Y14" s="177">
        <f t="shared" ca="1" si="20"/>
        <v>0</v>
      </c>
      <c r="Z14" s="177">
        <f t="shared" ca="1" si="20"/>
        <v>0</v>
      </c>
      <c r="AA14" s="177">
        <f t="shared" ca="1" si="20"/>
        <v>0</v>
      </c>
      <c r="AB14" s="177">
        <f t="shared" ca="1" si="20"/>
        <v>0</v>
      </c>
      <c r="AC14" s="177">
        <f t="shared" ca="1" si="20"/>
        <v>0</v>
      </c>
      <c r="AD14" s="177">
        <f t="shared" ca="1" si="20"/>
        <v>0</v>
      </c>
      <c r="AE14" s="177">
        <f t="shared" ca="1" si="20"/>
        <v>0</v>
      </c>
      <c r="AF14" s="177">
        <f t="shared" ca="1" si="20"/>
        <v>0</v>
      </c>
      <c r="AG14" s="177">
        <f t="shared" ca="1" si="20"/>
        <v>0</v>
      </c>
      <c r="AH14" s="177">
        <f t="shared" ca="1" si="20"/>
        <v>0</v>
      </c>
      <c r="AI14" s="177">
        <f t="shared" ca="1" si="20"/>
        <v>0</v>
      </c>
      <c r="AJ14" s="177">
        <f t="shared" ca="1" si="20"/>
        <v>0</v>
      </c>
      <c r="AK14" s="177">
        <f t="shared" ca="1" si="20"/>
        <v>0</v>
      </c>
      <c r="AL14" s="177">
        <f t="shared" ca="1" si="20"/>
        <v>0</v>
      </c>
      <c r="AM14" s="177">
        <f t="shared" ca="1" si="20"/>
        <v>0</v>
      </c>
      <c r="AN14" s="177">
        <f t="shared" ca="1" si="20"/>
        <v>0</v>
      </c>
      <c r="AO14" s="177">
        <f t="shared" ref="AO14:BG14" ca="1" si="21">IF(AO13&lt;D_boost_min,0,AO13)</f>
        <v>0</v>
      </c>
      <c r="AP14" s="177">
        <f t="shared" ca="1" si="21"/>
        <v>0</v>
      </c>
      <c r="AQ14" s="177">
        <f t="shared" ca="1" si="21"/>
        <v>0</v>
      </c>
      <c r="AR14" s="177">
        <f t="shared" ca="1" si="21"/>
        <v>0</v>
      </c>
      <c r="AS14" s="177">
        <f t="shared" ca="1" si="21"/>
        <v>0</v>
      </c>
      <c r="AT14" s="177">
        <f t="shared" ca="1" si="21"/>
        <v>0</v>
      </c>
      <c r="AU14" s="177">
        <f t="shared" ca="1" si="21"/>
        <v>0</v>
      </c>
      <c r="AV14" s="177">
        <f t="shared" ca="1" si="21"/>
        <v>0</v>
      </c>
      <c r="AW14" s="177">
        <f t="shared" ca="1" si="21"/>
        <v>0</v>
      </c>
      <c r="AX14" s="177">
        <f t="shared" ca="1" si="21"/>
        <v>0</v>
      </c>
      <c r="AY14" s="177">
        <f t="shared" ca="1" si="21"/>
        <v>0</v>
      </c>
      <c r="AZ14" s="177">
        <f t="shared" ca="1" si="21"/>
        <v>0</v>
      </c>
      <c r="BA14" s="177">
        <f t="shared" ca="1" si="21"/>
        <v>0</v>
      </c>
      <c r="BB14" s="177">
        <f t="shared" ca="1" si="21"/>
        <v>0</v>
      </c>
      <c r="BC14" s="177">
        <f t="shared" ca="1" si="21"/>
        <v>0</v>
      </c>
      <c r="BD14" s="177">
        <f t="shared" ca="1" si="21"/>
        <v>0</v>
      </c>
      <c r="BE14" s="177">
        <f t="shared" ca="1" si="21"/>
        <v>0</v>
      </c>
      <c r="BF14" s="177">
        <f t="shared" ca="1" si="21"/>
        <v>0</v>
      </c>
      <c r="BG14" s="177">
        <f t="shared" ca="1" si="21"/>
        <v>0</v>
      </c>
      <c r="BH14" s="177">
        <f t="shared" ref="BH14" ca="1" si="22">IF(BH13&lt;D_boost_min,0,BH13)</f>
        <v>0</v>
      </c>
      <c r="BI14" s="15" t="s">
        <v>47</v>
      </c>
      <c r="BJ14" s="169"/>
    </row>
    <row r="15" spans="1:62" ht="18" customHeight="1" x14ac:dyDescent="0.3">
      <c r="A15" s="1"/>
      <c r="B15" s="140" t="s">
        <v>4</v>
      </c>
      <c r="C15" s="70">
        <v>5.35</v>
      </c>
      <c r="D15" s="153" t="s">
        <v>314</v>
      </c>
      <c r="E15" s="48"/>
      <c r="F15" s="49"/>
      <c r="H15" s="15" t="s">
        <v>21</v>
      </c>
      <c r="I15" s="178">
        <f ca="1">IF(I12&gt;1,1000/fsw,IF(I12*1000/fsw&lt;0.16,0.16,I12*1000/fsw))</f>
        <v>0.24952780921494663</v>
      </c>
      <c r="J15" s="178">
        <f t="shared" ref="J15:AN15" ca="1" si="23">IF(J12&gt;1,1000/fsw,IF(J12*1000/fsw&lt;0.16,0.16,J12*1000/fsw))</f>
        <v>0.41659274967636639</v>
      </c>
      <c r="K15" s="178">
        <f t="shared" ca="1" si="23"/>
        <v>0.40686253599458416</v>
      </c>
      <c r="L15" s="178">
        <f t="shared" ca="1" si="23"/>
        <v>0.3993950416200614</v>
      </c>
      <c r="M15" s="178">
        <f t="shared" ca="1" si="23"/>
        <v>0.39353245101130163</v>
      </c>
      <c r="N15" s="178">
        <f t="shared" ca="1" si="23"/>
        <v>0.38884353340598726</v>
      </c>
      <c r="O15" s="178">
        <f t="shared" ca="1" si="23"/>
        <v>0.38503652619061673</v>
      </c>
      <c r="P15" s="178">
        <f t="shared" ca="1" si="23"/>
        <v>0.38190721963615382</v>
      </c>
      <c r="Q15" s="178">
        <f t="shared" ca="1" si="23"/>
        <v>0.37930865647135042</v>
      </c>
      <c r="R15" s="178">
        <f t="shared" ca="1" si="23"/>
        <v>0.37713258782040066</v>
      </c>
      <c r="S15" s="178">
        <f t="shared" ca="1" si="23"/>
        <v>0.37529767574650086</v>
      </c>
      <c r="T15" s="178">
        <f t="shared" ca="1" si="23"/>
        <v>0.37373963286387524</v>
      </c>
      <c r="U15" s="178">
        <f t="shared" ca="1" si="23"/>
        <v>0.37234281314347695</v>
      </c>
      <c r="V15" s="178">
        <f t="shared" ca="1" si="23"/>
        <v>0.37051623183060717</v>
      </c>
      <c r="W15" s="178">
        <f t="shared" ca="1" si="23"/>
        <v>0.40328384331029937</v>
      </c>
      <c r="X15" s="178">
        <f t="shared" ca="1" si="23"/>
        <v>0.38810750151777618</v>
      </c>
      <c r="Y15" s="178">
        <f t="shared" ca="1" si="23"/>
        <v>0.37402584500099423</v>
      </c>
      <c r="Z15" s="178">
        <f t="shared" ca="1" si="23"/>
        <v>0.36092520678431284</v>
      </c>
      <c r="AA15" s="178">
        <f t="shared" ca="1" si="23"/>
        <v>0.34870704259983365</v>
      </c>
      <c r="AB15" s="178">
        <f t="shared" ca="1" si="23"/>
        <v>0.33728551123012163</v>
      </c>
      <c r="AC15" s="178">
        <f t="shared" ca="1" si="23"/>
        <v>0.32658550227403482</v>
      </c>
      <c r="AD15" s="178">
        <f t="shared" ca="1" si="23"/>
        <v>0.31654101829700632</v>
      </c>
      <c r="AE15" s="178">
        <f t="shared" ca="1" si="23"/>
        <v>0.30709383965477732</v>
      </c>
      <c r="AF15" s="178">
        <f t="shared" ca="1" si="23"/>
        <v>0.29819241629890353</v>
      </c>
      <c r="AG15" s="178">
        <f t="shared" ca="1" si="23"/>
        <v>0.28979094300069325</v>
      </c>
      <c r="AH15" s="178">
        <f t="shared" ca="1" si="23"/>
        <v>0.28184858368296423</v>
      </c>
      <c r="AI15" s="178">
        <f t="shared" ca="1" si="23"/>
        <v>0.27432881765958345</v>
      </c>
      <c r="AJ15" s="178">
        <f t="shared" ca="1" si="23"/>
        <v>0.26719888608534947</v>
      </c>
      <c r="AK15" s="178">
        <f t="shared" ca="1" si="23"/>
        <v>0.2604293212054653</v>
      </c>
      <c r="AL15" s="178">
        <f t="shared" ca="1" si="23"/>
        <v>0.25399354435462324</v>
      </c>
      <c r="AM15" s="178">
        <f t="shared" ca="1" si="23"/>
        <v>0.24786752130663608</v>
      </c>
      <c r="AN15" s="178">
        <f t="shared" ca="1" si="23"/>
        <v>0.24202946567872394</v>
      </c>
      <c r="AO15" s="178">
        <f t="shared" ref="AO15:BG15" ca="1" si="24">IF(AO12&gt;1,1000/fsw,IF(AO12*1000/fsw&lt;0.16,0.16,AO12*1000/fsw))</f>
        <v>0.23645958277246343</v>
      </c>
      <c r="AP15" s="178">
        <f t="shared" ca="1" si="24"/>
        <v>0.23113984757915751</v>
      </c>
      <c r="AQ15" s="178">
        <f t="shared" ca="1" si="24"/>
        <v>0.22605381176222925</v>
      </c>
      <c r="AR15" s="178">
        <f t="shared" ca="1" si="24"/>
        <v>0.22118643530804444</v>
      </c>
      <c r="AS15" s="178">
        <f t="shared" ca="1" si="24"/>
        <v>0.21652393925177757</v>
      </c>
      <c r="AT15" s="178">
        <f t="shared" ca="1" si="24"/>
        <v>0.21205367646962237</v>
      </c>
      <c r="AU15" s="178">
        <f t="shared" ca="1" si="24"/>
        <v>0.20776401800868347</v>
      </c>
      <c r="AV15" s="178">
        <f t="shared" ca="1" si="24"/>
        <v>0.20364425282162912</v>
      </c>
      <c r="AW15" s="178">
        <f t="shared" ca="1" si="24"/>
        <v>0.19968449910073088</v>
      </c>
      <c r="AX15" s="178">
        <f t="shared" ca="1" si="24"/>
        <v>0.1958756256780512</v>
      </c>
      <c r="AY15" s="178">
        <f t="shared" ca="1" si="24"/>
        <v>0.1922091821854639</v>
      </c>
      <c r="AZ15" s="178">
        <f t="shared" ca="1" si="24"/>
        <v>0.18867733685808719</v>
      </c>
      <c r="BA15" s="178">
        <f t="shared" ca="1" si="24"/>
        <v>0.18527282102415479</v>
      </c>
      <c r="BB15" s="178">
        <f t="shared" ca="1" si="24"/>
        <v>0.1819888794586686</v>
      </c>
      <c r="BC15" s="178">
        <f t="shared" ca="1" si="24"/>
        <v>0.17881922589168323</v>
      </c>
      <c r="BD15" s="178">
        <f t="shared" ca="1" si="24"/>
        <v>0.17575800305828682</v>
      </c>
      <c r="BE15" s="178">
        <f t="shared" ca="1" si="24"/>
        <v>0.17279974675913409</v>
      </c>
      <c r="BF15" s="178">
        <f t="shared" ca="1" si="24"/>
        <v>0.16993935347012123</v>
      </c>
      <c r="BG15" s="178">
        <f t="shared" ca="1" si="24"/>
        <v>0.16717205109940356</v>
      </c>
      <c r="BH15" s="178">
        <f ca="1">IF(BH12&gt;1,1000/fsw,IF(BH12*1000/fsw&lt;0.16,0.16,BH12*1000/fsw))</f>
        <v>0.16</v>
      </c>
      <c r="BI15" s="15" t="s">
        <v>21</v>
      </c>
      <c r="BJ15" s="169"/>
    </row>
    <row r="16" spans="1:62" ht="18" customHeight="1" x14ac:dyDescent="0.3">
      <c r="A16" s="1"/>
      <c r="B16" s="41" t="s">
        <v>260</v>
      </c>
      <c r="C16" s="65">
        <v>3.3</v>
      </c>
      <c r="D16" s="80" t="s">
        <v>313</v>
      </c>
      <c r="E16" s="48"/>
      <c r="F16" s="49"/>
      <c r="H16" s="15" t="s">
        <v>22</v>
      </c>
      <c r="I16" s="178">
        <f ca="1">I15/I12-I15</f>
        <v>0.25047219078505334</v>
      </c>
      <c r="J16" s="178">
        <f t="shared" ref="J16:BH16" ca="1" si="25">J15/J12-J15</f>
        <v>8.3407250323633608E-2</v>
      </c>
      <c r="K16" s="178">
        <f t="shared" ca="1" si="25"/>
        <v>9.3137464005415838E-2</v>
      </c>
      <c r="L16" s="178">
        <f t="shared" ca="1" si="25"/>
        <v>0.1006049583799386</v>
      </c>
      <c r="M16" s="178">
        <f t="shared" ca="1" si="25"/>
        <v>0.10646754898869837</v>
      </c>
      <c r="N16" s="178">
        <f t="shared" ca="1" si="25"/>
        <v>0.11115646659401274</v>
      </c>
      <c r="O16" s="178">
        <f t="shared" ca="1" si="25"/>
        <v>0.11496347380938327</v>
      </c>
      <c r="P16" s="178">
        <f t="shared" ca="1" si="25"/>
        <v>0.11809278036384618</v>
      </c>
      <c r="Q16" s="178">
        <f t="shared" ca="1" si="25"/>
        <v>0.12069134352864958</v>
      </c>
      <c r="R16" s="178">
        <f t="shared" ca="1" si="25"/>
        <v>0.12286741217959934</v>
      </c>
      <c r="S16" s="178">
        <f t="shared" ca="1" si="25"/>
        <v>0.12470232425349909</v>
      </c>
      <c r="T16" s="178">
        <f t="shared" ca="1" si="25"/>
        <v>0.12626036713612476</v>
      </c>
      <c r="U16" s="178">
        <f t="shared" ca="1" si="25"/>
        <v>0.12765718685652305</v>
      </c>
      <c r="V16" s="178">
        <f t="shared" ca="1" si="25"/>
        <v>0.12948376816939283</v>
      </c>
      <c r="W16" s="178">
        <f t="shared" ca="1" si="25"/>
        <v>9.6716156689700628E-2</v>
      </c>
      <c r="X16" s="178">
        <f t="shared" ca="1" si="25"/>
        <v>0.11189249848222382</v>
      </c>
      <c r="Y16" s="178">
        <f t="shared" ca="1" si="25"/>
        <v>0.12597415499900577</v>
      </c>
      <c r="Z16" s="178">
        <f t="shared" ca="1" si="25"/>
        <v>0.13907479321568716</v>
      </c>
      <c r="AA16" s="178">
        <f t="shared" ca="1" si="25"/>
        <v>0.15129295740016635</v>
      </c>
      <c r="AB16" s="178">
        <f t="shared" ca="1" si="25"/>
        <v>0.16271448876987837</v>
      </c>
      <c r="AC16" s="178">
        <f t="shared" ca="1" si="25"/>
        <v>0.17341449772596518</v>
      </c>
      <c r="AD16" s="178">
        <f t="shared" ca="1" si="25"/>
        <v>0.18345898170299368</v>
      </c>
      <c r="AE16" s="178">
        <f t="shared" ca="1" si="25"/>
        <v>0.19290616034522268</v>
      </c>
      <c r="AF16" s="178">
        <f t="shared" ca="1" si="25"/>
        <v>0.20180758370109647</v>
      </c>
      <c r="AG16" s="178">
        <f t="shared" ca="1" si="25"/>
        <v>0.21020905699930675</v>
      </c>
      <c r="AH16" s="178">
        <f t="shared" ca="1" si="25"/>
        <v>0.21815141631703577</v>
      </c>
      <c r="AI16" s="178">
        <f t="shared" ca="1" si="25"/>
        <v>0.22567118234041655</v>
      </c>
      <c r="AJ16" s="178">
        <f t="shared" ca="1" si="25"/>
        <v>0.23280111391465053</v>
      </c>
      <c r="AK16" s="178">
        <f t="shared" ca="1" si="25"/>
        <v>0.2395706787945347</v>
      </c>
      <c r="AL16" s="178">
        <f t="shared" ca="1" si="25"/>
        <v>0.24600645564537676</v>
      </c>
      <c r="AM16" s="178">
        <f t="shared" ca="1" si="25"/>
        <v>0.25213247869336392</v>
      </c>
      <c r="AN16" s="178">
        <f t="shared" ca="1" si="25"/>
        <v>0.25797053432127603</v>
      </c>
      <c r="AO16" s="178">
        <f t="shared" ca="1" si="25"/>
        <v>0.26354041722753657</v>
      </c>
      <c r="AP16" s="178">
        <f t="shared" ca="1" si="25"/>
        <v>0.26886015242084249</v>
      </c>
      <c r="AQ16" s="178">
        <f t="shared" ca="1" si="25"/>
        <v>0.27394618823777073</v>
      </c>
      <c r="AR16" s="178">
        <f t="shared" ca="1" si="25"/>
        <v>0.27881356469195551</v>
      </c>
      <c r="AS16" s="178">
        <f t="shared" ca="1" si="25"/>
        <v>0.2834760607482224</v>
      </c>
      <c r="AT16" s="178">
        <f t="shared" ca="1" si="25"/>
        <v>0.28794632353037763</v>
      </c>
      <c r="AU16" s="178">
        <f t="shared" ca="1" si="25"/>
        <v>0.29223598199131651</v>
      </c>
      <c r="AV16" s="178">
        <f t="shared" ca="1" si="25"/>
        <v>0.29635574717837088</v>
      </c>
      <c r="AW16" s="178">
        <f t="shared" ca="1" si="25"/>
        <v>0.30031550089926912</v>
      </c>
      <c r="AX16" s="178">
        <f t="shared" ca="1" si="25"/>
        <v>0.30412437432194883</v>
      </c>
      <c r="AY16" s="178">
        <f t="shared" ca="1" si="25"/>
        <v>0.3077908178145361</v>
      </c>
      <c r="AZ16" s="178">
        <f t="shared" ca="1" si="25"/>
        <v>0.31132266314191281</v>
      </c>
      <c r="BA16" s="178">
        <f t="shared" ca="1" si="25"/>
        <v>0.31472717897584523</v>
      </c>
      <c r="BB16" s="178">
        <f t="shared" ca="1" si="25"/>
        <v>0.3180111205413314</v>
      </c>
      <c r="BC16" s="178">
        <f t="shared" ca="1" si="25"/>
        <v>0.3211807741083168</v>
      </c>
      <c r="BD16" s="178">
        <f t="shared" ca="1" si="25"/>
        <v>0.32424199694171318</v>
      </c>
      <c r="BE16" s="178">
        <f t="shared" ca="1" si="25"/>
        <v>0.32720025324086588</v>
      </c>
      <c r="BF16" s="178">
        <f t="shared" ca="1" si="25"/>
        <v>0.33006064652987877</v>
      </c>
      <c r="BG16" s="178">
        <f t="shared" ca="1" si="25"/>
        <v>0.33282794890059642</v>
      </c>
      <c r="BH16" s="178">
        <f t="shared" ca="1" si="25"/>
        <v>0.7925131413922929</v>
      </c>
      <c r="BI16" s="15" t="s">
        <v>22</v>
      </c>
      <c r="BJ16" s="169"/>
    </row>
    <row r="17" spans="1:66" ht="18" customHeight="1" x14ac:dyDescent="0.3">
      <c r="A17" s="1"/>
      <c r="B17" s="41" t="s">
        <v>94</v>
      </c>
      <c r="C17" s="155">
        <v>0</v>
      </c>
      <c r="D17" s="80" t="s">
        <v>306</v>
      </c>
      <c r="E17" s="48"/>
      <c r="F17" s="49"/>
      <c r="H17" s="15" t="s">
        <v>19</v>
      </c>
      <c r="I17" s="178">
        <f t="shared" ref="I17" ca="1" si="26">I14/(fsw*10^-3)</f>
        <v>0</v>
      </c>
      <c r="J17" s="178">
        <f ca="1">J14/(fsw*10^-3)</f>
        <v>0.28999999999999998</v>
      </c>
      <c r="K17" s="178">
        <f t="shared" ref="K17:BG17" ca="1" si="27">K14/(fsw*10^-3)</f>
        <v>0.27125850340136048</v>
      </c>
      <c r="L17" s="178">
        <f t="shared" ca="1" si="27"/>
        <v>0.25251700680272104</v>
      </c>
      <c r="M17" s="178">
        <f t="shared" ca="1" si="27"/>
        <v>0.23377551020408155</v>
      </c>
      <c r="N17" s="178">
        <f t="shared" ca="1" si="27"/>
        <v>0.21503401360544211</v>
      </c>
      <c r="O17" s="178">
        <f t="shared" ca="1" si="27"/>
        <v>0.19629251700680261</v>
      </c>
      <c r="P17" s="178">
        <f t="shared" ca="1" si="27"/>
        <v>0.17755102040816317</v>
      </c>
      <c r="Q17" s="178">
        <f t="shared" ca="1" si="27"/>
        <v>0.15880952380952368</v>
      </c>
      <c r="R17" s="178">
        <f t="shared" ca="1" si="27"/>
        <v>0.14006802721088424</v>
      </c>
      <c r="S17" s="178">
        <f t="shared" ca="1" si="27"/>
        <v>0.12132653061224474</v>
      </c>
      <c r="T17" s="178">
        <f t="shared" ca="1" si="27"/>
        <v>0.1025850340136053</v>
      </c>
      <c r="U17" s="178">
        <f t="shared" ca="1" si="27"/>
        <v>8.3843537414965807E-2</v>
      </c>
      <c r="V17" s="178">
        <f t="shared" ca="1" si="27"/>
        <v>6.5102040816326368E-2</v>
      </c>
      <c r="W17" s="178">
        <f t="shared" ca="1" si="27"/>
        <v>0</v>
      </c>
      <c r="X17" s="178">
        <f t="shared" ca="1" si="27"/>
        <v>0</v>
      </c>
      <c r="Y17" s="178">
        <f t="shared" ca="1" si="27"/>
        <v>0</v>
      </c>
      <c r="Z17" s="178">
        <f t="shared" ca="1" si="27"/>
        <v>0</v>
      </c>
      <c r="AA17" s="178">
        <f t="shared" ca="1" si="27"/>
        <v>0</v>
      </c>
      <c r="AB17" s="178">
        <f t="shared" ca="1" si="27"/>
        <v>0</v>
      </c>
      <c r="AC17" s="178">
        <f t="shared" ca="1" si="27"/>
        <v>0</v>
      </c>
      <c r="AD17" s="178">
        <f t="shared" ca="1" si="27"/>
        <v>0</v>
      </c>
      <c r="AE17" s="178">
        <f t="shared" ca="1" si="27"/>
        <v>0</v>
      </c>
      <c r="AF17" s="178">
        <f t="shared" ca="1" si="27"/>
        <v>0</v>
      </c>
      <c r="AG17" s="178">
        <f t="shared" ca="1" si="27"/>
        <v>0</v>
      </c>
      <c r="AH17" s="178">
        <f t="shared" ca="1" si="27"/>
        <v>0</v>
      </c>
      <c r="AI17" s="178">
        <f t="shared" ca="1" si="27"/>
        <v>0</v>
      </c>
      <c r="AJ17" s="178">
        <f t="shared" ca="1" si="27"/>
        <v>0</v>
      </c>
      <c r="AK17" s="178">
        <f t="shared" ca="1" si="27"/>
        <v>0</v>
      </c>
      <c r="AL17" s="178">
        <f t="shared" ca="1" si="27"/>
        <v>0</v>
      </c>
      <c r="AM17" s="178">
        <f t="shared" ref="AM17:AT17" ca="1" si="28">AM14/(fsw*10^-3)</f>
        <v>0</v>
      </c>
      <c r="AN17" s="178">
        <f t="shared" ca="1" si="28"/>
        <v>0</v>
      </c>
      <c r="AO17" s="178">
        <f t="shared" ca="1" si="28"/>
        <v>0</v>
      </c>
      <c r="AP17" s="178">
        <f t="shared" ca="1" si="28"/>
        <v>0</v>
      </c>
      <c r="AQ17" s="178">
        <f t="shared" ca="1" si="28"/>
        <v>0</v>
      </c>
      <c r="AR17" s="178">
        <f t="shared" ca="1" si="28"/>
        <v>0</v>
      </c>
      <c r="AS17" s="178">
        <f t="shared" ca="1" si="28"/>
        <v>0</v>
      </c>
      <c r="AT17" s="178">
        <f t="shared" ca="1" si="28"/>
        <v>0</v>
      </c>
      <c r="AU17" s="178">
        <f t="shared" ca="1" si="27"/>
        <v>0</v>
      </c>
      <c r="AV17" s="178">
        <f t="shared" ca="1" si="27"/>
        <v>0</v>
      </c>
      <c r="AW17" s="178">
        <f t="shared" ca="1" si="27"/>
        <v>0</v>
      </c>
      <c r="AX17" s="178">
        <f t="shared" ca="1" si="27"/>
        <v>0</v>
      </c>
      <c r="AY17" s="178">
        <f t="shared" ca="1" si="27"/>
        <v>0</v>
      </c>
      <c r="AZ17" s="178">
        <f t="shared" ca="1" si="27"/>
        <v>0</v>
      </c>
      <c r="BA17" s="178">
        <f t="shared" ca="1" si="27"/>
        <v>0</v>
      </c>
      <c r="BB17" s="178">
        <f t="shared" ca="1" si="27"/>
        <v>0</v>
      </c>
      <c r="BC17" s="178">
        <f t="shared" ca="1" si="27"/>
        <v>0</v>
      </c>
      <c r="BD17" s="178">
        <f t="shared" ca="1" si="27"/>
        <v>0</v>
      </c>
      <c r="BE17" s="178">
        <f t="shared" ca="1" si="27"/>
        <v>0</v>
      </c>
      <c r="BF17" s="178">
        <f t="shared" ca="1" si="27"/>
        <v>0</v>
      </c>
      <c r="BG17" s="178">
        <f t="shared" ca="1" si="27"/>
        <v>0</v>
      </c>
      <c r="BH17" s="178">
        <f t="shared" ref="BH17" ca="1" si="29">BH14/(fsw*10^-3)</f>
        <v>0</v>
      </c>
      <c r="BI17" s="15" t="s">
        <v>19</v>
      </c>
      <c r="BJ17" s="169"/>
    </row>
    <row r="18" spans="1:66" ht="18" customHeight="1" x14ac:dyDescent="0.3">
      <c r="A18" s="1"/>
      <c r="B18" s="41" t="s">
        <v>258</v>
      </c>
      <c r="C18" s="155">
        <v>0.7</v>
      </c>
      <c r="D18" s="80" t="s">
        <v>259</v>
      </c>
      <c r="E18" s="48"/>
      <c r="F18" s="49"/>
      <c r="H18" s="15" t="s">
        <v>20</v>
      </c>
      <c r="I18" s="178">
        <f t="shared" ref="I18" ca="1" si="30">1/fsw*10^3-I17</f>
        <v>0.5</v>
      </c>
      <c r="J18" s="178">
        <f t="shared" ref="J18:BG18" ca="1" si="31">1/fsw*10^3-J17</f>
        <v>0.21000000000000002</v>
      </c>
      <c r="K18" s="178">
        <f t="shared" ca="1" si="31"/>
        <v>0.22874149659863952</v>
      </c>
      <c r="L18" s="178">
        <f t="shared" ca="1" si="31"/>
        <v>0.24748299319727896</v>
      </c>
      <c r="M18" s="178">
        <f t="shared" ca="1" si="31"/>
        <v>0.26622448979591845</v>
      </c>
      <c r="N18" s="178">
        <f t="shared" ca="1" si="31"/>
        <v>0.28496598639455789</v>
      </c>
      <c r="O18" s="178">
        <f t="shared" ca="1" si="31"/>
        <v>0.30370748299319739</v>
      </c>
      <c r="P18" s="178">
        <f t="shared" ca="1" si="31"/>
        <v>0.32244897959183683</v>
      </c>
      <c r="Q18" s="178">
        <f t="shared" ca="1" si="31"/>
        <v>0.34119047619047632</v>
      </c>
      <c r="R18" s="178">
        <f t="shared" ca="1" si="31"/>
        <v>0.35993197278911576</v>
      </c>
      <c r="S18" s="178">
        <f t="shared" ca="1" si="31"/>
        <v>0.37867346938775526</v>
      </c>
      <c r="T18" s="178">
        <f t="shared" ca="1" si="31"/>
        <v>0.3974149659863947</v>
      </c>
      <c r="U18" s="178">
        <f t="shared" ca="1" si="31"/>
        <v>0.41615646258503419</v>
      </c>
      <c r="V18" s="178">
        <f t="shared" ca="1" si="31"/>
        <v>0.43489795918367363</v>
      </c>
      <c r="W18" s="178">
        <f t="shared" ca="1" si="31"/>
        <v>0.5</v>
      </c>
      <c r="X18" s="178">
        <f t="shared" ca="1" si="31"/>
        <v>0.5</v>
      </c>
      <c r="Y18" s="178">
        <f t="shared" ca="1" si="31"/>
        <v>0.5</v>
      </c>
      <c r="Z18" s="178">
        <f t="shared" ca="1" si="31"/>
        <v>0.5</v>
      </c>
      <c r="AA18" s="178">
        <f t="shared" ca="1" si="31"/>
        <v>0.5</v>
      </c>
      <c r="AB18" s="178">
        <f t="shared" ca="1" si="31"/>
        <v>0.5</v>
      </c>
      <c r="AC18" s="178">
        <f t="shared" ca="1" si="31"/>
        <v>0.5</v>
      </c>
      <c r="AD18" s="178">
        <f t="shared" ca="1" si="31"/>
        <v>0.5</v>
      </c>
      <c r="AE18" s="178">
        <f t="shared" ca="1" si="31"/>
        <v>0.5</v>
      </c>
      <c r="AF18" s="178">
        <f t="shared" ca="1" si="31"/>
        <v>0.5</v>
      </c>
      <c r="AG18" s="178">
        <f t="shared" ca="1" si="31"/>
        <v>0.5</v>
      </c>
      <c r="AH18" s="178">
        <f t="shared" ca="1" si="31"/>
        <v>0.5</v>
      </c>
      <c r="AI18" s="178">
        <f t="shared" ca="1" si="31"/>
        <v>0.5</v>
      </c>
      <c r="AJ18" s="178">
        <f t="shared" ca="1" si="31"/>
        <v>0.5</v>
      </c>
      <c r="AK18" s="178">
        <f t="shared" ca="1" si="31"/>
        <v>0.5</v>
      </c>
      <c r="AL18" s="178">
        <f t="shared" ca="1" si="31"/>
        <v>0.5</v>
      </c>
      <c r="AM18" s="178">
        <f t="shared" ref="AM18:AT18" ca="1" si="32">1/fsw*10^3-AM17</f>
        <v>0.5</v>
      </c>
      <c r="AN18" s="178">
        <f t="shared" ca="1" si="32"/>
        <v>0.5</v>
      </c>
      <c r="AO18" s="178">
        <f t="shared" ca="1" si="32"/>
        <v>0.5</v>
      </c>
      <c r="AP18" s="178">
        <f t="shared" ca="1" si="32"/>
        <v>0.5</v>
      </c>
      <c r="AQ18" s="178">
        <f t="shared" ca="1" si="32"/>
        <v>0.5</v>
      </c>
      <c r="AR18" s="178">
        <f t="shared" ca="1" si="32"/>
        <v>0.5</v>
      </c>
      <c r="AS18" s="178">
        <f t="shared" ca="1" si="32"/>
        <v>0.5</v>
      </c>
      <c r="AT18" s="178">
        <f t="shared" ca="1" si="32"/>
        <v>0.5</v>
      </c>
      <c r="AU18" s="178">
        <f t="shared" ca="1" si="31"/>
        <v>0.5</v>
      </c>
      <c r="AV18" s="178">
        <f t="shared" ca="1" si="31"/>
        <v>0.5</v>
      </c>
      <c r="AW18" s="178">
        <f t="shared" ca="1" si="31"/>
        <v>0.5</v>
      </c>
      <c r="AX18" s="178">
        <f t="shared" ca="1" si="31"/>
        <v>0.5</v>
      </c>
      <c r="AY18" s="178">
        <f t="shared" ca="1" si="31"/>
        <v>0.5</v>
      </c>
      <c r="AZ18" s="178">
        <f t="shared" ca="1" si="31"/>
        <v>0.5</v>
      </c>
      <c r="BA18" s="178">
        <f t="shared" ca="1" si="31"/>
        <v>0.5</v>
      </c>
      <c r="BB18" s="178">
        <f t="shared" ca="1" si="31"/>
        <v>0.5</v>
      </c>
      <c r="BC18" s="178">
        <f t="shared" ca="1" si="31"/>
        <v>0.5</v>
      </c>
      <c r="BD18" s="178">
        <f t="shared" ca="1" si="31"/>
        <v>0.5</v>
      </c>
      <c r="BE18" s="178">
        <f t="shared" ca="1" si="31"/>
        <v>0.5</v>
      </c>
      <c r="BF18" s="178">
        <f t="shared" ca="1" si="31"/>
        <v>0.5</v>
      </c>
      <c r="BG18" s="178">
        <f t="shared" ca="1" si="31"/>
        <v>0.5</v>
      </c>
      <c r="BH18" s="178">
        <f t="shared" ref="BH18" ca="1" si="33">1/fsw*10^3-BH17</f>
        <v>0.5</v>
      </c>
      <c r="BI18" s="15" t="s">
        <v>20</v>
      </c>
      <c r="BJ18" s="169"/>
    </row>
    <row r="19" spans="1:66" ht="18" hidden="1" customHeight="1" x14ac:dyDescent="0.3">
      <c r="A19" s="1"/>
      <c r="B19" s="159" t="s">
        <v>250</v>
      </c>
      <c r="C19" s="160">
        <v>0</v>
      </c>
      <c r="D19" s="80"/>
      <c r="E19" s="48"/>
      <c r="F19" s="49"/>
      <c r="H19" s="15" t="s">
        <v>53</v>
      </c>
      <c r="I19" s="179">
        <f ca="1">1/(I15+I16)*10^3</f>
        <v>2000</v>
      </c>
      <c r="J19" s="179">
        <f t="shared" ref="J19:BG19" ca="1" si="34">1/(J15+J16)*10^3</f>
        <v>2000</v>
      </c>
      <c r="K19" s="179">
        <f t="shared" ca="1" si="34"/>
        <v>2000</v>
      </c>
      <c r="L19" s="179">
        <f t="shared" ca="1" si="34"/>
        <v>2000</v>
      </c>
      <c r="M19" s="179">
        <f t="shared" ca="1" si="34"/>
        <v>2000</v>
      </c>
      <c r="N19" s="179">
        <f t="shared" ca="1" si="34"/>
        <v>2000</v>
      </c>
      <c r="O19" s="179">
        <f t="shared" ca="1" si="34"/>
        <v>2000</v>
      </c>
      <c r="P19" s="179">
        <f t="shared" ca="1" si="34"/>
        <v>2000</v>
      </c>
      <c r="Q19" s="179">
        <f t="shared" ca="1" si="34"/>
        <v>2000</v>
      </c>
      <c r="R19" s="179">
        <f t="shared" ca="1" si="34"/>
        <v>2000</v>
      </c>
      <c r="S19" s="179">
        <f t="shared" ca="1" si="34"/>
        <v>2000</v>
      </c>
      <c r="T19" s="179">
        <f t="shared" ca="1" si="34"/>
        <v>2000</v>
      </c>
      <c r="U19" s="179">
        <f t="shared" ca="1" si="34"/>
        <v>2000</v>
      </c>
      <c r="V19" s="179">
        <f t="shared" ca="1" si="34"/>
        <v>2000</v>
      </c>
      <c r="W19" s="179">
        <f t="shared" ca="1" si="34"/>
        <v>2000</v>
      </c>
      <c r="X19" s="179">
        <f t="shared" ca="1" si="34"/>
        <v>2000</v>
      </c>
      <c r="Y19" s="179">
        <f t="shared" ca="1" si="34"/>
        <v>2000</v>
      </c>
      <c r="Z19" s="179">
        <f t="shared" ca="1" si="34"/>
        <v>2000</v>
      </c>
      <c r="AA19" s="179">
        <f t="shared" ca="1" si="34"/>
        <v>2000</v>
      </c>
      <c r="AB19" s="179">
        <f t="shared" ca="1" si="34"/>
        <v>2000</v>
      </c>
      <c r="AC19" s="179">
        <f t="shared" ca="1" si="34"/>
        <v>2000</v>
      </c>
      <c r="AD19" s="179">
        <f t="shared" ca="1" si="34"/>
        <v>2000</v>
      </c>
      <c r="AE19" s="179">
        <f t="shared" ca="1" si="34"/>
        <v>2000</v>
      </c>
      <c r="AF19" s="179">
        <f t="shared" ca="1" si="34"/>
        <v>2000</v>
      </c>
      <c r="AG19" s="179">
        <f t="shared" ca="1" si="34"/>
        <v>2000</v>
      </c>
      <c r="AH19" s="179">
        <f t="shared" ca="1" si="34"/>
        <v>2000</v>
      </c>
      <c r="AI19" s="179">
        <f t="shared" ca="1" si="34"/>
        <v>2000</v>
      </c>
      <c r="AJ19" s="179">
        <f t="shared" ca="1" si="34"/>
        <v>2000</v>
      </c>
      <c r="AK19" s="179">
        <f t="shared" ca="1" si="34"/>
        <v>2000</v>
      </c>
      <c r="AL19" s="179">
        <f t="shared" ca="1" si="34"/>
        <v>2000</v>
      </c>
      <c r="AM19" s="179">
        <f t="shared" ref="AM19:AT19" ca="1" si="35">1/(AM15+AM16)*10^3</f>
        <v>2000</v>
      </c>
      <c r="AN19" s="179">
        <f t="shared" ca="1" si="35"/>
        <v>2000</v>
      </c>
      <c r="AO19" s="179">
        <f t="shared" ca="1" si="35"/>
        <v>2000</v>
      </c>
      <c r="AP19" s="179">
        <f t="shared" ca="1" si="35"/>
        <v>2000</v>
      </c>
      <c r="AQ19" s="179">
        <f t="shared" ca="1" si="35"/>
        <v>2000</v>
      </c>
      <c r="AR19" s="179">
        <f t="shared" ca="1" si="35"/>
        <v>2000</v>
      </c>
      <c r="AS19" s="179">
        <f t="shared" ca="1" si="35"/>
        <v>2000</v>
      </c>
      <c r="AT19" s="179">
        <f t="shared" ca="1" si="35"/>
        <v>2000</v>
      </c>
      <c r="AU19" s="179">
        <f t="shared" ca="1" si="34"/>
        <v>2000</v>
      </c>
      <c r="AV19" s="179">
        <f t="shared" ca="1" si="34"/>
        <v>2000</v>
      </c>
      <c r="AW19" s="179">
        <f t="shared" ca="1" si="34"/>
        <v>2000</v>
      </c>
      <c r="AX19" s="179">
        <f t="shared" ca="1" si="34"/>
        <v>2000</v>
      </c>
      <c r="AY19" s="179">
        <f t="shared" ca="1" si="34"/>
        <v>2000</v>
      </c>
      <c r="AZ19" s="179">
        <f t="shared" ca="1" si="34"/>
        <v>2000</v>
      </c>
      <c r="BA19" s="179">
        <f t="shared" ca="1" si="34"/>
        <v>2000</v>
      </c>
      <c r="BB19" s="179">
        <f t="shared" ca="1" si="34"/>
        <v>2000</v>
      </c>
      <c r="BC19" s="179">
        <f t="shared" ca="1" si="34"/>
        <v>2000</v>
      </c>
      <c r="BD19" s="179">
        <f t="shared" ca="1" si="34"/>
        <v>2000</v>
      </c>
      <c r="BE19" s="179">
        <f t="shared" ca="1" si="34"/>
        <v>2000</v>
      </c>
      <c r="BF19" s="179">
        <f t="shared" ca="1" si="34"/>
        <v>2000</v>
      </c>
      <c r="BG19" s="179">
        <f t="shared" ca="1" si="34"/>
        <v>2000</v>
      </c>
      <c r="BH19" s="179">
        <f ca="1">1/(BH15+BH16)*10^3</f>
        <v>1049.8542818404535</v>
      </c>
      <c r="BI19" s="15" t="s">
        <v>53</v>
      </c>
      <c r="BJ19" s="169"/>
    </row>
    <row r="20" spans="1:66" ht="18" hidden="1" customHeight="1" x14ac:dyDescent="0.3">
      <c r="A20" s="1"/>
      <c r="B20" s="159" t="s">
        <v>251</v>
      </c>
      <c r="C20" s="160">
        <v>0</v>
      </c>
      <c r="D20" s="80"/>
      <c r="E20" s="48"/>
      <c r="F20" s="49"/>
      <c r="H20" s="15" t="s">
        <v>95</v>
      </c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5" t="s">
        <v>95</v>
      </c>
      <c r="BJ20" s="169"/>
      <c r="BL20" s="99" t="s">
        <v>130</v>
      </c>
      <c r="BN20" s="99">
        <v>0.54</v>
      </c>
    </row>
    <row r="21" spans="1:66" ht="18" customHeight="1" x14ac:dyDescent="0.3">
      <c r="A21" s="1"/>
      <c r="B21" s="267" t="s">
        <v>327</v>
      </c>
      <c r="C21" s="279">
        <f>(Vout_sync_buck-VFB_adj)/VFB_adj*RFB2_adj</f>
        <v>4.75</v>
      </c>
      <c r="D21" s="98" t="s">
        <v>333</v>
      </c>
      <c r="E21" s="48"/>
      <c r="F21" s="49"/>
      <c r="H21" s="15" t="s">
        <v>4</v>
      </c>
      <c r="I21" s="171">
        <f t="shared" ref="I21:AN21" ca="1" si="36">IF(I14&gt;0,IF(I12/(1-I14)*I9&gt;Vreg,Vreg,I12/(1-I14)*I9),IF(I12*(I9+I11)&gt;Vreg,Vreg,I12*(I9+I11)))</f>
        <v>5.35</v>
      </c>
      <c r="J21" s="171">
        <f t="shared" ca="1" si="36"/>
        <v>5.35</v>
      </c>
      <c r="K21" s="171">
        <f t="shared" ca="1" si="36"/>
        <v>5.35</v>
      </c>
      <c r="L21" s="171">
        <f t="shared" ca="1" si="36"/>
        <v>5.35</v>
      </c>
      <c r="M21" s="171">
        <f t="shared" ca="1" si="36"/>
        <v>5.35</v>
      </c>
      <c r="N21" s="171">
        <f t="shared" ca="1" si="36"/>
        <v>5.35</v>
      </c>
      <c r="O21" s="171">
        <f t="shared" ca="1" si="36"/>
        <v>5.35</v>
      </c>
      <c r="P21" s="171">
        <f t="shared" ca="1" si="36"/>
        <v>5.35</v>
      </c>
      <c r="Q21" s="171">
        <f t="shared" ca="1" si="36"/>
        <v>5.35</v>
      </c>
      <c r="R21" s="171">
        <f t="shared" ca="1" si="36"/>
        <v>5.35</v>
      </c>
      <c r="S21" s="171">
        <f t="shared" ca="1" si="36"/>
        <v>5.35</v>
      </c>
      <c r="T21" s="171">
        <f t="shared" ca="1" si="36"/>
        <v>5.35</v>
      </c>
      <c r="U21" s="171">
        <f t="shared" ca="1" si="36"/>
        <v>5.35</v>
      </c>
      <c r="V21" s="171">
        <f t="shared" ca="1" si="36"/>
        <v>5.35</v>
      </c>
      <c r="W21" s="171">
        <f t="shared" ca="1" si="36"/>
        <v>5.35</v>
      </c>
      <c r="X21" s="171">
        <f t="shared" ca="1" si="36"/>
        <v>5.35</v>
      </c>
      <c r="Y21" s="171">
        <f t="shared" ca="1" si="36"/>
        <v>5.35</v>
      </c>
      <c r="Z21" s="171">
        <f t="shared" ca="1" si="36"/>
        <v>5.35</v>
      </c>
      <c r="AA21" s="171">
        <f t="shared" ca="1" si="36"/>
        <v>5.35</v>
      </c>
      <c r="AB21" s="171">
        <f t="shared" ca="1" si="36"/>
        <v>5.35</v>
      </c>
      <c r="AC21" s="171">
        <f t="shared" ca="1" si="36"/>
        <v>5.35</v>
      </c>
      <c r="AD21" s="171">
        <f t="shared" ca="1" si="36"/>
        <v>5.35</v>
      </c>
      <c r="AE21" s="171">
        <f t="shared" ca="1" si="36"/>
        <v>5.35</v>
      </c>
      <c r="AF21" s="171">
        <f t="shared" ca="1" si="36"/>
        <v>5.35</v>
      </c>
      <c r="AG21" s="171">
        <f t="shared" ca="1" si="36"/>
        <v>5.35</v>
      </c>
      <c r="AH21" s="171">
        <f t="shared" ca="1" si="36"/>
        <v>5.35</v>
      </c>
      <c r="AI21" s="171">
        <f t="shared" ca="1" si="36"/>
        <v>5.35</v>
      </c>
      <c r="AJ21" s="171">
        <f t="shared" ca="1" si="36"/>
        <v>5.35</v>
      </c>
      <c r="AK21" s="171">
        <f t="shared" ca="1" si="36"/>
        <v>5.35</v>
      </c>
      <c r="AL21" s="171">
        <f t="shared" ca="1" si="36"/>
        <v>5.35</v>
      </c>
      <c r="AM21" s="171">
        <f t="shared" ca="1" si="36"/>
        <v>5.35</v>
      </c>
      <c r="AN21" s="171">
        <f t="shared" ca="1" si="36"/>
        <v>5.35</v>
      </c>
      <c r="AO21" s="171">
        <f t="shared" ref="AO21:BH21" ca="1" si="37">IF(AO14&gt;0,IF(AO12/(1-AO14)*AO9&gt;Vreg,Vreg,AO12/(1-AO14)*AO9),IF(AO12*(AO9+AO11)&gt;Vreg,Vreg,AO12*(AO9+AO11)))</f>
        <v>5.35</v>
      </c>
      <c r="AP21" s="171">
        <f t="shared" ca="1" si="37"/>
        <v>5.35</v>
      </c>
      <c r="AQ21" s="171">
        <f t="shared" ca="1" si="37"/>
        <v>5.35</v>
      </c>
      <c r="AR21" s="171">
        <f t="shared" ca="1" si="37"/>
        <v>5.35</v>
      </c>
      <c r="AS21" s="171">
        <f t="shared" ca="1" si="37"/>
        <v>5.35</v>
      </c>
      <c r="AT21" s="171">
        <f t="shared" ca="1" si="37"/>
        <v>5.35</v>
      </c>
      <c r="AU21" s="171">
        <f t="shared" ca="1" si="37"/>
        <v>5.35</v>
      </c>
      <c r="AV21" s="171">
        <f t="shared" ca="1" si="37"/>
        <v>5.35</v>
      </c>
      <c r="AW21" s="171">
        <f t="shared" ca="1" si="37"/>
        <v>5.35</v>
      </c>
      <c r="AX21" s="171">
        <f t="shared" ca="1" si="37"/>
        <v>5.35</v>
      </c>
      <c r="AY21" s="171">
        <f t="shared" ca="1" si="37"/>
        <v>5.35</v>
      </c>
      <c r="AZ21" s="171">
        <f t="shared" ca="1" si="37"/>
        <v>5.35</v>
      </c>
      <c r="BA21" s="171">
        <f t="shared" ca="1" si="37"/>
        <v>5.35</v>
      </c>
      <c r="BB21" s="171">
        <f t="shared" ca="1" si="37"/>
        <v>5.35</v>
      </c>
      <c r="BC21" s="171">
        <f t="shared" ca="1" si="37"/>
        <v>5.35</v>
      </c>
      <c r="BD21" s="171">
        <f t="shared" ca="1" si="37"/>
        <v>5.35</v>
      </c>
      <c r="BE21" s="171">
        <f t="shared" ca="1" si="37"/>
        <v>5.35</v>
      </c>
      <c r="BF21" s="171">
        <f t="shared" ca="1" si="37"/>
        <v>5.35</v>
      </c>
      <c r="BG21" s="171">
        <f t="shared" ca="1" si="37"/>
        <v>5.35</v>
      </c>
      <c r="BH21" s="171">
        <f t="shared" ca="1" si="37"/>
        <v>5.35</v>
      </c>
      <c r="BI21" s="15" t="s">
        <v>4</v>
      </c>
      <c r="BJ21" s="169"/>
      <c r="BL21" s="99" t="s">
        <v>47</v>
      </c>
      <c r="BM21" s="99">
        <v>0.54</v>
      </c>
      <c r="BN21" s="99">
        <v>0</v>
      </c>
    </row>
    <row r="22" spans="1:66" ht="18" customHeight="1" x14ac:dyDescent="0.3">
      <c r="A22" s="1"/>
      <c r="B22" s="267" t="s">
        <v>328</v>
      </c>
      <c r="C22" s="274">
        <v>1.52</v>
      </c>
      <c r="D22" s="98" t="s">
        <v>332</v>
      </c>
      <c r="E22" s="48"/>
      <c r="F22" s="49"/>
      <c r="G22" s="170" t="s">
        <v>77</v>
      </c>
      <c r="H22" s="15" t="s">
        <v>41</v>
      </c>
      <c r="I22" s="180">
        <f t="shared" ref="I22:AN22" ca="1" si="38">IF(I14=0,Iout_PreReg+I23/2,IF(I$12&gt;I$14,(Iout_PreReg+I23/2*(1-I12))/(1-I14),Iout_PreReg/(1-I14)+I23/2))</f>
        <v>0.99291557486450011</v>
      </c>
      <c r="J22" s="180">
        <f t="shared" ca="1" si="38"/>
        <v>2.0147495423065558</v>
      </c>
      <c r="K22" s="180">
        <f t="shared" ca="1" si="38"/>
        <v>1.8551795788844998</v>
      </c>
      <c r="L22" s="180">
        <f t="shared" ca="1" si="38"/>
        <v>1.7185228172260774</v>
      </c>
      <c r="M22" s="180">
        <f t="shared" ca="1" si="38"/>
        <v>1.6000339450848877</v>
      </c>
      <c r="N22" s="180">
        <f t="shared" ca="1" si="38"/>
        <v>1.496198889326172</v>
      </c>
      <c r="O22" s="180">
        <f t="shared" ca="1" si="38"/>
        <v>1.4043574423678096</v>
      </c>
      <c r="P22" s="180">
        <f t="shared" ca="1" si="38"/>
        <v>1.3224583279864699</v>
      </c>
      <c r="Q22" s="180">
        <f t="shared" ca="1" si="38"/>
        <v>1.2488941496132671</v>
      </c>
      <c r="R22" s="180">
        <f t="shared" ca="1" si="38"/>
        <v>1.1823873436830823</v>
      </c>
      <c r="S22" s="180">
        <f t="shared" ca="1" si="38"/>
        <v>1.1219096237313966</v>
      </c>
      <c r="T22" s="180">
        <f t="shared" ca="1" si="38"/>
        <v>1.0666243217167866</v>
      </c>
      <c r="U22" s="180">
        <f t="shared" ca="1" si="38"/>
        <v>1.0158523709729561</v>
      </c>
      <c r="V22" s="180">
        <f t="shared" ca="1" si="38"/>
        <v>0.96910094590668883</v>
      </c>
      <c r="W22" s="180">
        <f t="shared" ca="1" si="38"/>
        <v>0.89341637024438858</v>
      </c>
      <c r="X22" s="180">
        <f t="shared" ca="1" si="38"/>
        <v>0.90325432014694285</v>
      </c>
      <c r="Y22" s="180">
        <f t="shared" ca="1" si="38"/>
        <v>0.9123797137283427</v>
      </c>
      <c r="Z22" s="180">
        <f t="shared" ca="1" si="38"/>
        <v>0.92086672241349077</v>
      </c>
      <c r="AA22" s="180">
        <f t="shared" ca="1" si="38"/>
        <v>0.92877964020361159</v>
      </c>
      <c r="AB22" s="180">
        <f t="shared" ca="1" si="38"/>
        <v>0.93617446327648746</v>
      </c>
      <c r="AC22" s="180">
        <f t="shared" ca="1" si="38"/>
        <v>0.94310017807337276</v>
      </c>
      <c r="AD22" s="180">
        <f t="shared" ca="1" si="38"/>
        <v>0.94959981828000151</v>
      </c>
      <c r="AE22" s="180">
        <f t="shared" ca="1" si="38"/>
        <v>0.9557113373325602</v>
      </c>
      <c r="AF22" s="180">
        <f t="shared" ca="1" si="38"/>
        <v>0.9614683327079665</v>
      </c>
      <c r="AG22" s="180">
        <f t="shared" ca="1" si="38"/>
        <v>0.96690065039039785</v>
      </c>
      <c r="AH22" s="180">
        <f t="shared" ca="1" si="38"/>
        <v>0.97203489189441838</v>
      </c>
      <c r="AI22" s="180">
        <f t="shared" ca="1" si="38"/>
        <v>0.97689484159909323</v>
      </c>
      <c r="AJ22" s="180">
        <f t="shared" ca="1" si="38"/>
        <v>0.98150182856366064</v>
      </c>
      <c r="AK22" s="180">
        <f t="shared" ca="1" si="38"/>
        <v>0.98587503420083966</v>
      </c>
      <c r="AL22" s="180">
        <f t="shared" ca="1" si="38"/>
        <v>0.99003175499126106</v>
      </c>
      <c r="AM22" s="180">
        <f t="shared" ca="1" si="38"/>
        <v>0.99398762769191729</v>
      </c>
      <c r="AN22" s="180">
        <f t="shared" ca="1" si="38"/>
        <v>0.99775682311777847</v>
      </c>
      <c r="AO22" s="180">
        <f t="shared" ref="AO22:BH22" ca="1" si="39">IF(AO14=0,Iout_PreReg+AO23/2,IF(AO$12&gt;AO$14,(Iout_PreReg+AO23/2*(1-AO12))/(1-AO14),Iout_PreReg/(1-AO14)+AO23/2))</f>
        <v>1.0013522134792634</v>
      </c>
      <c r="AP22" s="180">
        <f t="shared" ca="1" si="39"/>
        <v>1.0047855173785245</v>
      </c>
      <c r="AQ22" s="180">
        <f t="shared" ca="1" si="39"/>
        <v>1.0080674258581264</v>
      </c>
      <c r="AR22" s="180">
        <f t="shared" ca="1" si="39"/>
        <v>1.0112077123208978</v>
      </c>
      <c r="AS22" s="180">
        <f t="shared" ca="1" si="39"/>
        <v>1.0142153286718749</v>
      </c>
      <c r="AT22" s="180">
        <f t="shared" ca="1" si="39"/>
        <v>1.0170984896506918</v>
      </c>
      <c r="AU22" s="180">
        <f t="shared" ca="1" si="39"/>
        <v>1.0198647470086777</v>
      </c>
      <c r="AV22" s="180">
        <f t="shared" ca="1" si="39"/>
        <v>1.0225210549259394</v>
      </c>
      <c r="AW22" s="180">
        <f t="shared" ca="1" si="39"/>
        <v>1.0250738278493614</v>
      </c>
      <c r="AX22" s="180">
        <f t="shared" ca="1" si="39"/>
        <v>1.0275289917543577</v>
      </c>
      <c r="AY22" s="180">
        <f t="shared" ca="1" si="39"/>
        <v>1.0298920296847076</v>
      </c>
      <c r="AZ22" s="180">
        <f t="shared" ca="1" si="39"/>
        <v>1.0321680223005316</v>
      </c>
      <c r="BA22" s="180">
        <f t="shared" ca="1" si="39"/>
        <v>1.034361684060134</v>
      </c>
      <c r="BB22" s="180">
        <f t="shared" ca="1" si="39"/>
        <v>1.0364773955735351</v>
      </c>
      <c r="BC22" s="180">
        <f t="shared" ca="1" si="39"/>
        <v>1.0385192325912613</v>
      </c>
      <c r="BD22" s="180">
        <f t="shared" ca="1" si="39"/>
        <v>1.0404909920289998</v>
      </c>
      <c r="BE22" s="180">
        <f t="shared" ca="1" si="39"/>
        <v>1.0423962153752271</v>
      </c>
      <c r="BF22" s="180">
        <f t="shared" ca="1" si="39"/>
        <v>1.0442382097833005</v>
      </c>
      <c r="BG22" s="180">
        <f t="shared" ca="1" si="39"/>
        <v>1.0460200671105107</v>
      </c>
      <c r="BH22" s="180">
        <f t="shared" ca="1" si="39"/>
        <v>1.3430321543408581</v>
      </c>
      <c r="BI22" s="15" t="s">
        <v>41</v>
      </c>
      <c r="BJ22" s="181" t="s">
        <v>77</v>
      </c>
      <c r="BL22" s="99" t="s">
        <v>127</v>
      </c>
      <c r="BM22" s="99">
        <v>1.734</v>
      </c>
      <c r="BN22" s="99">
        <v>0.9</v>
      </c>
    </row>
    <row r="23" spans="1:66" ht="15.6" x14ac:dyDescent="0.3">
      <c r="A23" s="1"/>
      <c r="B23" s="41" t="s">
        <v>308</v>
      </c>
      <c r="C23" s="155">
        <v>0.05</v>
      </c>
      <c r="D23" s="80" t="s">
        <v>316</v>
      </c>
      <c r="E23" s="48"/>
      <c r="F23" s="49"/>
      <c r="G23" s="182"/>
      <c r="H23" s="183" t="s">
        <v>322</v>
      </c>
      <c r="I23" s="180">
        <f t="shared" ref="I23:AN23" ca="1" si="40">IF(I$12&gt;I$14,IF(I14=0,I9*I12/(L_buck*10^-6*I19*10^3),(I9*(I14)/(L_buck*10^-6*I19*10^3))),I9*(I12)/(L_buck*10^-6*I19*10^3))</f>
        <v>0.32452273851404684</v>
      </c>
      <c r="J23" s="180">
        <f t="shared" ca="1" si="40"/>
        <v>0.18632195763529713</v>
      </c>
      <c r="K23" s="180">
        <f t="shared" ca="1" si="40"/>
        <v>0.19389513394976937</v>
      </c>
      <c r="L23" s="180">
        <f t="shared" ca="1" si="40"/>
        <v>0.19836135399030774</v>
      </c>
      <c r="M23" s="180">
        <f t="shared" ca="1" si="40"/>
        <v>0.19989410827455167</v>
      </c>
      <c r="N23" s="180">
        <f t="shared" ca="1" si="40"/>
        <v>0.19861533698896436</v>
      </c>
      <c r="O23" s="180">
        <f t="shared" ca="1" si="40"/>
        <v>0.19461418257248789</v>
      </c>
      <c r="P23" s="180">
        <f t="shared" ca="1" si="40"/>
        <v>0.18795790181299235</v>
      </c>
      <c r="Q23" s="180">
        <f t="shared" ca="1" si="40"/>
        <v>0.17869859592295292</v>
      </c>
      <c r="R23" s="180">
        <f t="shared" ca="1" si="40"/>
        <v>0.16687755080265135</v>
      </c>
      <c r="S23" s="180">
        <f t="shared" ca="1" si="40"/>
        <v>0.15252813948852739</v>
      </c>
      <c r="T23" s="180">
        <f t="shared" ca="1" si="40"/>
        <v>0.1356778207743552</v>
      </c>
      <c r="U23" s="180">
        <f t="shared" ca="1" si="40"/>
        <v>0.11634952315428351</v>
      </c>
      <c r="V23" s="180">
        <f t="shared" ca="1" si="40"/>
        <v>9.4728797296431744E-2</v>
      </c>
      <c r="W23" s="180">
        <f t="shared" ca="1" si="40"/>
        <v>0.12552432927382379</v>
      </c>
      <c r="X23" s="180">
        <f t="shared" ca="1" si="40"/>
        <v>0.14520022907893218</v>
      </c>
      <c r="Y23" s="180">
        <f t="shared" ca="1" si="40"/>
        <v>0.16345101624173186</v>
      </c>
      <c r="Z23" s="180">
        <f t="shared" ca="1" si="40"/>
        <v>0.180425033612028</v>
      </c>
      <c r="AA23" s="180">
        <f t="shared" ca="1" si="40"/>
        <v>0.19625086919226981</v>
      </c>
      <c r="AB23" s="180">
        <f t="shared" ca="1" si="40"/>
        <v>0.21104051533802146</v>
      </c>
      <c r="AC23" s="180">
        <f t="shared" ca="1" si="40"/>
        <v>0.22489194493179215</v>
      </c>
      <c r="AD23" s="180">
        <f t="shared" ca="1" si="40"/>
        <v>0.23789122534504961</v>
      </c>
      <c r="AE23" s="180">
        <f t="shared" ca="1" si="40"/>
        <v>0.25011426345016691</v>
      </c>
      <c r="AF23" s="180">
        <f t="shared" ca="1" si="40"/>
        <v>0.26162825420097952</v>
      </c>
      <c r="AG23" s="180">
        <f t="shared" ca="1" si="40"/>
        <v>0.27249288956584233</v>
      </c>
      <c r="AH23" s="180">
        <f t="shared" ca="1" si="40"/>
        <v>0.28276137257388345</v>
      </c>
      <c r="AI23" s="180">
        <f t="shared" ca="1" si="40"/>
        <v>0.29248127198323315</v>
      </c>
      <c r="AJ23" s="180">
        <f t="shared" ca="1" si="40"/>
        <v>0.3016952459123679</v>
      </c>
      <c r="AK23" s="180">
        <f t="shared" ca="1" si="40"/>
        <v>0.31044165718672595</v>
      </c>
      <c r="AL23" s="180">
        <f t="shared" ca="1" si="40"/>
        <v>0.31875509876756863</v>
      </c>
      <c r="AM23" s="180">
        <f t="shared" ca="1" si="40"/>
        <v>0.32666684416888103</v>
      </c>
      <c r="AN23" s="180">
        <f t="shared" ca="1" si="40"/>
        <v>0.33420523502060356</v>
      </c>
      <c r="AO23" s="180">
        <f t="shared" ref="AO23:BH23" ca="1" si="41">IF(AO$12&gt;AO$14,IF(AO14=0,AO9*AO12/(L_buck*10^-6*AO19*10^3),(AO9*(AO14)/(L_buck*10^-6*AO19*10^3))),AO9*(AO12)/(L_buck*10^-6*AO19*10^3))</f>
        <v>0.34139601574357314</v>
      </c>
      <c r="AP23" s="180">
        <f t="shared" ca="1" si="41"/>
        <v>0.34826262354209575</v>
      </c>
      <c r="AQ23" s="180">
        <f t="shared" ca="1" si="41"/>
        <v>0.3548264405012993</v>
      </c>
      <c r="AR23" s="180">
        <f t="shared" ca="1" si="41"/>
        <v>0.36110701342684226</v>
      </c>
      <c r="AS23" s="180">
        <f t="shared" ca="1" si="41"/>
        <v>0.36712224612879629</v>
      </c>
      <c r="AT23" s="180">
        <f t="shared" ca="1" si="41"/>
        <v>0.37288856808643017</v>
      </c>
      <c r="AU23" s="180">
        <f t="shared" ca="1" si="41"/>
        <v>0.37842108280240194</v>
      </c>
      <c r="AV23" s="180">
        <f t="shared" ca="1" si="41"/>
        <v>0.38373369863692547</v>
      </c>
      <c r="AW23" s="180">
        <f t="shared" ca="1" si="41"/>
        <v>0.38883924448376933</v>
      </c>
      <c r="AX23" s="180">
        <f t="shared" ca="1" si="41"/>
        <v>0.39374957229376223</v>
      </c>
      <c r="AY23" s="180">
        <f t="shared" ca="1" si="41"/>
        <v>0.39847564815446179</v>
      </c>
      <c r="AZ23" s="180">
        <f t="shared" ca="1" si="41"/>
        <v>0.40302763338611003</v>
      </c>
      <c r="BA23" s="180">
        <f t="shared" ca="1" si="41"/>
        <v>0.40741495690531454</v>
      </c>
      <c r="BB23" s="180">
        <f t="shared" ca="1" si="41"/>
        <v>0.41164637993211683</v>
      </c>
      <c r="BC23" s="180">
        <f t="shared" ca="1" si="41"/>
        <v>0.41573005396756912</v>
      </c>
      <c r="BD23" s="180">
        <f t="shared" ca="1" si="41"/>
        <v>0.41967357284304596</v>
      </c>
      <c r="BE23" s="180">
        <f t="shared" ca="1" si="41"/>
        <v>0.42348401953550074</v>
      </c>
      <c r="BF23" s="180">
        <f t="shared" ca="1" si="41"/>
        <v>0.42716800835164737</v>
      </c>
      <c r="BG23" s="180">
        <f t="shared" ca="1" si="41"/>
        <v>0.43073172300606788</v>
      </c>
      <c r="BH23" s="180">
        <f t="shared" ca="1" si="41"/>
        <v>1.0247558974667628</v>
      </c>
      <c r="BI23" s="183" t="s">
        <v>322</v>
      </c>
      <c r="BJ23" s="184"/>
      <c r="BL23" s="99" t="s">
        <v>128</v>
      </c>
      <c r="BM23" s="99">
        <v>0.17799999999999999</v>
      </c>
      <c r="BN23" s="99">
        <v>0.252</v>
      </c>
    </row>
    <row r="24" spans="1:66" ht="15.6" x14ac:dyDescent="0.3">
      <c r="A24" s="1"/>
      <c r="B24" s="41" t="s">
        <v>309</v>
      </c>
      <c r="C24" s="155">
        <v>0.2</v>
      </c>
      <c r="D24" s="80" t="s">
        <v>317</v>
      </c>
      <c r="E24" s="48"/>
      <c r="F24" s="49"/>
      <c r="G24" s="182"/>
      <c r="H24" s="183" t="s">
        <v>59</v>
      </c>
      <c r="I24" s="180">
        <f t="shared" ref="I24:AN24" ca="1" si="42">IF(I12&gt;I14,SQRT((I22-I23/2)^2+I23^2/12+(I12-I14)*I23^2/12),SQRT((I22-I23/2)^2+I23^2/12+(I14-I12)*I23^2/12))</f>
        <v>0.83853592477639305</v>
      </c>
      <c r="J24" s="180">
        <f t="shared" ca="1" si="42"/>
        <v>1.9225316797397451</v>
      </c>
      <c r="K24" s="180">
        <f t="shared" ca="1" si="42"/>
        <v>1.7593642121094195</v>
      </c>
      <c r="L24" s="180">
        <f t="shared" ca="1" si="42"/>
        <v>1.6206514461519272</v>
      </c>
      <c r="M24" s="180">
        <f t="shared" ca="1" si="42"/>
        <v>1.5015506663816509</v>
      </c>
      <c r="N24" s="180">
        <f t="shared" ca="1" si="42"/>
        <v>1.3984760139793759</v>
      </c>
      <c r="O24" s="180">
        <f t="shared" ca="1" si="42"/>
        <v>1.3087124512642578</v>
      </c>
      <c r="P24" s="180">
        <f t="shared" ca="1" si="42"/>
        <v>1.2301661877582419</v>
      </c>
      <c r="Q24" s="180">
        <f t="shared" ca="1" si="42"/>
        <v>1.1611971848300455</v>
      </c>
      <c r="R24" s="180">
        <f t="shared" ca="1" si="42"/>
        <v>1.1005039447501201</v>
      </c>
      <c r="S24" s="180">
        <f t="shared" ca="1" si="42"/>
        <v>1.0470425620503625</v>
      </c>
      <c r="T24" s="180">
        <f t="shared" ca="1" si="42"/>
        <v>0.99996912989161879</v>
      </c>
      <c r="U24" s="180">
        <f t="shared" ca="1" si="42"/>
        <v>0.95860597594647556</v>
      </c>
      <c r="V24" s="180">
        <f t="shared" ca="1" si="42"/>
        <v>0.92238974009801633</v>
      </c>
      <c r="W24" s="180">
        <f t="shared" ca="1" si="42"/>
        <v>0.83208081725718652</v>
      </c>
      <c r="X24" s="180">
        <f t="shared" ca="1" si="42"/>
        <v>0.83253053205474115</v>
      </c>
      <c r="Y24" s="180">
        <f t="shared" ca="1" si="42"/>
        <v>0.83299351091693996</v>
      </c>
      <c r="Z24" s="180">
        <f t="shared" ca="1" si="42"/>
        <v>0.8334610888701276</v>
      </c>
      <c r="AA24" s="180">
        <f t="shared" ca="1" si="42"/>
        <v>0.83392704530902251</v>
      </c>
      <c r="AB24" s="180">
        <f t="shared" ca="1" si="42"/>
        <v>0.834386956678008</v>
      </c>
      <c r="AC24" s="180">
        <f t="shared" ca="1" si="42"/>
        <v>0.83483772514236831</v>
      </c>
      <c r="AD24" s="180">
        <f t="shared" ca="1" si="42"/>
        <v>0.83527723312217916</v>
      </c>
      <c r="AE24" s="180">
        <f t="shared" ca="1" si="42"/>
        <v>0.83570408857238887</v>
      </c>
      <c r="AF24" s="180">
        <f t="shared" ca="1" si="42"/>
        <v>0.83611743618543766</v>
      </c>
      <c r="AG24" s="180">
        <f t="shared" ca="1" si="42"/>
        <v>0.83651681681882162</v>
      </c>
      <c r="AH24" s="180">
        <f t="shared" ca="1" si="42"/>
        <v>0.83690206242907017</v>
      </c>
      <c r="AI24" s="180">
        <f t="shared" ca="1" si="42"/>
        <v>0.8372732173029106</v>
      </c>
      <c r="AJ24" s="180">
        <f t="shared" ca="1" si="42"/>
        <v>0.83763047887026454</v>
      </c>
      <c r="AK24" s="180">
        <f t="shared" ca="1" si="42"/>
        <v>0.83797415316987856</v>
      </c>
      <c r="AL24" s="180">
        <f t="shared" ca="1" si="42"/>
        <v>0.83830462132711547</v>
      </c>
      <c r="AM24" s="180">
        <f t="shared" ca="1" si="42"/>
        <v>0.83862231433978307</v>
      </c>
      <c r="AN24" s="180">
        <f t="shared" ca="1" si="42"/>
        <v>0.83892769415267476</v>
      </c>
      <c r="AO24" s="180">
        <f t="shared" ref="AO24:BH24" ca="1" si="43">IF(AO12&gt;AO14,SQRT((AO22-AO23/2)^2+AO23^2/12+(AO12-AO14)*AO23^2/12),SQRT((AO22-AO23/2)^2+AO23^2/12+(AO14-AO12)*AO23^2/12))</f>
        <v>0.83922123950545324</v>
      </c>
      <c r="AP24" s="180">
        <f t="shared" ca="1" si="43"/>
        <v>0.83950343541152583</v>
      </c>
      <c r="AQ24" s="180">
        <f t="shared" ca="1" si="43"/>
        <v>0.8397747654032236</v>
      </c>
      <c r="AR24" s="180">
        <f t="shared" ca="1" si="43"/>
        <v>0.8400357058862864</v>
      </c>
      <c r="AS24" s="180">
        <f t="shared" ca="1" si="43"/>
        <v>0.84028672210282962</v>
      </c>
      <c r="AT24" s="180">
        <f t="shared" ca="1" si="43"/>
        <v>0.84052826531986291</v>
      </c>
      <c r="AU24" s="180">
        <f t="shared" ca="1" si="43"/>
        <v>0.8407607709498659</v>
      </c>
      <c r="AV24" s="180">
        <f t="shared" ca="1" si="43"/>
        <v>0.84098465737798123</v>
      </c>
      <c r="AW24" s="180">
        <f t="shared" ca="1" si="43"/>
        <v>0.84120032532240241</v>
      </c>
      <c r="AX24" s="180">
        <f t="shared" ca="1" si="43"/>
        <v>0.84140815759438692</v>
      </c>
      <c r="AY24" s="180">
        <f t="shared" ca="1" si="43"/>
        <v>0.84160851915497459</v>
      </c>
      <c r="AZ24" s="180">
        <f t="shared" ca="1" si="43"/>
        <v>0.84180175738910512</v>
      </c>
      <c r="BA24" s="180">
        <f t="shared" ca="1" si="43"/>
        <v>0.84198820253608608</v>
      </c>
      <c r="BB24" s="180">
        <f t="shared" ca="1" si="43"/>
        <v>0.84216816822947704</v>
      </c>
      <c r="BC24" s="180">
        <f t="shared" ca="1" si="43"/>
        <v>0.8423419521104194</v>
      </c>
      <c r="BD24" s="180">
        <f t="shared" ca="1" si="43"/>
        <v>0.84250983648693623</v>
      </c>
      <c r="BE24" s="180">
        <f t="shared" ca="1" si="43"/>
        <v>0.84267208901833868</v>
      </c>
      <c r="BF24" s="180">
        <f t="shared" ca="1" si="43"/>
        <v>0.84282896340900293</v>
      </c>
      <c r="BG24" s="180">
        <f t="shared" ca="1" si="43"/>
        <v>0.84298070009977788</v>
      </c>
      <c r="BH24" s="180">
        <f t="shared" ca="1" si="43"/>
        <v>0.89005421269599194</v>
      </c>
      <c r="BI24" s="183" t="s">
        <v>59</v>
      </c>
      <c r="BJ24" s="184"/>
      <c r="BL24" s="99" t="s">
        <v>129</v>
      </c>
      <c r="BM24" s="100">
        <f>SQRT(((BM22-BM23/2-Iout_PreReg)^2+BM23^2/12)*(1-BM21)+Iout_PreReg^2*BM21)</f>
        <v>0.8239298440160826</v>
      </c>
      <c r="BN24" s="100">
        <f>SQRT(((BN22-BN23/2-Iout_PreReg)^2+BN23^2/12)*(1-BN21)+Iout_PreReg^2*BN21)</f>
        <v>9.2204658304308268E-2</v>
      </c>
    </row>
    <row r="25" spans="1:66" ht="18" customHeight="1" x14ac:dyDescent="0.3">
      <c r="A25" s="1"/>
      <c r="B25" s="41" t="s">
        <v>252</v>
      </c>
      <c r="C25" s="155">
        <v>7.4999999999999997E-2</v>
      </c>
      <c r="D25" s="80" t="s">
        <v>315</v>
      </c>
      <c r="E25" s="48"/>
      <c r="F25" s="49"/>
      <c r="G25" s="182"/>
      <c r="H25" s="15" t="s">
        <v>8</v>
      </c>
      <c r="I25" s="185">
        <f t="shared" ref="I25:AN25" ca="1" si="44">IF(I12&gt;I14,SQRT(I12*(I22-I23/2)^2+I14*I23^2/12),SQRT(I12*(I22-I23/2)^2+I12*I23^2/12))</f>
        <v>0.5868062663248691</v>
      </c>
      <c r="J25" s="185">
        <f t="shared" ca="1" si="44"/>
        <v>1.7544849849910389</v>
      </c>
      <c r="K25" s="185">
        <f t="shared" ca="1" si="44"/>
        <v>1.5865790026795104</v>
      </c>
      <c r="L25" s="185">
        <f t="shared" ca="1" si="44"/>
        <v>1.4478599450629444</v>
      </c>
      <c r="M25" s="185">
        <f t="shared" ca="1" si="44"/>
        <v>1.3314120532167493</v>
      </c>
      <c r="N25" s="185">
        <f t="shared" ca="1" si="44"/>
        <v>1.2324441184713959</v>
      </c>
      <c r="O25" s="185">
        <f t="shared" ca="1" si="44"/>
        <v>1.1475264549983262</v>
      </c>
      <c r="P25" s="185">
        <f t="shared" ca="1" si="44"/>
        <v>1.0741344568787032</v>
      </c>
      <c r="Q25" s="185">
        <f t="shared" ca="1" si="44"/>
        <v>1.0103661572214988</v>
      </c>
      <c r="R25" s="185">
        <f t="shared" ca="1" si="44"/>
        <v>0.95476021763630226</v>
      </c>
      <c r="S25" s="185">
        <f t="shared" ca="1" si="44"/>
        <v>0.90617456976967836</v>
      </c>
      <c r="T25" s="185">
        <f t="shared" ca="1" si="44"/>
        <v>0.86370095963328197</v>
      </c>
      <c r="U25" s="185">
        <f t="shared" ca="1" si="44"/>
        <v>0.82654395640276379</v>
      </c>
      <c r="V25" s="185">
        <f t="shared" ca="1" si="44"/>
        <v>0.79352205995615188</v>
      </c>
      <c r="W25" s="185">
        <f t="shared" ca="1" si="44"/>
        <v>0.74600317823949092</v>
      </c>
      <c r="X25" s="185">
        <f t="shared" ca="1" si="44"/>
        <v>0.73183181318125079</v>
      </c>
      <c r="Y25" s="185">
        <f t="shared" ca="1" si="44"/>
        <v>0.71843266876605971</v>
      </c>
      <c r="Z25" s="185">
        <f t="shared" ca="1" si="44"/>
        <v>0.70573860239125608</v>
      </c>
      <c r="AA25" s="185">
        <f t="shared" ca="1" si="44"/>
        <v>0.69369030585525093</v>
      </c>
      <c r="AB25" s="185">
        <f t="shared" ca="1" si="44"/>
        <v>0.68223517763357289</v>
      </c>
      <c r="AC25" s="185">
        <f t="shared" ca="1" si="44"/>
        <v>0.67132638565952252</v>
      </c>
      <c r="AD25" s="185">
        <f t="shared" ca="1" si="44"/>
        <v>0.66092208407470254</v>
      </c>
      <c r="AE25" s="185">
        <f t="shared" ca="1" si="44"/>
        <v>0.65098475518174659</v>
      </c>
      <c r="AF25" s="185">
        <f t="shared" ca="1" si="44"/>
        <v>0.64148065380118779</v>
      </c>
      <c r="AG25" s="185">
        <f t="shared" ca="1" si="44"/>
        <v>0.63237933585276684</v>
      </c>
      <c r="AH25" s="185">
        <f t="shared" ca="1" si="44"/>
        <v>0.62365325657745985</v>
      </c>
      <c r="AI25" s="185">
        <f t="shared" ca="1" si="44"/>
        <v>0.61527742663393159</v>
      </c>
      <c r="AJ25" s="185">
        <f t="shared" ca="1" si="44"/>
        <v>0.60722911652394163</v>
      </c>
      <c r="AK25" s="185">
        <f t="shared" ca="1" si="44"/>
        <v>0.59948760156198966</v>
      </c>
      <c r="AL25" s="185">
        <f t="shared" ca="1" si="44"/>
        <v>0.59203394100836382</v>
      </c>
      <c r="AM25" s="185">
        <f t="shared" ca="1" si="44"/>
        <v>0.58485078611012964</v>
      </c>
      <c r="AN25" s="185">
        <f t="shared" ca="1" si="44"/>
        <v>0.57792221270143274</v>
      </c>
      <c r="AO25" s="185">
        <f t="shared" ref="AO25:BH25" ca="1" si="45">IF(AO12&gt;AO14,SQRT(AO12*(AO22-AO23/2)^2+AO14*AO23^2/12),SQRT(AO12*(AO22-AO23/2)^2+AO12*AO23^2/12))</f>
        <v>0.57123357474886716</v>
      </c>
      <c r="AP25" s="185">
        <f t="shared" ca="1" si="45"/>
        <v>0.56477137582523407</v>
      </c>
      <c r="AQ25" s="185">
        <f t="shared" ca="1" si="45"/>
        <v>0.55852315598353497</v>
      </c>
      <c r="AR25" s="185">
        <f t="shared" ca="1" si="45"/>
        <v>0.55247739190414269</v>
      </c>
      <c r="AS25" s="185">
        <f t="shared" ca="1" si="45"/>
        <v>0.54662340851887004</v>
      </c>
      <c r="AT25" s="185">
        <f t="shared" ca="1" si="45"/>
        <v>0.54095130058950147</v>
      </c>
      <c r="AU25" s="185">
        <f t="shared" ca="1" si="45"/>
        <v>0.53545186294601377</v>
      </c>
      <c r="AV25" s="185">
        <f t="shared" ca="1" si="45"/>
        <v>0.53011652827964306</v>
      </c>
      <c r="AW25" s="185">
        <f t="shared" ca="1" si="45"/>
        <v>0.52493731154503032</v>
      </c>
      <c r="AX25" s="185">
        <f t="shared" ca="1" si="45"/>
        <v>0.51990676015934678</v>
      </c>
      <c r="AY25" s="185">
        <f t="shared" ca="1" si="45"/>
        <v>0.51501790929902025</v>
      </c>
      <c r="AZ25" s="185">
        <f t="shared" ca="1" si="45"/>
        <v>0.51026424169002982</v>
      </c>
      <c r="BA25" s="185">
        <f t="shared" ca="1" si="45"/>
        <v>0.50563965136866618</v>
      </c>
      <c r="BB25" s="185">
        <f t="shared" ca="1" si="45"/>
        <v>0.50113841095851752</v>
      </c>
      <c r="BC25" s="185">
        <f t="shared" ca="1" si="45"/>
        <v>0.49675514206825444</v>
      </c>
      <c r="BD25" s="185">
        <f t="shared" ca="1" si="45"/>
        <v>0.49248478846511329</v>
      </c>
      <c r="BE25" s="185">
        <f t="shared" ca="1" si="45"/>
        <v>0.48832259172219694</v>
      </c>
      <c r="BF25" s="185">
        <f t="shared" ca="1" si="45"/>
        <v>0.48426406907489816</v>
      </c>
      <c r="BG25" s="185">
        <f t="shared" ca="1" si="45"/>
        <v>0.48030499325384546</v>
      </c>
      <c r="BH25" s="185">
        <f t="shared" ca="1" si="45"/>
        <v>0.34044328425354686</v>
      </c>
      <c r="BI25" s="15" t="s">
        <v>8</v>
      </c>
      <c r="BJ25" s="184"/>
      <c r="BN25" s="99">
        <f>SQRT(BN20/3*BN23^2)</f>
        <v>0.10691454531540599</v>
      </c>
    </row>
    <row r="26" spans="1:66" ht="18" customHeight="1" x14ac:dyDescent="0.3">
      <c r="A26" s="1"/>
      <c r="B26" s="41" t="s">
        <v>15</v>
      </c>
      <c r="C26" s="52">
        <v>30</v>
      </c>
      <c r="D26" s="80" t="s">
        <v>189</v>
      </c>
      <c r="E26" s="48"/>
      <c r="F26" s="49"/>
      <c r="G26" s="182"/>
      <c r="H26" s="15" t="s">
        <v>45</v>
      </c>
      <c r="I26" s="180">
        <f t="shared" ref="I26:AN26" ca="1" si="46">IF(I$12&gt;I$14,(I22-I23/2)*(1-I12),I22*(I14-I12)+(I22-I23/2)*(1-I14))</f>
        <v>0.41611155732664568</v>
      </c>
      <c r="J26" s="180">
        <f t="shared" ca="1" si="46"/>
        <v>0.32054883666790157</v>
      </c>
      <c r="K26" s="180">
        <f t="shared" ca="1" si="46"/>
        <v>0.3275145414448033</v>
      </c>
      <c r="L26" s="180">
        <f t="shared" ca="1" si="46"/>
        <v>0.32582769724162547</v>
      </c>
      <c r="M26" s="180">
        <f t="shared" ca="1" si="46"/>
        <v>0.31942114909853819</v>
      </c>
      <c r="N26" s="180">
        <f t="shared" ca="1" si="46"/>
        <v>0.31054698464769476</v>
      </c>
      <c r="O26" s="180">
        <f t="shared" ca="1" si="46"/>
        <v>0.30052609760822152</v>
      </c>
      <c r="P26" s="180">
        <f t="shared" ca="1" si="46"/>
        <v>0.29014909051803983</v>
      </c>
      <c r="Q26" s="180">
        <f t="shared" ca="1" si="46"/>
        <v>0.27989405205516654</v>
      </c>
      <c r="R26" s="180">
        <f t="shared" ca="1" si="46"/>
        <v>0.27004993340651035</v>
      </c>
      <c r="S26" s="180">
        <f t="shared" ca="1" si="46"/>
        <v>0.26078886185506628</v>
      </c>
      <c r="T26" s="180">
        <f t="shared" ca="1" si="46"/>
        <v>0.25221402544936361</v>
      </c>
      <c r="U26" s="180">
        <f t="shared" ca="1" si="46"/>
        <v>0.24450885906189954</v>
      </c>
      <c r="V26" s="180">
        <f t="shared" ca="1" si="46"/>
        <v>0.23869984279694542</v>
      </c>
      <c r="W26" s="180">
        <f t="shared" ca="1" si="46"/>
        <v>0.16067536460898305</v>
      </c>
      <c r="X26" s="180">
        <f t="shared" ca="1" si="46"/>
        <v>0.18588794888037485</v>
      </c>
      <c r="Y26" s="180">
        <f t="shared" ca="1" si="46"/>
        <v>0.2092819232955446</v>
      </c>
      <c r="Z26" s="180">
        <f t="shared" ca="1" si="46"/>
        <v>0.23104612375720146</v>
      </c>
      <c r="AA26" s="180">
        <f t="shared" ca="1" si="46"/>
        <v>0.25134426268648197</v>
      </c>
      <c r="AB26" s="180">
        <f t="shared" ca="1" si="46"/>
        <v>0.27031894881994001</v>
      </c>
      <c r="AC26" s="180">
        <f t="shared" ca="1" si="46"/>
        <v>0.28809496369876236</v>
      </c>
      <c r="AD26" s="180">
        <f t="shared" ca="1" si="46"/>
        <v>0.30478194941611364</v>
      </c>
      <c r="AE26" s="180">
        <f t="shared" ca="1" si="46"/>
        <v>0.32047662675669891</v>
      </c>
      <c r="AF26" s="180">
        <f t="shared" ca="1" si="46"/>
        <v>0.33526463624959729</v>
      </c>
      <c r="AG26" s="180">
        <f t="shared" ca="1" si="46"/>
        <v>0.34922207450651188</v>
      </c>
      <c r="AH26" s="180">
        <f t="shared" ca="1" si="46"/>
        <v>0.36241678284594653</v>
      </c>
      <c r="AI26" s="180">
        <f t="shared" ca="1" si="46"/>
        <v>0.37490943339095745</v>
      </c>
      <c r="AJ26" s="180">
        <f t="shared" ca="1" si="46"/>
        <v>0.38675444868661946</v>
      </c>
      <c r="AK26" s="180">
        <f t="shared" ca="1" si="46"/>
        <v>0.3980007837618364</v>
      </c>
      <c r="AL26" s="180">
        <f t="shared" ca="1" si="46"/>
        <v>0.40869259397684277</v>
      </c>
      <c r="AM26" s="180">
        <f t="shared" ca="1" si="46"/>
        <v>0.41886980759376058</v>
      </c>
      <c r="AN26" s="180">
        <f t="shared" ca="1" si="46"/>
        <v>0.42856861851355171</v>
      </c>
      <c r="AO26" s="180">
        <f t="shared" ref="AO26:BH26" ca="1" si="47">IF(AO$12&gt;AO$14,(AO22-AO23/2)*(1-AO12),AO22*(AO14-AO12)+(AO22-AO23/2)*(1-AO14))</f>
        <v>0.4378219118352048</v>
      </c>
      <c r="AP26" s="180">
        <f t="shared" ca="1" si="47"/>
        <v>0.44665963265727998</v>
      </c>
      <c r="AQ26" s="180">
        <f t="shared" ca="1" si="47"/>
        <v>0.45510910673968347</v>
      </c>
      <c r="AR26" s="180">
        <f t="shared" ca="1" si="47"/>
        <v>0.46319532018357018</v>
      </c>
      <c r="AS26" s="180">
        <f t="shared" ca="1" si="47"/>
        <v>0.47094116409910303</v>
      </c>
      <c r="AT26" s="180">
        <f t="shared" ca="1" si="47"/>
        <v>0.47836764925943864</v>
      </c>
      <c r="AU26" s="180">
        <f t="shared" ca="1" si="47"/>
        <v>0.48549409494183576</v>
      </c>
      <c r="AV26" s="180">
        <f t="shared" ca="1" si="47"/>
        <v>0.49233829549931968</v>
      </c>
      <c r="AW26" s="180">
        <f t="shared" ca="1" si="47"/>
        <v>0.49891666766218767</v>
      </c>
      <c r="AX26" s="180">
        <f t="shared" ca="1" si="47"/>
        <v>0.50524438111653858</v>
      </c>
      <c r="AY26" s="180">
        <f t="shared" ca="1" si="47"/>
        <v>0.51133547453001815</v>
      </c>
      <c r="AZ26" s="180">
        <f t="shared" ca="1" si="47"/>
        <v>0.5172029588794993</v>
      </c>
      <c r="BA26" s="180">
        <f t="shared" ca="1" si="47"/>
        <v>0.52285890967052573</v>
      </c>
      <c r="BB26" s="180">
        <f t="shared" ca="1" si="47"/>
        <v>0.52831454941520628</v>
      </c>
      <c r="BC26" s="180">
        <f t="shared" ca="1" si="47"/>
        <v>0.53358032154667667</v>
      </c>
      <c r="BD26" s="180">
        <f t="shared" ca="1" si="47"/>
        <v>0.53866595678840135</v>
      </c>
      <c r="BE26" s="180">
        <f t="shared" ca="1" si="47"/>
        <v>0.54358053286071328</v>
      </c>
      <c r="BF26" s="180">
        <f t="shared" ca="1" si="47"/>
        <v>0.54833252829113333</v>
      </c>
      <c r="BG26" s="180">
        <f t="shared" ca="1" si="47"/>
        <v>0.55292987099598156</v>
      </c>
      <c r="BH26" s="180">
        <f t="shared" ca="1" si="47"/>
        <v>0.69112366568975026</v>
      </c>
      <c r="BI26" s="15" t="s">
        <v>45</v>
      </c>
      <c r="BJ26" s="184"/>
    </row>
    <row r="27" spans="1:66" ht="18" customHeight="1" thickBot="1" x14ac:dyDescent="0.35">
      <c r="A27" s="1"/>
      <c r="B27" s="42" t="s">
        <v>13</v>
      </c>
      <c r="C27" s="72">
        <f>I_reg_ext+Vout_sync_buck*Iout_sync_buck/(0.88*Vreg)+Iout_3V3+Iout_V5A+Iout_V5B+Iout_V5CAN+Iout_V5P+Icc</f>
        <v>0.83065420560747671</v>
      </c>
      <c r="D27" s="154" t="s">
        <v>162</v>
      </c>
      <c r="E27" s="48"/>
      <c r="F27" s="49"/>
      <c r="G27" s="182"/>
      <c r="H27" s="15" t="s">
        <v>54</v>
      </c>
      <c r="I27" s="180">
        <f t="shared" ref="I27:AN27" ca="1" si="48">IF(I12&gt;I14,SQRT(I14*(I22-I23/2)^2+I14*I23^2/12),SQRT(I14*(I22-I23/2)^2+I12*I23^2/12))</f>
        <v>0</v>
      </c>
      <c r="J27" s="180">
        <f t="shared" ca="1" si="48"/>
        <v>1.4640114227903234</v>
      </c>
      <c r="K27" s="180">
        <f t="shared" ca="1" si="48"/>
        <v>1.2956951012254883</v>
      </c>
      <c r="L27" s="180">
        <f t="shared" ca="1" si="48"/>
        <v>1.1515168236761697</v>
      </c>
      <c r="M27" s="180">
        <f t="shared" ca="1" si="48"/>
        <v>1.0264835755208956</v>
      </c>
      <c r="N27" s="180">
        <f t="shared" ca="1" si="48"/>
        <v>0.91684661001191159</v>
      </c>
      <c r="O27" s="180">
        <f t="shared" ca="1" si="48"/>
        <v>0.81970955219546882</v>
      </c>
      <c r="P27" s="180">
        <f t="shared" ca="1" si="48"/>
        <v>0.7327699382965609</v>
      </c>
      <c r="Q27" s="180">
        <f t="shared" ca="1" si="48"/>
        <v>0.65413919316007985</v>
      </c>
      <c r="R27" s="180">
        <f t="shared" ca="1" si="48"/>
        <v>0.58220876326670379</v>
      </c>
      <c r="S27" s="180">
        <f t="shared" ca="1" si="48"/>
        <v>0.51553965896926646</v>
      </c>
      <c r="T27" s="180">
        <f t="shared" ca="1" si="48"/>
        <v>0.45275458601457796</v>
      </c>
      <c r="U27" s="180">
        <f t="shared" ca="1" si="48"/>
        <v>0.39240637807054435</v>
      </c>
      <c r="V27" s="180">
        <f t="shared" ca="1" si="48"/>
        <v>0.33274393690668042</v>
      </c>
      <c r="W27" s="180">
        <f t="shared" ca="1" si="48"/>
        <v>0</v>
      </c>
      <c r="X27" s="180">
        <f t="shared" ca="1" si="48"/>
        <v>0</v>
      </c>
      <c r="Y27" s="180">
        <f t="shared" ca="1" si="48"/>
        <v>0</v>
      </c>
      <c r="Z27" s="180">
        <f t="shared" ca="1" si="48"/>
        <v>0</v>
      </c>
      <c r="AA27" s="180">
        <f t="shared" ca="1" si="48"/>
        <v>0</v>
      </c>
      <c r="AB27" s="180">
        <f t="shared" ca="1" si="48"/>
        <v>0</v>
      </c>
      <c r="AC27" s="180">
        <f t="shared" ca="1" si="48"/>
        <v>0</v>
      </c>
      <c r="AD27" s="180">
        <f t="shared" ca="1" si="48"/>
        <v>0</v>
      </c>
      <c r="AE27" s="180">
        <f t="shared" ca="1" si="48"/>
        <v>0</v>
      </c>
      <c r="AF27" s="180">
        <f t="shared" ca="1" si="48"/>
        <v>0</v>
      </c>
      <c r="AG27" s="180">
        <f t="shared" ca="1" si="48"/>
        <v>0</v>
      </c>
      <c r="AH27" s="180">
        <f t="shared" ca="1" si="48"/>
        <v>0</v>
      </c>
      <c r="AI27" s="180">
        <f t="shared" ca="1" si="48"/>
        <v>0</v>
      </c>
      <c r="AJ27" s="180">
        <f t="shared" ca="1" si="48"/>
        <v>0</v>
      </c>
      <c r="AK27" s="180">
        <f t="shared" ca="1" si="48"/>
        <v>0</v>
      </c>
      <c r="AL27" s="180">
        <f t="shared" ca="1" si="48"/>
        <v>0</v>
      </c>
      <c r="AM27" s="180">
        <f t="shared" ca="1" si="48"/>
        <v>0</v>
      </c>
      <c r="AN27" s="180">
        <f t="shared" ca="1" si="48"/>
        <v>0</v>
      </c>
      <c r="AO27" s="180">
        <f t="shared" ref="AO27:BH27" ca="1" si="49">IF(AO12&gt;AO14,SQRT(AO14*(AO22-AO23/2)^2+AO14*AO23^2/12),SQRT(AO14*(AO22-AO23/2)^2+AO12*AO23^2/12))</f>
        <v>0</v>
      </c>
      <c r="AP27" s="180">
        <f t="shared" ca="1" si="49"/>
        <v>0</v>
      </c>
      <c r="AQ27" s="180">
        <f t="shared" ca="1" si="49"/>
        <v>0</v>
      </c>
      <c r="AR27" s="180">
        <f t="shared" ca="1" si="49"/>
        <v>0</v>
      </c>
      <c r="AS27" s="180">
        <f t="shared" ca="1" si="49"/>
        <v>0</v>
      </c>
      <c r="AT27" s="180">
        <f t="shared" ca="1" si="49"/>
        <v>0</v>
      </c>
      <c r="AU27" s="180">
        <f t="shared" ca="1" si="49"/>
        <v>0</v>
      </c>
      <c r="AV27" s="180">
        <f t="shared" ca="1" si="49"/>
        <v>0</v>
      </c>
      <c r="AW27" s="180">
        <f t="shared" ca="1" si="49"/>
        <v>0</v>
      </c>
      <c r="AX27" s="180">
        <f t="shared" ca="1" si="49"/>
        <v>0</v>
      </c>
      <c r="AY27" s="180">
        <f t="shared" ca="1" si="49"/>
        <v>0</v>
      </c>
      <c r="AZ27" s="180">
        <f t="shared" ca="1" si="49"/>
        <v>0</v>
      </c>
      <c r="BA27" s="180">
        <f t="shared" ca="1" si="49"/>
        <v>0</v>
      </c>
      <c r="BB27" s="180">
        <f t="shared" ca="1" si="49"/>
        <v>0</v>
      </c>
      <c r="BC27" s="180">
        <f t="shared" ca="1" si="49"/>
        <v>0</v>
      </c>
      <c r="BD27" s="180">
        <f t="shared" ca="1" si="49"/>
        <v>0</v>
      </c>
      <c r="BE27" s="180">
        <f t="shared" ca="1" si="49"/>
        <v>0</v>
      </c>
      <c r="BF27" s="180">
        <f t="shared" ca="1" si="49"/>
        <v>0</v>
      </c>
      <c r="BG27" s="180">
        <f t="shared" ca="1" si="49"/>
        <v>0</v>
      </c>
      <c r="BH27" s="180">
        <f t="shared" ca="1" si="49"/>
        <v>0</v>
      </c>
      <c r="BI27" s="15" t="s">
        <v>54</v>
      </c>
      <c r="BJ27" s="184"/>
    </row>
    <row r="28" spans="1:66" ht="15" thickBot="1" x14ac:dyDescent="0.35">
      <c r="A28" s="1"/>
      <c r="B28" s="26"/>
      <c r="C28" s="102"/>
      <c r="D28" s="26"/>
      <c r="E28" s="48"/>
      <c r="F28" s="49"/>
      <c r="G28" s="182"/>
      <c r="H28" s="15" t="s">
        <v>44</v>
      </c>
      <c r="I28" s="180">
        <f t="shared" ref="I28:AN28" ca="1" si="50">IF(I$12&gt;I$14,I22*(1-I14)+I23/2*(I12-1),(I22-I23/2)*(1-I14))</f>
        <v>0.91163165358932174</v>
      </c>
      <c r="J28" s="180">
        <f t="shared" ca="1" si="50"/>
        <v>0.83065420560747683</v>
      </c>
      <c r="K28" s="180">
        <f t="shared" ca="1" si="50"/>
        <v>0.83065420560747671</v>
      </c>
      <c r="L28" s="180">
        <f t="shared" ca="1" si="50"/>
        <v>0.83065420560747671</v>
      </c>
      <c r="M28" s="180">
        <f t="shared" ca="1" si="50"/>
        <v>0.83065420560747671</v>
      </c>
      <c r="N28" s="180">
        <f t="shared" ca="1" si="50"/>
        <v>0.8306542056074766</v>
      </c>
      <c r="O28" s="180">
        <f t="shared" ca="1" si="50"/>
        <v>0.8306542056074766</v>
      </c>
      <c r="P28" s="180">
        <f t="shared" ca="1" si="50"/>
        <v>0.83065420560747671</v>
      </c>
      <c r="Q28" s="180">
        <f t="shared" ca="1" si="50"/>
        <v>0.8306542056074766</v>
      </c>
      <c r="R28" s="180">
        <f t="shared" ca="1" si="50"/>
        <v>0.83065420560747671</v>
      </c>
      <c r="S28" s="180">
        <f t="shared" ca="1" si="50"/>
        <v>0.83065420560747671</v>
      </c>
      <c r="T28" s="180">
        <f t="shared" ca="1" si="50"/>
        <v>0.8306542056074766</v>
      </c>
      <c r="U28" s="180">
        <f t="shared" ca="1" si="50"/>
        <v>0.83065420560747683</v>
      </c>
      <c r="V28" s="180">
        <f t="shared" ca="1" si="50"/>
        <v>0.83065420560747683</v>
      </c>
      <c r="W28" s="180">
        <f t="shared" ca="1" si="50"/>
        <v>0.88127613954597184</v>
      </c>
      <c r="X28" s="180">
        <f t="shared" ca="1" si="50"/>
        <v>0.88700750373510984</v>
      </c>
      <c r="Y28" s="180">
        <f t="shared" ca="1" si="50"/>
        <v>0.89178911007356176</v>
      </c>
      <c r="Z28" s="180">
        <f t="shared" ca="1" si="50"/>
        <v>0.89577414817296452</v>
      </c>
      <c r="AA28" s="180">
        <f t="shared" ca="1" si="50"/>
        <v>0.89908826581115986</v>
      </c>
      <c r="AB28" s="180">
        <f t="shared" ca="1" si="50"/>
        <v>0.90183511371352965</v>
      </c>
      <c r="AC28" s="180">
        <f t="shared" ca="1" si="50"/>
        <v>0.90410065440041065</v>
      </c>
      <c r="AD28" s="180">
        <f t="shared" ca="1" si="50"/>
        <v>0.90595653632212125</v>
      </c>
      <c r="AE28" s="180">
        <f t="shared" ca="1" si="50"/>
        <v>0.90746275512281505</v>
      </c>
      <c r="AF28" s="180">
        <f t="shared" ca="1" si="50"/>
        <v>0.90866976689973056</v>
      </c>
      <c r="AG28" s="180">
        <f t="shared" ca="1" si="50"/>
        <v>0.90962017703574594</v>
      </c>
      <c r="AH28" s="180">
        <f t="shared" ca="1" si="50"/>
        <v>0.91035009798767663</v>
      </c>
      <c r="AI28" s="180">
        <f t="shared" ca="1" si="50"/>
        <v>0.9108902471382081</v>
      </c>
      <c r="AJ28" s="180">
        <f t="shared" ca="1" si="50"/>
        <v>0.91126683925250695</v>
      </c>
      <c r="AK28" s="180">
        <f t="shared" ca="1" si="50"/>
        <v>0.91150231566251549</v>
      </c>
      <c r="AL28" s="180">
        <f t="shared" ca="1" si="50"/>
        <v>0.9116159429245595</v>
      </c>
      <c r="AM28" s="180">
        <f t="shared" ca="1" si="50"/>
        <v>0.91162430656467841</v>
      </c>
      <c r="AN28" s="180">
        <f t="shared" ca="1" si="50"/>
        <v>0.91154172006654577</v>
      </c>
      <c r="AO28" s="180">
        <f t="shared" ref="AO28:BH28" ca="1" si="51">IF(AO$12&gt;AO$14,AO22*(1-AO14)+AO23/2*(AO12-1),(AO22-AO23/2)*(1-AO14))</f>
        <v>0.91138056505038345</v>
      </c>
      <c r="AP28" s="180">
        <f t="shared" ca="1" si="51"/>
        <v>0.91115157533051416</v>
      </c>
      <c r="AQ28" s="180">
        <f t="shared" ca="1" si="51"/>
        <v>0.91086407499681932</v>
      </c>
      <c r="AR28" s="180">
        <f t="shared" ca="1" si="51"/>
        <v>0.91052617867209407</v>
      </c>
      <c r="AS28" s="180">
        <f t="shared" ca="1" si="51"/>
        <v>0.91014496052624438</v>
      </c>
      <c r="AT28" s="180">
        <f t="shared" ca="1" si="51"/>
        <v>0.90972659738369732</v>
      </c>
      <c r="AU28" s="180">
        <f t="shared" ca="1" si="51"/>
        <v>0.90927649026970048</v>
      </c>
      <c r="AV28" s="180">
        <f t="shared" ca="1" si="51"/>
        <v>0.9087993679488735</v>
      </c>
      <c r="AW28" s="180">
        <f t="shared" ca="1" si="51"/>
        <v>0.90829937537292482</v>
      </c>
      <c r="AX28" s="180">
        <f t="shared" ca="1" si="51"/>
        <v>0.90778014944098229</v>
      </c>
      <c r="AY28" s="180">
        <f t="shared" ca="1" si="51"/>
        <v>0.90724488406006842</v>
      </c>
      <c r="AZ28" s="180">
        <f t="shared" ca="1" si="51"/>
        <v>0.90669638615498538</v>
      </c>
      <c r="BA28" s="180">
        <f t="shared" ca="1" si="51"/>
        <v>0.90613712400075874</v>
      </c>
      <c r="BB28" s="180">
        <f t="shared" ca="1" si="51"/>
        <v>0.90556926902454005</v>
      </c>
      <c r="BC28" s="180">
        <f t="shared" ca="1" si="51"/>
        <v>0.90499473203786518</v>
      </c>
      <c r="BD28" s="180">
        <f t="shared" ca="1" si="51"/>
        <v>0.90441519470670695</v>
      </c>
      <c r="BE28" s="180">
        <f t="shared" ca="1" si="51"/>
        <v>0.90383213693975151</v>
      </c>
      <c r="BF28" s="180">
        <f t="shared" ca="1" si="51"/>
        <v>0.90324686076987515</v>
      </c>
      <c r="BG28" s="180">
        <f t="shared" ca="1" si="51"/>
        <v>0.90266051121598123</v>
      </c>
      <c r="BH28" s="180">
        <f t="shared" ca="1" si="51"/>
        <v>0.91672175495121577</v>
      </c>
      <c r="BI28" s="15" t="s">
        <v>44</v>
      </c>
      <c r="BJ28" s="184"/>
    </row>
    <row r="29" spans="1:66" x14ac:dyDescent="0.3">
      <c r="A29" s="1"/>
      <c r="B29" s="74" t="s">
        <v>302</v>
      </c>
      <c r="C29" s="75"/>
      <c r="D29" s="103"/>
      <c r="E29" s="31"/>
      <c r="F29" s="35"/>
      <c r="G29" s="182"/>
      <c r="H29" s="15" t="s">
        <v>126</v>
      </c>
      <c r="I29" s="180">
        <f t="shared" ref="I29:AN29" ca="1" si="52">SQRT(((I22-I23/2-Iout_PreReg)^2+I23^2/12)*(1-I14)+Iout_PreReg^2*I14)</f>
        <v>9.3681645219619733E-2</v>
      </c>
      <c r="J29" s="180">
        <f t="shared" ca="1" si="52"/>
        <v>0.94934979731032387</v>
      </c>
      <c r="K29" s="180">
        <f t="shared" ca="1" si="52"/>
        <v>0.87714381128964969</v>
      </c>
      <c r="L29" s="180">
        <f t="shared" ca="1" si="52"/>
        <v>0.81115509958070853</v>
      </c>
      <c r="M29" s="180">
        <f t="shared" ca="1" si="52"/>
        <v>0.75032562963017235</v>
      </c>
      <c r="N29" s="180">
        <f t="shared" ca="1" si="52"/>
        <v>0.6937929988374042</v>
      </c>
      <c r="O29" s="180">
        <f t="shared" ca="1" si="52"/>
        <v>0.64082002045290887</v>
      </c>
      <c r="P29" s="180">
        <f t="shared" ca="1" si="52"/>
        <v>0.59074432771926866</v>
      </c>
      <c r="Q29" s="180">
        <f t="shared" ca="1" si="52"/>
        <v>0.54293757803453591</v>
      </c>
      <c r="R29" s="180">
        <f t="shared" ca="1" si="52"/>
        <v>0.49676734087831048</v>
      </c>
      <c r="S29" s="180">
        <f t="shared" ca="1" si="52"/>
        <v>0.45155415522316106</v>
      </c>
      <c r="T29" s="180">
        <f t="shared" ca="1" si="52"/>
        <v>0.40651222946744198</v>
      </c>
      <c r="U29" s="180">
        <f t="shared" ca="1" si="52"/>
        <v>0.36065226884067592</v>
      </c>
      <c r="V29" s="180">
        <f t="shared" ca="1" si="52"/>
        <v>0.3125784653185586</v>
      </c>
      <c r="W29" s="180">
        <f t="shared" ca="1" si="52"/>
        <v>3.623575264804469E-2</v>
      </c>
      <c r="X29" s="180">
        <f t="shared" ca="1" si="52"/>
        <v>4.1915695672558408E-2</v>
      </c>
      <c r="Y29" s="180">
        <f t="shared" ca="1" si="52"/>
        <v>4.7184244113240889E-2</v>
      </c>
      <c r="Z29" s="180">
        <f t="shared" ca="1" si="52"/>
        <v>5.2084220862225819E-2</v>
      </c>
      <c r="AA29" s="180">
        <f t="shared" ca="1" si="52"/>
        <v>5.6652746078427504E-2</v>
      </c>
      <c r="AB29" s="180">
        <f t="shared" ca="1" si="52"/>
        <v>6.0922149170162018E-2</v>
      </c>
      <c r="AC29" s="180">
        <f t="shared" ca="1" si="52"/>
        <v>6.4920712472474343E-2</v>
      </c>
      <c r="AD29" s="180">
        <f t="shared" ca="1" si="52"/>
        <v>6.8673281495407162E-2</v>
      </c>
      <c r="AE29" s="180">
        <f t="shared" ca="1" si="52"/>
        <v>7.2201768665559427E-2</v>
      </c>
      <c r="AF29" s="180">
        <f t="shared" ca="1" si="52"/>
        <v>7.5525571495273683E-2</v>
      </c>
      <c r="AG29" s="180">
        <f t="shared" ca="1" si="52"/>
        <v>7.8661921571549026E-2</v>
      </c>
      <c r="AH29" s="180">
        <f t="shared" ca="1" si="52"/>
        <v>8.1626177285979831E-2</v>
      </c>
      <c r="AI29" s="180">
        <f t="shared" ca="1" si="52"/>
        <v>8.44320705562219E-2</v>
      </c>
      <c r="AJ29" s="180">
        <f t="shared" ca="1" si="52"/>
        <v>8.7091915720367979E-2</v>
      </c>
      <c r="AK29" s="180">
        <f t="shared" ca="1" si="52"/>
        <v>8.9616787172214871E-2</v>
      </c>
      <c r="AL29" s="180">
        <f t="shared" ca="1" si="52"/>
        <v>9.201667103951075E-2</v>
      </c>
      <c r="AM29" s="180">
        <f t="shared" ca="1" si="52"/>
        <v>9.4300595208114499E-2</v>
      </c>
      <c r="AN29" s="180">
        <f t="shared" ca="1" si="52"/>
        <v>9.6476741201863808E-2</v>
      </c>
      <c r="AO29" s="180">
        <f t="shared" ref="AO29:BH29" ca="1" si="53">SQRT(((AO22-AO23/2-Iout_PreReg)^2+AO23^2/12)*(1-AO14)+Iout_PreReg^2*AO14)</f>
        <v>9.8552540794908827E-2</v>
      </c>
      <c r="AP29" s="180">
        <f t="shared" ca="1" si="53"/>
        <v>0.10053475972535715</v>
      </c>
      <c r="AQ29" s="180">
        <f t="shared" ca="1" si="53"/>
        <v>0.10242957046951094</v>
      </c>
      <c r="AR29" s="180">
        <f t="shared" ca="1" si="53"/>
        <v>0.10424261570412459</v>
      </c>
      <c r="AS29" s="180">
        <f t="shared" ca="1" si="53"/>
        <v>0.1059790638139803</v>
      </c>
      <c r="AT29" s="180">
        <f t="shared" ca="1" si="53"/>
        <v>0.10764365758121729</v>
      </c>
      <c r="AU29" s="180">
        <f t="shared" ca="1" si="53"/>
        <v>0.10924075701149821</v>
      </c>
      <c r="AV29" s="180">
        <f t="shared" ca="1" si="53"/>
        <v>0.11077437710257983</v>
      </c>
      <c r="AW29" s="180">
        <f t="shared" ca="1" si="53"/>
        <v>0.11224822123709746</v>
      </c>
      <c r="AX29" s="180">
        <f t="shared" ca="1" si="53"/>
        <v>0.11366571077855182</v>
      </c>
      <c r="AY29" s="180">
        <f t="shared" ca="1" si="53"/>
        <v>0.11503001136374456</v>
      </c>
      <c r="AZ29" s="180">
        <f t="shared" ca="1" si="53"/>
        <v>0.11634405631316422</v>
      </c>
      <c r="BA29" s="180">
        <f t="shared" ca="1" si="53"/>
        <v>0.11761056752058156</v>
      </c>
      <c r="BB29" s="180">
        <f t="shared" ca="1" si="53"/>
        <v>0.1188320741323713</v>
      </c>
      <c r="BC29" s="180">
        <f t="shared" ca="1" si="53"/>
        <v>0.12001092928419684</v>
      </c>
      <c r="BD29" s="180">
        <f t="shared" ca="1" si="53"/>
        <v>0.12114932512635229</v>
      </c>
      <c r="BE29" s="180">
        <f t="shared" ca="1" si="53"/>
        <v>0.12224930633816304</v>
      </c>
      <c r="BF29" s="180">
        <f t="shared" ca="1" si="53"/>
        <v>0.12331278230550996</v>
      </c>
      <c r="BG29" s="180">
        <f t="shared" ca="1" si="53"/>
        <v>0.12434153811303231</v>
      </c>
      <c r="BH29" s="180">
        <f t="shared" ca="1" si="53"/>
        <v>0.29582154662804599</v>
      </c>
      <c r="BI29" s="15"/>
      <c r="BJ29" s="184"/>
    </row>
    <row r="30" spans="1:66" x14ac:dyDescent="0.3">
      <c r="A30" s="1"/>
      <c r="B30" s="41" t="s">
        <v>14</v>
      </c>
      <c r="C30" s="136">
        <f ca="1">IF(Topology="Buck",I88,I3)</f>
        <v>0.61834704090896708</v>
      </c>
      <c r="D30" s="83" t="s">
        <v>303</v>
      </c>
      <c r="E30" s="104"/>
      <c r="F30" s="47"/>
      <c r="G30" s="170" t="s">
        <v>61</v>
      </c>
      <c r="H30" s="15" t="s">
        <v>60</v>
      </c>
      <c r="I30" s="186">
        <f t="shared" ref="I30:AN30" ca="1" si="54">IF(I2&gt;7,Buck_RdsON_factor_7V*(I4-150)+Rds_ON_150_7V,Buck_RdsON_factor_6V*(I4-150)+Rds_ON_150_6V)</f>
        <v>0.17658504458045116</v>
      </c>
      <c r="J30" s="186">
        <f t="shared" ca="1" si="54"/>
        <v>0.19494908713338838</v>
      </c>
      <c r="K30" s="186">
        <f t="shared" ca="1" si="54"/>
        <v>0.19318457535736375</v>
      </c>
      <c r="L30" s="186">
        <f t="shared" ca="1" si="54"/>
        <v>0.19189943432606249</v>
      </c>
      <c r="M30" s="186">
        <f t="shared" ca="1" si="54"/>
        <v>0.19094073997520222</v>
      </c>
      <c r="N30" s="186">
        <f t="shared" ca="1" si="54"/>
        <v>0.19021351308614323</v>
      </c>
      <c r="O30" s="186">
        <f t="shared" ca="1" si="54"/>
        <v>0.18965594345917225</v>
      </c>
      <c r="P30" s="186">
        <f t="shared" ca="1" si="54"/>
        <v>0.18922623673426056</v>
      </c>
      <c r="Q30" s="186">
        <f t="shared" ca="1" si="54"/>
        <v>0.18889522863598449</v>
      </c>
      <c r="R30" s="186">
        <f t="shared" ca="1" si="54"/>
        <v>0.18864202485472334</v>
      </c>
      <c r="S30" s="186">
        <f t="shared" ca="1" si="54"/>
        <v>0.1884513178988749</v>
      </c>
      <c r="T30" s="186">
        <f t="shared" ca="1" si="54"/>
        <v>0.1883116656957281</v>
      </c>
      <c r="U30" s="186">
        <f t="shared" ca="1" si="54"/>
        <v>0.18821405803319924</v>
      </c>
      <c r="V30" s="186">
        <f t="shared" ca="1" si="54"/>
        <v>0.17514793527628775</v>
      </c>
      <c r="W30" s="186">
        <f t="shared" ca="1" si="54"/>
        <v>0.17504257040484775</v>
      </c>
      <c r="X30" s="186">
        <f t="shared" ca="1" si="54"/>
        <v>0.17508915766539734</v>
      </c>
      <c r="Y30" s="186">
        <f t="shared" ca="1" si="54"/>
        <v>0.17514416091260521</v>
      </c>
      <c r="Z30" s="186">
        <f t="shared" ca="1" si="54"/>
        <v>0.17520713264428628</v>
      </c>
      <c r="AA30" s="186">
        <f t="shared" ca="1" si="54"/>
        <v>0.17527768537619698</v>
      </c>
      <c r="AB30" s="186">
        <f t="shared" ca="1" si="54"/>
        <v>0.17535548196210349</v>
      </c>
      <c r="AC30" s="186">
        <f t="shared" ca="1" si="54"/>
        <v>0.17544022771815657</v>
      </c>
      <c r="AD30" s="186">
        <f t="shared" ca="1" si="54"/>
        <v>0.17553166397333231</v>
      </c>
      <c r="AE30" s="186">
        <f t="shared" ca="1" si="54"/>
        <v>0.17562956275512329</v>
      </c>
      <c r="AF30" s="186">
        <f t="shared" ca="1" si="54"/>
        <v>0.17573372238514398</v>
      </c>
      <c r="AG30" s="186">
        <f t="shared" ca="1" si="54"/>
        <v>0.17584396380875869</v>
      </c>
      <c r="AH30" s="186">
        <f t="shared" ca="1" si="54"/>
        <v>0.17596012752047233</v>
      </c>
      <c r="AI30" s="186">
        <f t="shared" ca="1" si="54"/>
        <v>0.17608207097567627</v>
      </c>
      <c r="AJ30" s="186">
        <f t="shared" ca="1" si="54"/>
        <v>0.17620966640162655</v>
      </c>
      <c r="AK30" s="186">
        <f t="shared" ca="1" si="54"/>
        <v>0.17634279893785415</v>
      </c>
      <c r="AL30" s="186">
        <f t="shared" ca="1" si="54"/>
        <v>0.1764813650497673</v>
      </c>
      <c r="AM30" s="186">
        <f t="shared" ca="1" si="54"/>
        <v>0.17662527116988044</v>
      </c>
      <c r="AN30" s="186">
        <f t="shared" ca="1" si="54"/>
        <v>0.17677443252956257</v>
      </c>
      <c r="AO30" s="186">
        <f t="shared" ref="AO30:BH30" ca="1" si="55">IF(AO2&gt;7,Buck_RdsON_factor_7V*(AO4-150)+Rds_ON_150_7V,Buck_RdsON_factor_6V*(AO4-150)+Rds_ON_150_6V)</f>
        <v>0.17692877215093253</v>
      </c>
      <c r="AP30" s="186">
        <f t="shared" ca="1" si="55"/>
        <v>0.17708821997392582</v>
      </c>
      <c r="AQ30" s="186">
        <f t="shared" ca="1" si="55"/>
        <v>0.17725271209789942</v>
      </c>
      <c r="AR30" s="186">
        <f t="shared" ca="1" si="55"/>
        <v>0.17742219012065619</v>
      </c>
      <c r="AS30" s="186">
        <f t="shared" ca="1" si="55"/>
        <v>0.17759660056062562</v>
      </c>
      <c r="AT30" s="186">
        <f t="shared" ca="1" si="55"/>
        <v>0.17777589435027172</v>
      </c>
      <c r="AU30" s="186">
        <f t="shared" ca="1" si="55"/>
        <v>0.17796002639070943</v>
      </c>
      <c r="AV30" s="186">
        <f t="shared" ca="1" si="55"/>
        <v>0.17814895515908882</v>
      </c>
      <c r="AW30" s="186">
        <f t="shared" ca="1" si="55"/>
        <v>0.1783426423616063</v>
      </c>
      <c r="AX30" s="186">
        <f t="shared" ca="1" si="55"/>
        <v>0.17854105262608505</v>
      </c>
      <c r="AY30" s="186">
        <f t="shared" ca="1" si="55"/>
        <v>0.17874415322896697</v>
      </c>
      <c r="AZ30" s="186">
        <f t="shared" ca="1" si="55"/>
        <v>0.17895191385231113</v>
      </c>
      <c r="BA30" s="186">
        <f t="shared" ca="1" si="55"/>
        <v>0.17916430636702596</v>
      </c>
      <c r="BB30" s="186">
        <f t="shared" ca="1" si="55"/>
        <v>0.17938130463909424</v>
      </c>
      <c r="BC30" s="186">
        <f t="shared" ca="1" si="55"/>
        <v>0.17960288435599861</v>
      </c>
      <c r="BD30" s="186">
        <f t="shared" ca="1" si="55"/>
        <v>0.17982902287093616</v>
      </c>
      <c r="BE30" s="186">
        <f t="shared" ca="1" si="55"/>
        <v>0.18005969906273306</v>
      </c>
      <c r="BF30" s="186">
        <f t="shared" ca="1" si="55"/>
        <v>0.18029489320964651</v>
      </c>
      <c r="BG30" s="186">
        <f t="shared" ca="1" si="55"/>
        <v>0.18053458687547536</v>
      </c>
      <c r="BH30" s="186">
        <f t="shared" ca="1" si="55"/>
        <v>0.18864304248779865</v>
      </c>
      <c r="BI30" s="15" t="s">
        <v>60</v>
      </c>
      <c r="BJ30" s="169" t="s">
        <v>61</v>
      </c>
    </row>
    <row r="31" spans="1:66" x14ac:dyDescent="0.3">
      <c r="A31" s="1"/>
      <c r="B31" s="41" t="s">
        <v>16</v>
      </c>
      <c r="C31" s="137">
        <f ca="1">IF(Reset=1,150,Ta+Rth_ja*Pdiss_total)</f>
        <v>143.55041122726902</v>
      </c>
      <c r="D31" s="84" t="s">
        <v>304</v>
      </c>
      <c r="E31" s="104"/>
      <c r="F31" s="47"/>
      <c r="H31" s="187" t="s">
        <v>5</v>
      </c>
      <c r="I31" s="188">
        <f t="shared" ref="I31:AN31" ca="1" si="56">I25^2*I30</f>
        <v>6.0805575762380971E-2</v>
      </c>
      <c r="J31" s="188">
        <f t="shared" ca="1" si="56"/>
        <v>0.60009570381884203</v>
      </c>
      <c r="K31" s="188">
        <f t="shared" ca="1" si="56"/>
        <v>0.48629057499444173</v>
      </c>
      <c r="L31" s="188">
        <f t="shared" ca="1" si="56"/>
        <v>0.40227848107595959</v>
      </c>
      <c r="M31" s="188">
        <f t="shared" ca="1" si="56"/>
        <v>0.33847264083078643</v>
      </c>
      <c r="N31" s="188">
        <f t="shared" ca="1" si="56"/>
        <v>0.28891882495703552</v>
      </c>
      <c r="O31" s="188">
        <f t="shared" ca="1" si="56"/>
        <v>0.24974216384514084</v>
      </c>
      <c r="P31" s="188">
        <f t="shared" ca="1" si="56"/>
        <v>0.21832257713239903</v>
      </c>
      <c r="Q31" s="188">
        <f t="shared" ca="1" si="56"/>
        <v>0.19283176206814581</v>
      </c>
      <c r="R31" s="188">
        <f t="shared" ca="1" si="56"/>
        <v>0.17195985847574238</v>
      </c>
      <c r="S31" s="188">
        <f t="shared" ca="1" si="56"/>
        <v>0.15474724272234833</v>
      </c>
      <c r="T31" s="188">
        <f t="shared" ca="1" si="56"/>
        <v>0.14047661353462382</v>
      </c>
      <c r="U31" s="188">
        <f t="shared" ca="1" si="56"/>
        <v>0.12858312250876067</v>
      </c>
      <c r="V31" s="188">
        <f t="shared" ca="1" si="56"/>
        <v>0.11028667191586108</v>
      </c>
      <c r="W31" s="188">
        <f t="shared" ca="1" si="56"/>
        <v>9.741482115338948E-2</v>
      </c>
      <c r="X31" s="188">
        <f t="shared" ca="1" si="56"/>
        <v>9.3773866353762364E-2</v>
      </c>
      <c r="Y31" s="188">
        <f t="shared" ca="1" si="56"/>
        <v>9.0399870427558746E-2</v>
      </c>
      <c r="Z31" s="188">
        <f t="shared" ca="1" si="56"/>
        <v>8.7264886537947381E-2</v>
      </c>
      <c r="AA31" s="188">
        <f t="shared" ca="1" si="56"/>
        <v>8.4344716012475771E-2</v>
      </c>
      <c r="AB31" s="188">
        <f t="shared" ca="1" si="56"/>
        <v>8.1618303824245966E-2</v>
      </c>
      <c r="AC31" s="188">
        <f t="shared" ca="1" si="56"/>
        <v>7.9067246753362533E-2</v>
      </c>
      <c r="AD31" s="188">
        <f t="shared" ca="1" si="56"/>
        <v>7.667539060723888E-2</v>
      </c>
      <c r="AE31" s="188">
        <f t="shared" ca="1" si="56"/>
        <v>7.4428498338126203E-2</v>
      </c>
      <c r="AF31" s="188">
        <f t="shared" ca="1" si="56"/>
        <v>7.2313974985444007E-2</v>
      </c>
      <c r="AG31" s="188">
        <f t="shared" ca="1" si="56"/>
        <v>7.0320638458374135E-2</v>
      </c>
      <c r="AH31" s="188">
        <f t="shared" ca="1" si="56"/>
        <v>6.8438527524248602E-2</v>
      </c>
      <c r="AI31" s="188">
        <f t="shared" ca="1" si="56"/>
        <v>6.6658740170209521E-2</v>
      </c>
      <c r="AJ31" s="188">
        <f t="shared" ca="1" si="56"/>
        <v>6.49732968971789E-2</v>
      </c>
      <c r="AK31" s="188">
        <f t="shared" ca="1" si="56"/>
        <v>6.3375024587133982E-2</v>
      </c>
      <c r="AL31" s="188">
        <f t="shared" ca="1" si="56"/>
        <v>6.185745743140364E-2</v>
      </c>
      <c r="AM31" s="188">
        <f t="shared" ca="1" si="56"/>
        <v>6.0414752074436029E-2</v>
      </c>
      <c r="AN31" s="188">
        <f t="shared" ca="1" si="56"/>
        <v>5.9041614655614451E-2</v>
      </c>
      <c r="AO31" s="188">
        <f t="shared" ref="AO31:BH31" ca="1" si="57">AO25^2*AO30</f>
        <v>5.7733237852396833E-2</v>
      </c>
      <c r="AP31" s="188">
        <f t="shared" ca="1" si="57"/>
        <v>5.6485246364990888E-2</v>
      </c>
      <c r="AQ31" s="188">
        <f t="shared" ca="1" si="57"/>
        <v>5.5293649554027997E-2</v>
      </c>
      <c r="AR31" s="188">
        <f t="shared" ca="1" si="57"/>
        <v>5.4154800162144634E-2</v>
      </c>
      <c r="AS31" s="188">
        <f t="shared" ca="1" si="57"/>
        <v>5.3065358228764681E-2</v>
      </c>
      <c r="AT31" s="188">
        <f t="shared" ca="1" si="57"/>
        <v>5.2022259453032307E-2</v>
      </c>
      <c r="AU31" s="188">
        <f t="shared" ca="1" si="57"/>
        <v>5.1022687379304134E-2</v>
      </c>
      <c r="AV31" s="188">
        <f t="shared" ca="1" si="57"/>
        <v>5.006404887798499E-2</v>
      </c>
      <c r="AW31" s="188">
        <f t="shared" ca="1" si="57"/>
        <v>4.9143952475836111E-2</v>
      </c>
      <c r="AX31" s="188">
        <f t="shared" ca="1" si="57"/>
        <v>4.8260189157401219E-2</v>
      </c>
      <c r="AY31" s="188">
        <f t="shared" ca="1" si="57"/>
        <v>4.7410715315446647E-2</v>
      </c>
      <c r="AZ31" s="188">
        <f t="shared" ca="1" si="57"/>
        <v>4.6593637575339054E-2</v>
      </c>
      <c r="BA31" s="188">
        <f t="shared" ca="1" si="57"/>
        <v>4.5807199257742362E-2</v>
      </c>
      <c r="BB31" s="188">
        <f t="shared" ca="1" si="57"/>
        <v>4.5049768277223248E-2</v>
      </c>
      <c r="BC31" s="188">
        <f t="shared" ca="1" si="57"/>
        <v>4.4319826302400687E-2</v>
      </c>
      <c r="BD31" s="188">
        <f t="shared" ca="1" si="57"/>
        <v>4.3615959027026072E-2</v>
      </c>
      <c r="BE31" s="188">
        <f t="shared" ca="1" si="57"/>
        <v>4.2936847421560426E-2</v>
      </c>
      <c r="BF31" s="188">
        <f t="shared" ca="1" si="57"/>
        <v>4.2281259852005981E-2</v>
      </c>
      <c r="BG31" s="188">
        <f t="shared" ca="1" si="57"/>
        <v>4.1648044967436029E-2</v>
      </c>
      <c r="BH31" s="188">
        <f t="shared" ca="1" si="57"/>
        <v>2.1864036073510396E-2</v>
      </c>
      <c r="BI31" s="187" t="s">
        <v>5</v>
      </c>
      <c r="BJ31" s="169"/>
    </row>
    <row r="32" spans="1:66" ht="15" thickBot="1" x14ac:dyDescent="0.35">
      <c r="A32" s="1"/>
      <c r="B32" s="42" t="s">
        <v>26</v>
      </c>
      <c r="C32" s="33">
        <f ca="1">Tj-Ta</f>
        <v>18.550411227269024</v>
      </c>
      <c r="D32" s="85" t="s">
        <v>305</v>
      </c>
      <c r="E32" s="31"/>
      <c r="F32" s="20"/>
      <c r="H32" s="187" t="s">
        <v>6</v>
      </c>
      <c r="I32" s="188">
        <f t="shared" ref="I32:AN32" ca="1" si="58">0.5*I2*Iout_PreReg*I19*10^3*(I2/SLEW_rate+I2/1.5)*10^-9</f>
        <v>0.21264747663551403</v>
      </c>
      <c r="J32" s="188">
        <f t="shared" ca="1" si="58"/>
        <v>1.8089802699896157E-2</v>
      </c>
      <c r="K32" s="188">
        <f t="shared" ca="1" si="58"/>
        <v>2.1278032595452832E-2</v>
      </c>
      <c r="L32" s="188">
        <f t="shared" ca="1" si="58"/>
        <v>2.4724888132886834E-2</v>
      </c>
      <c r="M32" s="188">
        <f t="shared" ca="1" si="58"/>
        <v>2.843036931219816E-2</v>
      </c>
      <c r="N32" s="188">
        <f t="shared" ca="1" si="58"/>
        <v>3.23944761333868E-2</v>
      </c>
      <c r="O32" s="188">
        <f t="shared" ca="1" si="58"/>
        <v>3.6617208596452774E-2</v>
      </c>
      <c r="P32" s="188">
        <f t="shared" ca="1" si="58"/>
        <v>4.1098566701396076E-2</v>
      </c>
      <c r="Q32" s="188">
        <f t="shared" ca="1" si="58"/>
        <v>4.5838550448216692E-2</v>
      </c>
      <c r="R32" s="188">
        <f t="shared" ca="1" si="58"/>
        <v>5.0837159836914655E-2</v>
      </c>
      <c r="S32" s="188">
        <f t="shared" ca="1" si="58"/>
        <v>5.6094394867489905E-2</v>
      </c>
      <c r="T32" s="188">
        <f t="shared" ca="1" si="58"/>
        <v>6.1610255539942524E-2</v>
      </c>
      <c r="U32" s="188">
        <f t="shared" ca="1" si="58"/>
        <v>6.7384741854272442E-2</v>
      </c>
      <c r="V32" s="188">
        <f t="shared" ca="1" si="58"/>
        <v>7.3417853810479675E-2</v>
      </c>
      <c r="W32" s="188">
        <f t="shared" ca="1" si="58"/>
        <v>7.9709591408564276E-2</v>
      </c>
      <c r="X32" s="188">
        <f t="shared" ca="1" si="58"/>
        <v>8.6259954648526149E-2</v>
      </c>
      <c r="Y32" s="188">
        <f t="shared" ca="1" si="58"/>
        <v>9.3068943530365378E-2</v>
      </c>
      <c r="Z32" s="188">
        <f t="shared" ca="1" si="58"/>
        <v>0.10013655805408191</v>
      </c>
      <c r="AA32" s="188">
        <f t="shared" ca="1" si="58"/>
        <v>0.10746279821967579</v>
      </c>
      <c r="AB32" s="188">
        <f t="shared" ca="1" si="58"/>
        <v>0.11504766402714699</v>
      </c>
      <c r="AC32" s="188">
        <f t="shared" ca="1" si="58"/>
        <v>0.1228911554764955</v>
      </c>
      <c r="AD32" s="188">
        <f t="shared" ca="1" si="58"/>
        <v>0.13099327256772136</v>
      </c>
      <c r="AE32" s="188">
        <f t="shared" ca="1" si="58"/>
        <v>0.13935401530082453</v>
      </c>
      <c r="AF32" s="188">
        <f t="shared" ca="1" si="58"/>
        <v>0.14797338367580504</v>
      </c>
      <c r="AG32" s="188">
        <f t="shared" ca="1" si="58"/>
        <v>0.15685137769266289</v>
      </c>
      <c r="AH32" s="188">
        <f t="shared" ca="1" si="58"/>
        <v>0.16598799735139796</v>
      </c>
      <c r="AI32" s="188">
        <f t="shared" ca="1" si="58"/>
        <v>0.17538324265201041</v>
      </c>
      <c r="AJ32" s="188">
        <f t="shared" ca="1" si="58"/>
        <v>0.18503711359450023</v>
      </c>
      <c r="AK32" s="188">
        <f t="shared" ca="1" si="58"/>
        <v>0.19494961017886736</v>
      </c>
      <c r="AL32" s="188">
        <f t="shared" ca="1" si="58"/>
        <v>0.20512073240511181</v>
      </c>
      <c r="AM32" s="188">
        <f t="shared" ca="1" si="58"/>
        <v>0.21555048027323356</v>
      </c>
      <c r="AN32" s="188">
        <f t="shared" ca="1" si="58"/>
        <v>0.22623885378323266</v>
      </c>
      <c r="AO32" s="188">
        <f t="shared" ref="AO32:BH32" ca="1" si="59">0.5*AO2*Iout_PreReg*AO19*10^3*(AO2/SLEW_rate+AO2/1.5)*10^-9</f>
        <v>0.23718585293510908</v>
      </c>
      <c r="AP32" s="188">
        <f t="shared" ca="1" si="59"/>
        <v>0.24839147772886283</v>
      </c>
      <c r="AQ32" s="188">
        <f t="shared" ca="1" si="59"/>
        <v>0.25985572816449393</v>
      </c>
      <c r="AR32" s="188">
        <f t="shared" ca="1" si="59"/>
        <v>0.27157860424200225</v>
      </c>
      <c r="AS32" s="188">
        <f t="shared" ca="1" si="59"/>
        <v>0.28356010596138803</v>
      </c>
      <c r="AT32" s="188">
        <f t="shared" ca="1" si="59"/>
        <v>0.29580023332265104</v>
      </c>
      <c r="AU32" s="188">
        <f t="shared" ca="1" si="59"/>
        <v>0.30829898632579145</v>
      </c>
      <c r="AV32" s="188">
        <f t="shared" ca="1" si="59"/>
        <v>0.32105636497080914</v>
      </c>
      <c r="AW32" s="188">
        <f t="shared" ca="1" si="59"/>
        <v>0.33407236925770417</v>
      </c>
      <c r="AX32" s="188">
        <f t="shared" ca="1" si="59"/>
        <v>0.34734699918647644</v>
      </c>
      <c r="AY32" s="188">
        <f t="shared" ca="1" si="59"/>
        <v>0.36088025475712604</v>
      </c>
      <c r="AZ32" s="188">
        <f t="shared" ca="1" si="59"/>
        <v>0.3746721359696531</v>
      </c>
      <c r="BA32" s="188">
        <f t="shared" ca="1" si="59"/>
        <v>0.3887226428240575</v>
      </c>
      <c r="BB32" s="188">
        <f t="shared" ca="1" si="59"/>
        <v>0.40303177532033907</v>
      </c>
      <c r="BC32" s="188">
        <f t="shared" ca="1" si="59"/>
        <v>0.41759953345849804</v>
      </c>
      <c r="BD32" s="188">
        <f t="shared" ca="1" si="59"/>
        <v>0.43242591723853435</v>
      </c>
      <c r="BE32" s="188">
        <f t="shared" ca="1" si="59"/>
        <v>0.44751092666044801</v>
      </c>
      <c r="BF32" s="188">
        <f t="shared" ca="1" si="59"/>
        <v>0.46285456172423894</v>
      </c>
      <c r="BG32" s="188">
        <f t="shared" ca="1" si="59"/>
        <v>0.47845682242990711</v>
      </c>
      <c r="BH32" s="188">
        <f t="shared" ca="1" si="59"/>
        <v>1.00461988740763</v>
      </c>
      <c r="BI32" s="187" t="s">
        <v>6</v>
      </c>
      <c r="BJ32" s="169"/>
    </row>
    <row r="33" spans="1:77" ht="15" thickBot="1" x14ac:dyDescent="0.35">
      <c r="A33" s="1"/>
      <c r="B33" s="1"/>
      <c r="C33" s="1"/>
      <c r="D33" s="1"/>
      <c r="E33" s="3"/>
      <c r="F33" s="20"/>
      <c r="H33" s="187" t="s">
        <v>9</v>
      </c>
      <c r="I33" s="188">
        <f ca="1">I31+I32</f>
        <v>0.27345305239789502</v>
      </c>
      <c r="J33" s="188">
        <f ca="1">J31+J32</f>
        <v>0.61818550651873816</v>
      </c>
      <c r="K33" s="188">
        <f t="shared" ref="K33:AP33" ca="1" si="60">IF(K15=1/fsw*10^3,K30*K25^2,K31+K32)</f>
        <v>0.50756860758989453</v>
      </c>
      <c r="L33" s="188">
        <f t="shared" ca="1" si="60"/>
        <v>0.42700336920884641</v>
      </c>
      <c r="M33" s="188">
        <f t="shared" ca="1" si="60"/>
        <v>0.3669030101429846</v>
      </c>
      <c r="N33" s="188">
        <f t="shared" ca="1" si="60"/>
        <v>0.32131330109042233</v>
      </c>
      <c r="O33" s="188">
        <f t="shared" ca="1" si="60"/>
        <v>0.2863593724415936</v>
      </c>
      <c r="P33" s="188">
        <f t="shared" ca="1" si="60"/>
        <v>0.25942114383379511</v>
      </c>
      <c r="Q33" s="188">
        <f t="shared" ca="1" si="60"/>
        <v>0.2386703125163625</v>
      </c>
      <c r="R33" s="188">
        <f t="shared" ca="1" si="60"/>
        <v>0.22279701831265702</v>
      </c>
      <c r="S33" s="188">
        <f t="shared" ca="1" si="60"/>
        <v>0.21084163758983823</v>
      </c>
      <c r="T33" s="188">
        <f t="shared" ca="1" si="60"/>
        <v>0.20208686907456636</v>
      </c>
      <c r="U33" s="188">
        <f t="shared" ca="1" si="60"/>
        <v>0.1959678643630331</v>
      </c>
      <c r="V33" s="188">
        <f t="shared" ca="1" si="60"/>
        <v>0.18370452572634077</v>
      </c>
      <c r="W33" s="188">
        <f t="shared" ca="1" si="60"/>
        <v>0.17712441256195377</v>
      </c>
      <c r="X33" s="188">
        <f t="shared" ca="1" si="60"/>
        <v>0.18003382100228851</v>
      </c>
      <c r="Y33" s="188">
        <f t="shared" ca="1" si="60"/>
        <v>0.18346881395792414</v>
      </c>
      <c r="Z33" s="188">
        <f t="shared" ca="1" si="60"/>
        <v>0.18740144459202929</v>
      </c>
      <c r="AA33" s="188">
        <f t="shared" ca="1" si="60"/>
        <v>0.19180751423215156</v>
      </c>
      <c r="AB33" s="188">
        <f t="shared" ca="1" si="60"/>
        <v>0.19666596785139295</v>
      </c>
      <c r="AC33" s="188">
        <f t="shared" ca="1" si="60"/>
        <v>0.20195840222985803</v>
      </c>
      <c r="AD33" s="188">
        <f t="shared" ca="1" si="60"/>
        <v>0.20766866317496024</v>
      </c>
      <c r="AE33" s="188">
        <f t="shared" ca="1" si="60"/>
        <v>0.21378251363895073</v>
      </c>
      <c r="AF33" s="188">
        <f t="shared" ca="1" si="60"/>
        <v>0.22028735866124904</v>
      </c>
      <c r="AG33" s="188">
        <f t="shared" ca="1" si="60"/>
        <v>0.22717201615103702</v>
      </c>
      <c r="AH33" s="188">
        <f t="shared" ca="1" si="60"/>
        <v>0.23442652487564658</v>
      </c>
      <c r="AI33" s="188">
        <f t="shared" ca="1" si="60"/>
        <v>0.24204198282221995</v>
      </c>
      <c r="AJ33" s="188">
        <f t="shared" ca="1" si="60"/>
        <v>0.25001041049167916</v>
      </c>
      <c r="AK33" s="188">
        <f t="shared" ca="1" si="60"/>
        <v>0.25832463476600132</v>
      </c>
      <c r="AL33" s="188">
        <f t="shared" ca="1" si="60"/>
        <v>0.26697818983651544</v>
      </c>
      <c r="AM33" s="188">
        <f t="shared" ca="1" si="60"/>
        <v>0.27596523234766956</v>
      </c>
      <c r="AN33" s="188">
        <f t="shared" ca="1" si="60"/>
        <v>0.28528046843884713</v>
      </c>
      <c r="AO33" s="188">
        <f t="shared" ca="1" si="60"/>
        <v>0.29491909078750589</v>
      </c>
      <c r="AP33" s="188">
        <f t="shared" ca="1" si="60"/>
        <v>0.30487672409385369</v>
      </c>
      <c r="AQ33" s="188">
        <f t="shared" ref="AQ33:BH33" ca="1" si="61">IF(AQ15=1/fsw*10^3,AQ30*AQ25^2,AQ31+AQ32)</f>
        <v>0.31514937771852192</v>
      </c>
      <c r="AR33" s="188">
        <f t="shared" ca="1" si="61"/>
        <v>0.32573340440414689</v>
      </c>
      <c r="AS33" s="188">
        <f t="shared" ca="1" si="61"/>
        <v>0.33662546419015271</v>
      </c>
      <c r="AT33" s="188">
        <f t="shared" ca="1" si="61"/>
        <v>0.34782249277568333</v>
      </c>
      <c r="AU33" s="188">
        <f t="shared" ca="1" si="61"/>
        <v>0.3593216737050956</v>
      </c>
      <c r="AV33" s="188">
        <f t="shared" ca="1" si="61"/>
        <v>0.37112041384879413</v>
      </c>
      <c r="AW33" s="188">
        <f t="shared" ca="1" si="61"/>
        <v>0.38321632173354025</v>
      </c>
      <c r="AX33" s="188">
        <f t="shared" ca="1" si="61"/>
        <v>0.39560718834387765</v>
      </c>
      <c r="AY33" s="188">
        <f t="shared" ca="1" si="61"/>
        <v>0.4082909700725727</v>
      </c>
      <c r="AZ33" s="188">
        <f t="shared" ca="1" si="61"/>
        <v>0.42126577354499217</v>
      </c>
      <c r="BA33" s="188">
        <f t="shared" ca="1" si="61"/>
        <v>0.43452984208179984</v>
      </c>
      <c r="BB33" s="188">
        <f t="shared" ca="1" si="61"/>
        <v>0.4480815435975623</v>
      </c>
      <c r="BC33" s="188">
        <f t="shared" ca="1" si="61"/>
        <v>0.46191935976089871</v>
      </c>
      <c r="BD33" s="188">
        <f t="shared" ca="1" si="61"/>
        <v>0.47604187626556044</v>
      </c>
      <c r="BE33" s="188">
        <f t="shared" ca="1" si="61"/>
        <v>0.49044777408200846</v>
      </c>
      <c r="BF33" s="188">
        <f t="shared" ca="1" si="61"/>
        <v>0.50513582157624493</v>
      </c>
      <c r="BG33" s="188">
        <f t="shared" ca="1" si="61"/>
        <v>0.52010486739734318</v>
      </c>
      <c r="BH33" s="188">
        <f t="shared" ca="1" si="61"/>
        <v>1.0264839234811403</v>
      </c>
      <c r="BI33" s="187" t="s">
        <v>9</v>
      </c>
      <c r="BJ33" s="169"/>
    </row>
    <row r="34" spans="1:77" x14ac:dyDescent="0.3">
      <c r="A34" s="1"/>
      <c r="B34" s="293" t="s">
        <v>102</v>
      </c>
      <c r="C34" s="76">
        <f ca="1">IF(Topology="Buck",MAX(J89:BH89),MAX(J4:BH4))</f>
        <v>166.32351317748896</v>
      </c>
      <c r="D34" s="295" t="s">
        <v>164</v>
      </c>
      <c r="E34" s="3"/>
      <c r="F34" s="20"/>
      <c r="G34" s="189" t="s">
        <v>253</v>
      </c>
      <c r="H34" s="15" t="s">
        <v>76</v>
      </c>
      <c r="I34" s="168">
        <f t="shared" ref="I34:AN34" ca="1" si="62">IF(I21-Iout_3V3*I35&gt;3.3,3.3,I21-Iout_3V3*I35)</f>
        <v>3.3</v>
      </c>
      <c r="J34" s="168">
        <f t="shared" ca="1" si="62"/>
        <v>3.3</v>
      </c>
      <c r="K34" s="168">
        <f t="shared" ca="1" si="62"/>
        <v>3.3</v>
      </c>
      <c r="L34" s="168">
        <f t="shared" ca="1" si="62"/>
        <v>3.3</v>
      </c>
      <c r="M34" s="168">
        <f t="shared" ca="1" si="62"/>
        <v>3.3</v>
      </c>
      <c r="N34" s="168">
        <f t="shared" ca="1" si="62"/>
        <v>3.3</v>
      </c>
      <c r="O34" s="168">
        <f t="shared" ca="1" si="62"/>
        <v>3.3</v>
      </c>
      <c r="P34" s="168">
        <f t="shared" ca="1" si="62"/>
        <v>3.3</v>
      </c>
      <c r="Q34" s="168">
        <f t="shared" ca="1" si="62"/>
        <v>3.3</v>
      </c>
      <c r="R34" s="168">
        <f t="shared" ca="1" si="62"/>
        <v>3.3</v>
      </c>
      <c r="S34" s="168">
        <f t="shared" ca="1" si="62"/>
        <v>3.3</v>
      </c>
      <c r="T34" s="168">
        <f t="shared" ca="1" si="62"/>
        <v>3.3</v>
      </c>
      <c r="U34" s="168">
        <f t="shared" ca="1" si="62"/>
        <v>3.3</v>
      </c>
      <c r="V34" s="168">
        <f t="shared" ca="1" si="62"/>
        <v>3.3</v>
      </c>
      <c r="W34" s="168">
        <f t="shared" ca="1" si="62"/>
        <v>3.3</v>
      </c>
      <c r="X34" s="168">
        <f t="shared" ca="1" si="62"/>
        <v>3.3</v>
      </c>
      <c r="Y34" s="168">
        <f t="shared" ca="1" si="62"/>
        <v>3.3</v>
      </c>
      <c r="Z34" s="168">
        <f t="shared" ca="1" si="62"/>
        <v>3.3</v>
      </c>
      <c r="AA34" s="168">
        <f t="shared" ca="1" si="62"/>
        <v>3.3</v>
      </c>
      <c r="AB34" s="168">
        <f t="shared" ca="1" si="62"/>
        <v>3.3</v>
      </c>
      <c r="AC34" s="168">
        <f t="shared" ca="1" si="62"/>
        <v>3.3</v>
      </c>
      <c r="AD34" s="168">
        <f t="shared" ca="1" si="62"/>
        <v>3.3</v>
      </c>
      <c r="AE34" s="168">
        <f t="shared" ca="1" si="62"/>
        <v>3.3</v>
      </c>
      <c r="AF34" s="168">
        <f t="shared" ca="1" si="62"/>
        <v>3.3</v>
      </c>
      <c r="AG34" s="168">
        <f t="shared" ca="1" si="62"/>
        <v>3.3</v>
      </c>
      <c r="AH34" s="168">
        <f t="shared" ca="1" si="62"/>
        <v>3.3</v>
      </c>
      <c r="AI34" s="168">
        <f t="shared" ca="1" si="62"/>
        <v>3.3</v>
      </c>
      <c r="AJ34" s="168">
        <f t="shared" ca="1" si="62"/>
        <v>3.3</v>
      </c>
      <c r="AK34" s="168">
        <f t="shared" ca="1" si="62"/>
        <v>3.3</v>
      </c>
      <c r="AL34" s="168">
        <f t="shared" ca="1" si="62"/>
        <v>3.3</v>
      </c>
      <c r="AM34" s="168">
        <f t="shared" ca="1" si="62"/>
        <v>3.3</v>
      </c>
      <c r="AN34" s="168">
        <f t="shared" ca="1" si="62"/>
        <v>3.3</v>
      </c>
      <c r="AO34" s="168">
        <f t="shared" ref="AO34:BH34" ca="1" si="63">IF(AO21-Iout_3V3*AO35&gt;3.3,3.3,AO21-Iout_3V3*AO35)</f>
        <v>3.3</v>
      </c>
      <c r="AP34" s="168">
        <f t="shared" ca="1" si="63"/>
        <v>3.3</v>
      </c>
      <c r="AQ34" s="168">
        <f t="shared" ca="1" si="63"/>
        <v>3.3</v>
      </c>
      <c r="AR34" s="168">
        <f t="shared" ca="1" si="63"/>
        <v>3.3</v>
      </c>
      <c r="AS34" s="168">
        <f t="shared" ca="1" si="63"/>
        <v>3.3</v>
      </c>
      <c r="AT34" s="168">
        <f t="shared" ca="1" si="63"/>
        <v>3.3</v>
      </c>
      <c r="AU34" s="168">
        <f t="shared" ca="1" si="63"/>
        <v>3.3</v>
      </c>
      <c r="AV34" s="168">
        <f t="shared" ca="1" si="63"/>
        <v>3.3</v>
      </c>
      <c r="AW34" s="168">
        <f t="shared" ca="1" si="63"/>
        <v>3.3</v>
      </c>
      <c r="AX34" s="168">
        <f t="shared" ca="1" si="63"/>
        <v>3.3</v>
      </c>
      <c r="AY34" s="168">
        <f t="shared" ca="1" si="63"/>
        <v>3.3</v>
      </c>
      <c r="AZ34" s="168">
        <f t="shared" ca="1" si="63"/>
        <v>3.3</v>
      </c>
      <c r="BA34" s="168">
        <f t="shared" ca="1" si="63"/>
        <v>3.3</v>
      </c>
      <c r="BB34" s="168">
        <f t="shared" ca="1" si="63"/>
        <v>3.3</v>
      </c>
      <c r="BC34" s="168">
        <f t="shared" ca="1" si="63"/>
        <v>3.3</v>
      </c>
      <c r="BD34" s="168">
        <f t="shared" ca="1" si="63"/>
        <v>3.3</v>
      </c>
      <c r="BE34" s="168">
        <f t="shared" ca="1" si="63"/>
        <v>3.3</v>
      </c>
      <c r="BF34" s="168">
        <f t="shared" ca="1" si="63"/>
        <v>3.3</v>
      </c>
      <c r="BG34" s="168">
        <f t="shared" ca="1" si="63"/>
        <v>3.3</v>
      </c>
      <c r="BH34" s="168">
        <f t="shared" ca="1" si="63"/>
        <v>3.3</v>
      </c>
      <c r="BI34" s="15" t="s">
        <v>76</v>
      </c>
      <c r="BJ34" s="169" t="s">
        <v>0</v>
      </c>
    </row>
    <row r="35" spans="1:77" ht="15" thickBot="1" x14ac:dyDescent="0.35">
      <c r="A35" s="1"/>
      <c r="B35" s="294"/>
      <c r="C35" s="77">
        <f ca="1">IF(Topology="Buck",HLOOKUP(C34,J89:BH90,2,FALSE),HLOOKUP(C34,J4:BH5,2,FALSE))</f>
        <v>36</v>
      </c>
      <c r="D35" s="296"/>
      <c r="E35" s="3"/>
      <c r="F35" s="20"/>
      <c r="H35" s="15" t="s">
        <v>74</v>
      </c>
      <c r="I35" s="190">
        <f t="shared" ref="I35:AN35" ca="1" si="64">(Rds_ON_3V3_150-Rds_ON_3V3_min40)/190*(I4-150)+Rds_ON_3V3_150</f>
        <v>0.4970358276454272</v>
      </c>
      <c r="J35" s="190">
        <f t="shared" ca="1" si="64"/>
        <v>0.50667655421223812</v>
      </c>
      <c r="K35" s="190">
        <f t="shared" ca="1" si="64"/>
        <v>0.5035830617676943</v>
      </c>
      <c r="L35" s="190">
        <f t="shared" ca="1" si="64"/>
        <v>0.50132998863748235</v>
      </c>
      <c r="M35" s="190">
        <f t="shared" ca="1" si="64"/>
        <v>0.49964923265086331</v>
      </c>
      <c r="N35" s="190">
        <f t="shared" ca="1" si="64"/>
        <v>0.49837427891162472</v>
      </c>
      <c r="O35" s="190">
        <f t="shared" ca="1" si="64"/>
        <v>0.49739676351514039</v>
      </c>
      <c r="P35" s="190">
        <f t="shared" ca="1" si="64"/>
        <v>0.49664341376426552</v>
      </c>
      <c r="Q35" s="190">
        <f t="shared" ca="1" si="64"/>
        <v>0.49606309967114742</v>
      </c>
      <c r="R35" s="190">
        <f t="shared" ca="1" si="64"/>
        <v>0.49561918991950726</v>
      </c>
      <c r="S35" s="190">
        <f t="shared" ca="1" si="64"/>
        <v>0.49528484784536808</v>
      </c>
      <c r="T35" s="190">
        <f t="shared" ca="1" si="64"/>
        <v>0.49504001352849442</v>
      </c>
      <c r="U35" s="190">
        <f t="shared" ca="1" si="64"/>
        <v>0.49486889051834204</v>
      </c>
      <c r="V35" s="190">
        <f t="shared" ca="1" si="64"/>
        <v>0.49452593614484563</v>
      </c>
      <c r="W35" s="190">
        <f t="shared" ca="1" si="64"/>
        <v>0.49434191785582543</v>
      </c>
      <c r="X35" s="190">
        <f t="shared" ca="1" si="64"/>
        <v>0.49442328186129814</v>
      </c>
      <c r="Y35" s="190">
        <f t="shared" ca="1" si="64"/>
        <v>0.49451934427093636</v>
      </c>
      <c r="Z35" s="190">
        <f t="shared" ca="1" si="64"/>
        <v>0.49462932352837025</v>
      </c>
      <c r="AA35" s="190">
        <f t="shared" ca="1" si="64"/>
        <v>0.49475254289773374</v>
      </c>
      <c r="AB35" s="190">
        <f t="shared" ca="1" si="64"/>
        <v>0.49488841355779789</v>
      </c>
      <c r="AC35" s="190">
        <f t="shared" ca="1" si="64"/>
        <v>0.49503642084730037</v>
      </c>
      <c r="AD35" s="190">
        <f t="shared" ca="1" si="64"/>
        <v>0.49519611300087957</v>
      </c>
      <c r="AE35" s="190">
        <f t="shared" ca="1" si="64"/>
        <v>0.49536709186770805</v>
      </c>
      <c r="AF35" s="190">
        <f t="shared" ca="1" si="64"/>
        <v>0.49554900521927792</v>
      </c>
      <c r="AG35" s="190">
        <f t="shared" ca="1" si="64"/>
        <v>0.49574154033914741</v>
      </c>
      <c r="AH35" s="190">
        <f t="shared" ca="1" si="64"/>
        <v>0.49594441865317779</v>
      </c>
      <c r="AI35" s="190">
        <f t="shared" ca="1" si="64"/>
        <v>0.49615739120918395</v>
      </c>
      <c r="AJ35" s="190">
        <f t="shared" ca="1" si="64"/>
        <v>0.49638023485383775</v>
      </c>
      <c r="AK35" s="190">
        <f t="shared" ca="1" si="64"/>
        <v>0.49661274898492053</v>
      </c>
      <c r="AL35" s="190">
        <f t="shared" ca="1" si="64"/>
        <v>0.49685475278070135</v>
      </c>
      <c r="AM35" s="190">
        <f t="shared" ca="1" si="64"/>
        <v>0.49710608282686225</v>
      </c>
      <c r="AN35" s="190">
        <f t="shared" ca="1" si="64"/>
        <v>0.49736659107616293</v>
      </c>
      <c r="AO35" s="190">
        <f t="shared" ref="AO35:BH35" ca="1" si="65">(Rds_ON_3V3_150-Rds_ON_3V3_min40)/190*(AO4-150)+Rds_ON_3V3_150</f>
        <v>0.49763614308779991</v>
      </c>
      <c r="AP35" s="190">
        <f t="shared" ca="1" si="65"/>
        <v>0.49791461650284058</v>
      </c>
      <c r="AQ35" s="190">
        <f t="shared" ca="1" si="65"/>
        <v>0.49820189971969675</v>
      </c>
      <c r="AR35" s="190">
        <f t="shared" ca="1" si="65"/>
        <v>0.49849789073973971</v>
      </c>
      <c r="AS35" s="190">
        <f t="shared" ca="1" si="65"/>
        <v>0.4988024961581472</v>
      </c>
      <c r="AT35" s="190">
        <f t="shared" ca="1" si="65"/>
        <v>0.49911563027914696</v>
      </c>
      <c r="AU35" s="190">
        <f t="shared" ca="1" si="65"/>
        <v>0.49943721433816074</v>
      </c>
      <c r="AV35" s="190">
        <f t="shared" ca="1" si="65"/>
        <v>0.49976717581610614</v>
      </c>
      <c r="AW35" s="190">
        <f t="shared" ca="1" si="65"/>
        <v>0.50010544783338529</v>
      </c>
      <c r="AX35" s="190">
        <f t="shared" ca="1" si="65"/>
        <v>0.50045196861298125</v>
      </c>
      <c r="AY35" s="190">
        <f t="shared" ca="1" si="65"/>
        <v>0.500806681003653</v>
      </c>
      <c r="AZ35" s="190">
        <f t="shared" ca="1" si="65"/>
        <v>0.50116953205553638</v>
      </c>
      <c r="BA35" s="190">
        <f t="shared" ca="1" si="65"/>
        <v>0.50154047264156243</v>
      </c>
      <c r="BB35" s="190">
        <f t="shared" ca="1" si="65"/>
        <v>0.50191945711903196</v>
      </c>
      <c r="BC35" s="190">
        <f t="shared" ca="1" si="65"/>
        <v>0.50230644302647021</v>
      </c>
      <c r="BD35" s="190">
        <f t="shared" ca="1" si="65"/>
        <v>0.5027013908115493</v>
      </c>
      <c r="BE35" s="190">
        <f t="shared" ca="1" si="65"/>
        <v>0.50310426358643168</v>
      </c>
      <c r="BF35" s="190">
        <f t="shared" ca="1" si="65"/>
        <v>0.5035150269073666</v>
      </c>
      <c r="BG35" s="190">
        <f t="shared" ca="1" si="65"/>
        <v>0.50393364857578404</v>
      </c>
      <c r="BH35" s="190">
        <f t="shared" ca="1" si="65"/>
        <v>0.5180949540278148</v>
      </c>
      <c r="BI35" s="15" t="s">
        <v>74</v>
      </c>
      <c r="BJ35" s="169"/>
    </row>
    <row r="36" spans="1:77" ht="15" thickBot="1" x14ac:dyDescent="0.35">
      <c r="A36" s="1"/>
      <c r="B36" s="1"/>
      <c r="C36" s="1"/>
      <c r="D36" s="1"/>
      <c r="E36" s="3"/>
      <c r="F36" s="20"/>
      <c r="H36" s="15" t="s">
        <v>75</v>
      </c>
      <c r="I36" s="172">
        <f t="shared" ref="I36:AN36" ca="1" si="66">(I21-I34)*Iout_3V3</f>
        <v>0</v>
      </c>
      <c r="J36" s="172">
        <f t="shared" ca="1" si="66"/>
        <v>0</v>
      </c>
      <c r="K36" s="172">
        <f t="shared" ca="1" si="66"/>
        <v>0</v>
      </c>
      <c r="L36" s="172">
        <f t="shared" ca="1" si="66"/>
        <v>0</v>
      </c>
      <c r="M36" s="172">
        <f t="shared" ca="1" si="66"/>
        <v>0</v>
      </c>
      <c r="N36" s="172">
        <f t="shared" ca="1" si="66"/>
        <v>0</v>
      </c>
      <c r="O36" s="172">
        <f t="shared" ca="1" si="66"/>
        <v>0</v>
      </c>
      <c r="P36" s="172">
        <f t="shared" ca="1" si="66"/>
        <v>0</v>
      </c>
      <c r="Q36" s="172">
        <f t="shared" ca="1" si="66"/>
        <v>0</v>
      </c>
      <c r="R36" s="172">
        <f t="shared" ca="1" si="66"/>
        <v>0</v>
      </c>
      <c r="S36" s="172">
        <f t="shared" ca="1" si="66"/>
        <v>0</v>
      </c>
      <c r="T36" s="172">
        <f t="shared" ca="1" si="66"/>
        <v>0</v>
      </c>
      <c r="U36" s="172">
        <f t="shared" ca="1" si="66"/>
        <v>0</v>
      </c>
      <c r="V36" s="172">
        <f t="shared" ca="1" si="66"/>
        <v>0</v>
      </c>
      <c r="W36" s="172">
        <f t="shared" ca="1" si="66"/>
        <v>0</v>
      </c>
      <c r="X36" s="172">
        <f t="shared" ca="1" si="66"/>
        <v>0</v>
      </c>
      <c r="Y36" s="172">
        <f t="shared" ca="1" si="66"/>
        <v>0</v>
      </c>
      <c r="Z36" s="172">
        <f t="shared" ca="1" si="66"/>
        <v>0</v>
      </c>
      <c r="AA36" s="172">
        <f t="shared" ca="1" si="66"/>
        <v>0</v>
      </c>
      <c r="AB36" s="172">
        <f t="shared" ca="1" si="66"/>
        <v>0</v>
      </c>
      <c r="AC36" s="172">
        <f t="shared" ca="1" si="66"/>
        <v>0</v>
      </c>
      <c r="AD36" s="172">
        <f t="shared" ca="1" si="66"/>
        <v>0</v>
      </c>
      <c r="AE36" s="172">
        <f t="shared" ca="1" si="66"/>
        <v>0</v>
      </c>
      <c r="AF36" s="172">
        <f t="shared" ca="1" si="66"/>
        <v>0</v>
      </c>
      <c r="AG36" s="172">
        <f t="shared" ca="1" si="66"/>
        <v>0</v>
      </c>
      <c r="AH36" s="172">
        <f t="shared" ca="1" si="66"/>
        <v>0</v>
      </c>
      <c r="AI36" s="172">
        <f t="shared" ca="1" si="66"/>
        <v>0</v>
      </c>
      <c r="AJ36" s="172">
        <f t="shared" ca="1" si="66"/>
        <v>0</v>
      </c>
      <c r="AK36" s="172">
        <f t="shared" ca="1" si="66"/>
        <v>0</v>
      </c>
      <c r="AL36" s="172">
        <f t="shared" ca="1" si="66"/>
        <v>0</v>
      </c>
      <c r="AM36" s="172">
        <f t="shared" ca="1" si="66"/>
        <v>0</v>
      </c>
      <c r="AN36" s="172">
        <f t="shared" ca="1" si="66"/>
        <v>0</v>
      </c>
      <c r="AO36" s="172">
        <f t="shared" ref="AO36:BH36" ca="1" si="67">(AO21-AO34)*Iout_3V3</f>
        <v>0</v>
      </c>
      <c r="AP36" s="172">
        <f t="shared" ca="1" si="67"/>
        <v>0</v>
      </c>
      <c r="AQ36" s="172">
        <f t="shared" ca="1" si="67"/>
        <v>0</v>
      </c>
      <c r="AR36" s="172">
        <f t="shared" ca="1" si="67"/>
        <v>0</v>
      </c>
      <c r="AS36" s="172">
        <f t="shared" ca="1" si="67"/>
        <v>0</v>
      </c>
      <c r="AT36" s="172">
        <f t="shared" ca="1" si="67"/>
        <v>0</v>
      </c>
      <c r="AU36" s="172">
        <f t="shared" ca="1" si="67"/>
        <v>0</v>
      </c>
      <c r="AV36" s="172">
        <f t="shared" ca="1" si="67"/>
        <v>0</v>
      </c>
      <c r="AW36" s="172">
        <f t="shared" ca="1" si="67"/>
        <v>0</v>
      </c>
      <c r="AX36" s="172">
        <f t="shared" ca="1" si="67"/>
        <v>0</v>
      </c>
      <c r="AY36" s="172">
        <f t="shared" ca="1" si="67"/>
        <v>0</v>
      </c>
      <c r="AZ36" s="172">
        <f t="shared" ca="1" si="67"/>
        <v>0</v>
      </c>
      <c r="BA36" s="172">
        <f t="shared" ca="1" si="67"/>
        <v>0</v>
      </c>
      <c r="BB36" s="172">
        <f t="shared" ca="1" si="67"/>
        <v>0</v>
      </c>
      <c r="BC36" s="172">
        <f t="shared" ca="1" si="67"/>
        <v>0</v>
      </c>
      <c r="BD36" s="172">
        <f t="shared" ca="1" si="67"/>
        <v>0</v>
      </c>
      <c r="BE36" s="172">
        <f t="shared" ca="1" si="67"/>
        <v>0</v>
      </c>
      <c r="BF36" s="172">
        <f t="shared" ca="1" si="67"/>
        <v>0</v>
      </c>
      <c r="BG36" s="172">
        <f t="shared" ca="1" si="67"/>
        <v>0</v>
      </c>
      <c r="BH36" s="172">
        <f t="shared" ca="1" si="67"/>
        <v>0</v>
      </c>
      <c r="BI36" s="15" t="s">
        <v>75</v>
      </c>
      <c r="BJ36" s="169"/>
    </row>
    <row r="37" spans="1:77" x14ac:dyDescent="0.3">
      <c r="A37" s="1"/>
      <c r="B37" s="289" t="s">
        <v>351</v>
      </c>
      <c r="C37" s="290"/>
      <c r="D37" s="291"/>
      <c r="E37" s="105"/>
      <c r="F37" s="31"/>
      <c r="G37" s="170" t="s">
        <v>264</v>
      </c>
      <c r="H37" s="15" t="s">
        <v>56</v>
      </c>
      <c r="I37" s="171">
        <f t="shared" ref="I37:AN37" ca="1" si="68">IF(Reset=1,Vreg-Vout_sync_buck,Vreg-Iout_sync_buck*(I49+DCR2*10^-3)-Vout_sync_buck)</f>
        <v>1.8423904687936838</v>
      </c>
      <c r="J37" s="171">
        <f t="shared" ca="1" si="68"/>
        <v>1.838526419494583</v>
      </c>
      <c r="K37" s="171">
        <f t="shared" ca="1" si="68"/>
        <v>1.8397663060559619</v>
      </c>
      <c r="L37" s="171">
        <f t="shared" ca="1" si="68"/>
        <v>1.8406693485382153</v>
      </c>
      <c r="M37" s="171">
        <f t="shared" ca="1" si="68"/>
        <v>1.8413430035731384</v>
      </c>
      <c r="N37" s="171">
        <f t="shared" ca="1" si="68"/>
        <v>1.8418540111272215</v>
      </c>
      <c r="O37" s="171">
        <f t="shared" ca="1" si="68"/>
        <v>1.8422458039715135</v>
      </c>
      <c r="P37" s="171">
        <f t="shared" ca="1" si="68"/>
        <v>1.8425477501533356</v>
      </c>
      <c r="Q37" s="171">
        <f t="shared" ca="1" si="68"/>
        <v>1.8427803428162681</v>
      </c>
      <c r="R37" s="171">
        <f t="shared" ca="1" si="68"/>
        <v>1.8429582639670024</v>
      </c>
      <c r="S37" s="171">
        <f t="shared" ca="1" si="68"/>
        <v>1.843092269868766</v>
      </c>
      <c r="T37" s="171">
        <f t="shared" ca="1" si="68"/>
        <v>1.8431904006334916</v>
      </c>
      <c r="U37" s="171">
        <f t="shared" ca="1" si="68"/>
        <v>1.8432589875540781</v>
      </c>
      <c r="V37" s="171">
        <f t="shared" ca="1" si="68"/>
        <v>1.8433964453065981</v>
      </c>
      <c r="W37" s="171">
        <f t="shared" ca="1" si="68"/>
        <v>1.8434702007166068</v>
      </c>
      <c r="X37" s="171">
        <f t="shared" ca="1" si="68"/>
        <v>1.8434375896342221</v>
      </c>
      <c r="Y37" s="171">
        <f t="shared" ca="1" si="68"/>
        <v>1.8433990873611759</v>
      </c>
      <c r="Z37" s="171">
        <f t="shared" ca="1" si="68"/>
        <v>1.8433550071489995</v>
      </c>
      <c r="AA37" s="171">
        <f t="shared" ca="1" si="68"/>
        <v>1.843305620236662</v>
      </c>
      <c r="AB37" s="171">
        <f t="shared" ca="1" si="68"/>
        <v>1.8432511626265278</v>
      </c>
      <c r="AC37" s="171">
        <f t="shared" ca="1" si="68"/>
        <v>1.8431918405972905</v>
      </c>
      <c r="AD37" s="171">
        <f t="shared" ca="1" si="68"/>
        <v>1.8431278352186675</v>
      </c>
      <c r="AE37" s="171">
        <f t="shared" ca="1" si="68"/>
        <v>1.8430593060714138</v>
      </c>
      <c r="AF37" s="171">
        <f t="shared" ca="1" si="68"/>
        <v>1.8429863943303992</v>
      </c>
      <c r="AG37" s="171">
        <f t="shared" ca="1" si="68"/>
        <v>1.8429092253338686</v>
      </c>
      <c r="AH37" s="171">
        <f t="shared" ca="1" si="68"/>
        <v>1.8428279107356689</v>
      </c>
      <c r="AI37" s="171">
        <f t="shared" ca="1" si="68"/>
        <v>1.8427425503170261</v>
      </c>
      <c r="AJ37" s="171">
        <f t="shared" ca="1" si="68"/>
        <v>1.8426532335188615</v>
      </c>
      <c r="AK37" s="171">
        <f t="shared" ca="1" si="68"/>
        <v>1.8425600407435017</v>
      </c>
      <c r="AL37" s="171">
        <f t="shared" ca="1" si="68"/>
        <v>1.8424630444651626</v>
      </c>
      <c r="AM37" s="171">
        <f t="shared" ca="1" si="68"/>
        <v>1.8423623101810831</v>
      </c>
      <c r="AN37" s="171">
        <f t="shared" ca="1" si="68"/>
        <v>1.842257897229306</v>
      </c>
      <c r="AO37" s="171">
        <f t="shared" ref="AO37:BH37" ca="1" si="69">IF(Reset=1,Vreg-Vout_sync_buck,Vreg-Iout_sync_buck*(AO49+DDX2*10^-3)-Vout_sync_buck)</f>
        <v>1.8421498594943468</v>
      </c>
      <c r="AP37" s="171">
        <f t="shared" ca="1" si="69"/>
        <v>1.8420382460182516</v>
      </c>
      <c r="AQ37" s="171">
        <f t="shared" ca="1" si="69"/>
        <v>1.8419231015314699</v>
      </c>
      <c r="AR37" s="171">
        <f t="shared" ca="1" si="69"/>
        <v>1.8418044669155407</v>
      </c>
      <c r="AS37" s="171">
        <f t="shared" ca="1" si="69"/>
        <v>1.8416823796075619</v>
      </c>
      <c r="AT37" s="171">
        <f t="shared" ca="1" si="69"/>
        <v>1.8415568739548096</v>
      </c>
      <c r="AU37" s="171">
        <f t="shared" ca="1" si="69"/>
        <v>1.8414279815265031</v>
      </c>
      <c r="AV37" s="171">
        <f t="shared" ca="1" si="69"/>
        <v>1.8412957313886373</v>
      </c>
      <c r="AW37" s="171">
        <f t="shared" ca="1" si="69"/>
        <v>1.8411601503468757</v>
      </c>
      <c r="AX37" s="171">
        <f t="shared" ca="1" si="69"/>
        <v>1.84102126316174</v>
      </c>
      <c r="AY37" s="171">
        <f t="shared" ca="1" si="69"/>
        <v>1.8408790927397227</v>
      </c>
      <c r="AZ37" s="171">
        <f t="shared" ca="1" si="69"/>
        <v>1.8407336603033819</v>
      </c>
      <c r="BA37" s="171">
        <f t="shared" ca="1" si="69"/>
        <v>1.8405849855430816</v>
      </c>
      <c r="BB37" s="171">
        <f t="shared" ca="1" si="69"/>
        <v>1.8404330867526335</v>
      </c>
      <c r="BC37" s="171">
        <f t="shared" ca="1" si="69"/>
        <v>1.840277980950801</v>
      </c>
      <c r="BD37" s="171">
        <f t="shared" ca="1" si="69"/>
        <v>1.8401196839903449</v>
      </c>
      <c r="BE37" s="171">
        <f t="shared" ca="1" si="69"/>
        <v>1.8399582106560866</v>
      </c>
      <c r="BF37" s="171">
        <f t="shared" ca="1" si="69"/>
        <v>1.839793574753247</v>
      </c>
      <c r="BG37" s="171">
        <f t="shared" ca="1" si="69"/>
        <v>1.839625789187167</v>
      </c>
      <c r="BH37" s="171">
        <f t="shared" ca="1" si="69"/>
        <v>1.8339498702585404</v>
      </c>
      <c r="BI37" s="15"/>
      <c r="BJ37" s="169"/>
    </row>
    <row r="38" spans="1:77" x14ac:dyDescent="0.3">
      <c r="A38" s="1"/>
      <c r="B38" s="106" t="s">
        <v>114</v>
      </c>
      <c r="C38" s="101">
        <v>0.35</v>
      </c>
      <c r="D38" s="107" t="s">
        <v>312</v>
      </c>
      <c r="E38" s="1"/>
      <c r="F38" s="31"/>
      <c r="H38" s="15" t="s">
        <v>58</v>
      </c>
      <c r="I38" s="171">
        <f t="shared" ref="I38:AN38" ca="1" si="70">IF(Reset=1,Vout_sync_buck,Vout_sync_buck+Iout_sync_buck*(I53+dcr_2*10^-3))</f>
        <v>3.4411095312063158</v>
      </c>
      <c r="J38" s="171">
        <f t="shared" ca="1" si="70"/>
        <v>3.4449735805054162</v>
      </c>
      <c r="K38" s="171">
        <f t="shared" ca="1" si="70"/>
        <v>3.4437336939440382</v>
      </c>
      <c r="L38" s="171">
        <f t="shared" ca="1" si="70"/>
        <v>3.4428306514617848</v>
      </c>
      <c r="M38" s="171">
        <f t="shared" ca="1" si="70"/>
        <v>3.4421569964268608</v>
      </c>
      <c r="N38" s="171">
        <f t="shared" ca="1" si="70"/>
        <v>3.4416459888727777</v>
      </c>
      <c r="O38" s="171">
        <f t="shared" ca="1" si="70"/>
        <v>3.4412541960284866</v>
      </c>
      <c r="P38" s="171">
        <f t="shared" ca="1" si="70"/>
        <v>3.4409522498466636</v>
      </c>
      <c r="Q38" s="171">
        <f t="shared" ca="1" si="70"/>
        <v>3.440719657183732</v>
      </c>
      <c r="R38" s="171">
        <f t="shared" ca="1" si="70"/>
        <v>3.4405417360329968</v>
      </c>
      <c r="S38" s="171">
        <f t="shared" ca="1" si="70"/>
        <v>3.4404077301312337</v>
      </c>
      <c r="T38" s="171">
        <f t="shared" ca="1" si="70"/>
        <v>3.440309599366508</v>
      </c>
      <c r="U38" s="171">
        <f t="shared" ca="1" si="70"/>
        <v>3.4402410124459211</v>
      </c>
      <c r="V38" s="171">
        <f t="shared" ca="1" si="70"/>
        <v>3.4401035546934011</v>
      </c>
      <c r="W38" s="171">
        <f t="shared" ca="1" si="70"/>
        <v>3.4400297992833933</v>
      </c>
      <c r="X38" s="171">
        <f t="shared" ca="1" si="70"/>
        <v>3.440062410365778</v>
      </c>
      <c r="Y38" s="171">
        <f t="shared" ca="1" si="70"/>
        <v>3.4401009126388233</v>
      </c>
      <c r="Z38" s="171">
        <f t="shared" ca="1" si="70"/>
        <v>3.4401449928510002</v>
      </c>
      <c r="AA38" s="171">
        <f t="shared" ca="1" si="70"/>
        <v>3.4401943797633376</v>
      </c>
      <c r="AB38" s="171">
        <f t="shared" ca="1" si="70"/>
        <v>3.4402488373734723</v>
      </c>
      <c r="AC38" s="171">
        <f t="shared" ca="1" si="70"/>
        <v>3.4403081594027096</v>
      </c>
      <c r="AD38" s="171">
        <f t="shared" ca="1" si="70"/>
        <v>3.4403721647813326</v>
      </c>
      <c r="AE38" s="171">
        <f t="shared" ca="1" si="70"/>
        <v>3.4404406939285863</v>
      </c>
      <c r="AF38" s="171">
        <f t="shared" ca="1" si="70"/>
        <v>3.4405136056696004</v>
      </c>
      <c r="AG38" s="171">
        <f t="shared" ca="1" si="70"/>
        <v>3.4405907746661311</v>
      </c>
      <c r="AH38" s="171">
        <f t="shared" ca="1" si="70"/>
        <v>3.4406720892643303</v>
      </c>
      <c r="AI38" s="171">
        <f t="shared" ca="1" si="70"/>
        <v>3.4407574496829731</v>
      </c>
      <c r="AJ38" s="171">
        <f t="shared" ca="1" si="70"/>
        <v>3.4408467664811386</v>
      </c>
      <c r="AK38" s="171">
        <f t="shared" ca="1" si="70"/>
        <v>3.4409399592564975</v>
      </c>
      <c r="AL38" s="171">
        <f t="shared" ca="1" si="70"/>
        <v>3.441036955534837</v>
      </c>
      <c r="AM38" s="171">
        <f t="shared" ca="1" si="70"/>
        <v>3.4411376898189161</v>
      </c>
      <c r="AN38" s="171">
        <f t="shared" ca="1" si="70"/>
        <v>3.4412421027706936</v>
      </c>
      <c r="AO38" s="171">
        <f t="shared" ref="AO38:BH38" ca="1" si="71">IF(Reset=1,Vout_sync_buck,Vout_sync_buck+Iout_sync_buck*(AO53+dcr_2*10^-3))</f>
        <v>3.4413501405056524</v>
      </c>
      <c r="AP38" s="171">
        <f t="shared" ca="1" si="71"/>
        <v>3.441461753981748</v>
      </c>
      <c r="AQ38" s="171">
        <f t="shared" ca="1" si="71"/>
        <v>3.4415768984685293</v>
      </c>
      <c r="AR38" s="171">
        <f t="shared" ca="1" si="71"/>
        <v>3.441695533084459</v>
      </c>
      <c r="AS38" s="171">
        <f t="shared" ca="1" si="71"/>
        <v>3.4418176203924378</v>
      </c>
      <c r="AT38" s="171">
        <f t="shared" ca="1" si="71"/>
        <v>3.44194312604519</v>
      </c>
      <c r="AU38" s="171">
        <f t="shared" ca="1" si="71"/>
        <v>3.4420720184734965</v>
      </c>
      <c r="AV38" s="171">
        <f t="shared" ca="1" si="71"/>
        <v>3.4422042686113619</v>
      </c>
      <c r="AW38" s="171">
        <f t="shared" ca="1" si="71"/>
        <v>3.4423398496531243</v>
      </c>
      <c r="AX38" s="171">
        <f t="shared" ca="1" si="71"/>
        <v>3.4424787368382592</v>
      </c>
      <c r="AY38" s="171">
        <f t="shared" ca="1" si="71"/>
        <v>3.4426209072602765</v>
      </c>
      <c r="AZ38" s="171">
        <f t="shared" ca="1" si="71"/>
        <v>3.4427663396966177</v>
      </c>
      <c r="BA38" s="171">
        <f t="shared" ca="1" si="71"/>
        <v>3.4429150144569181</v>
      </c>
      <c r="BB38" s="171">
        <f t="shared" ca="1" si="71"/>
        <v>3.4430669132473657</v>
      </c>
      <c r="BC38" s="171">
        <f t="shared" ca="1" si="71"/>
        <v>3.4432220190491987</v>
      </c>
      <c r="BD38" s="171">
        <f t="shared" ca="1" si="71"/>
        <v>3.4433803160096552</v>
      </c>
      <c r="BE38" s="171">
        <f t="shared" ca="1" si="71"/>
        <v>3.4435417893439131</v>
      </c>
      <c r="BF38" s="171">
        <f t="shared" ca="1" si="71"/>
        <v>3.4437064252467522</v>
      </c>
      <c r="BG38" s="171">
        <f t="shared" ca="1" si="71"/>
        <v>3.4438742108128326</v>
      </c>
      <c r="BH38" s="171">
        <f t="shared" ca="1" si="71"/>
        <v>3.4495501297414588</v>
      </c>
      <c r="BI38" s="15"/>
      <c r="BJ38" s="169"/>
    </row>
    <row r="39" spans="1:77" x14ac:dyDescent="0.3">
      <c r="A39" s="1"/>
      <c r="B39" s="106" t="s">
        <v>115</v>
      </c>
      <c r="C39" s="108">
        <f>ROUNDUP((Vin_nom-Vreg)*Vreg/(Vin_nom*fsw*10^-3*k_ripple*Iout_PreReg),2)</f>
        <v>5.0999999999999996</v>
      </c>
      <c r="D39" s="107" t="s">
        <v>166</v>
      </c>
      <c r="E39" s="1"/>
      <c r="F39" s="31"/>
      <c r="H39" s="15" t="s">
        <v>86</v>
      </c>
      <c r="I39" s="177">
        <f t="shared" ref="I39:AN39" ca="1" si="72">IF(Reset=1,Vout_sync_buck/Vreg,I38/(I37+I38))</f>
        <v>0.65129356131471861</v>
      </c>
      <c r="J39" s="177">
        <f t="shared" ca="1" si="72"/>
        <v>0.65202490404190716</v>
      </c>
      <c r="K39" s="177">
        <f t="shared" ca="1" si="72"/>
        <v>0.65179023260036684</v>
      </c>
      <c r="L39" s="177">
        <f t="shared" ca="1" si="72"/>
        <v>0.65161931512478177</v>
      </c>
      <c r="M39" s="177">
        <f t="shared" ca="1" si="72"/>
        <v>0.65149181346207274</v>
      </c>
      <c r="N39" s="177">
        <f t="shared" ca="1" si="72"/>
        <v>0.65139509584040467</v>
      </c>
      <c r="O39" s="177">
        <f t="shared" ca="1" si="72"/>
        <v>0.65132094180533484</v>
      </c>
      <c r="P39" s="177">
        <f t="shared" ca="1" si="72"/>
        <v>0.65126379291126413</v>
      </c>
      <c r="Q39" s="177">
        <f t="shared" ca="1" si="72"/>
        <v>0.65121977045211166</v>
      </c>
      <c r="R39" s="177">
        <f t="shared" ca="1" si="72"/>
        <v>0.65118609558682639</v>
      </c>
      <c r="S39" s="177">
        <f t="shared" ca="1" si="72"/>
        <v>0.65116073249384565</v>
      </c>
      <c r="T39" s="177">
        <f t="shared" ca="1" si="72"/>
        <v>0.65114215943342635</v>
      </c>
      <c r="U39" s="177">
        <f t="shared" ca="1" si="72"/>
        <v>0.65112917809140181</v>
      </c>
      <c r="V39" s="177">
        <f t="shared" ca="1" si="72"/>
        <v>0.65110316167188453</v>
      </c>
      <c r="W39" s="177">
        <f t="shared" ca="1" si="72"/>
        <v>0.65108920209773691</v>
      </c>
      <c r="X39" s="177">
        <f t="shared" ca="1" si="72"/>
        <v>0.6510953743476442</v>
      </c>
      <c r="Y39" s="177">
        <f t="shared" ca="1" si="72"/>
        <v>0.65110266161423747</v>
      </c>
      <c r="Z39" s="177">
        <f t="shared" ca="1" si="72"/>
        <v>0.65111100460887672</v>
      </c>
      <c r="AA39" s="177">
        <f t="shared" ca="1" si="72"/>
        <v>0.65112035199457508</v>
      </c>
      <c r="AB39" s="177">
        <f t="shared" ca="1" si="72"/>
        <v>0.65113065910352463</v>
      </c>
      <c r="AC39" s="177">
        <f t="shared" ca="1" si="72"/>
        <v>0.65114188689367081</v>
      </c>
      <c r="AD39" s="177">
        <f t="shared" ca="1" si="72"/>
        <v>0.65115400109422406</v>
      </c>
      <c r="AE39" s="177">
        <f t="shared" ca="1" si="72"/>
        <v>0.65116697150157776</v>
      </c>
      <c r="AF39" s="177">
        <f t="shared" ca="1" si="72"/>
        <v>0.65118077139577935</v>
      </c>
      <c r="AG39" s="177">
        <f t="shared" ca="1" si="72"/>
        <v>0.65119537705425024</v>
      </c>
      <c r="AH39" s="177">
        <f t="shared" ca="1" si="72"/>
        <v>0.65121076734443661</v>
      </c>
      <c r="AI39" s="177">
        <f t="shared" ca="1" si="72"/>
        <v>0.65122692338089783</v>
      </c>
      <c r="AJ39" s="177">
        <f t="shared" ca="1" si="72"/>
        <v>0.65124382823528693</v>
      </c>
      <c r="AK39" s="177">
        <f t="shared" ca="1" si="72"/>
        <v>0.65126146668997786</v>
      </c>
      <c r="AL39" s="177">
        <f t="shared" ca="1" si="72"/>
        <v>0.65127982502788628</v>
      </c>
      <c r="AM39" s="177">
        <f t="shared" ca="1" si="72"/>
        <v>0.65129889085244941</v>
      </c>
      <c r="AN39" s="177">
        <f t="shared" ca="1" si="72"/>
        <v>0.6513186529328463</v>
      </c>
      <c r="AO39" s="177">
        <f t="shared" ref="AO39:BH39" ca="1" si="73">IF(Reset=1,Vout_sync_buck/Vreg,AO38/(AO37+AO38))</f>
        <v>0.6513391010704368</v>
      </c>
      <c r="AP39" s="177">
        <f t="shared" ca="1" si="73"/>
        <v>0.65136022598310739</v>
      </c>
      <c r="AQ39" s="177">
        <f t="shared" ca="1" si="73"/>
        <v>0.6513820192047941</v>
      </c>
      <c r="AR39" s="177">
        <f t="shared" ca="1" si="73"/>
        <v>0.65140447299791027</v>
      </c>
      <c r="AS39" s="177">
        <f t="shared" ca="1" si="73"/>
        <v>0.65142758027679337</v>
      </c>
      <c r="AT39" s="177">
        <f t="shared" ca="1" si="73"/>
        <v>0.65145133454058668</v>
      </c>
      <c r="AU39" s="177">
        <f t="shared" ca="1" si="73"/>
        <v>0.6514757298142323</v>
      </c>
      <c r="AV39" s="177">
        <f t="shared" ca="1" si="73"/>
        <v>0.65150076059645357</v>
      </c>
      <c r="AW39" s="177">
        <f t="shared" ca="1" si="73"/>
        <v>0.6515264218137834</v>
      </c>
      <c r="AX39" s="177">
        <f t="shared" ca="1" si="73"/>
        <v>0.65155270877983529</v>
      </c>
      <c r="AY39" s="177">
        <f t="shared" ca="1" si="73"/>
        <v>0.6515796171591326</v>
      </c>
      <c r="AZ39" s="177">
        <f t="shared" ca="1" si="73"/>
        <v>0.65160714293491395</v>
      </c>
      <c r="BA39" s="177">
        <f t="shared" ca="1" si="73"/>
        <v>0.65163528238041413</v>
      </c>
      <c r="BB39" s="177">
        <f t="shared" ca="1" si="73"/>
        <v>0.65166403203319134</v>
      </c>
      <c r="BC39" s="177">
        <f t="shared" ca="1" si="73"/>
        <v>0.65169338867213</v>
      </c>
      <c r="BD39" s="177">
        <f t="shared" ca="1" si="73"/>
        <v>0.65172334929680231</v>
      </c>
      <c r="BE39" s="177">
        <f t="shared" ca="1" si="73"/>
        <v>0.65175391110890757</v>
      </c>
      <c r="BF39" s="177">
        <f t="shared" ca="1" si="73"/>
        <v>0.65178507149555276</v>
      </c>
      <c r="BG39" s="177">
        <f t="shared" ca="1" si="73"/>
        <v>0.65181682801416341</v>
      </c>
      <c r="BH39" s="177">
        <f t="shared" ca="1" si="73"/>
        <v>0.65289110054726207</v>
      </c>
      <c r="BI39" s="15"/>
      <c r="BJ39" s="169"/>
    </row>
    <row r="40" spans="1:77" x14ac:dyDescent="0.3">
      <c r="A40" s="1"/>
      <c r="B40" s="46" t="s">
        <v>116</v>
      </c>
      <c r="C40" s="53">
        <f ca="1">IF(Topology="buck",MAX(J104:BG104),MAX(J24:BG24))</f>
        <v>1.9225316797397451</v>
      </c>
      <c r="D40" s="79" t="s">
        <v>169</v>
      </c>
      <c r="E40" s="1"/>
      <c r="F40" s="31"/>
      <c r="H40" s="15" t="s">
        <v>21</v>
      </c>
      <c r="I40" s="178">
        <f t="shared" ref="I40:AN40" ca="1" si="74">I39/(fsw*10^3)*10^6</f>
        <v>0.3256467806573593</v>
      </c>
      <c r="J40" s="178">
        <f t="shared" ca="1" si="74"/>
        <v>0.32601245202095358</v>
      </c>
      <c r="K40" s="178">
        <f t="shared" ca="1" si="74"/>
        <v>0.32589511630018342</v>
      </c>
      <c r="L40" s="178">
        <f t="shared" ca="1" si="74"/>
        <v>0.32580965756239089</v>
      </c>
      <c r="M40" s="178">
        <f t="shared" ca="1" si="74"/>
        <v>0.32574590673103637</v>
      </c>
      <c r="N40" s="178">
        <f t="shared" ca="1" si="74"/>
        <v>0.32569754792020233</v>
      </c>
      <c r="O40" s="178">
        <f t="shared" ca="1" si="74"/>
        <v>0.32566047090266742</v>
      </c>
      <c r="P40" s="178">
        <f t="shared" ca="1" si="74"/>
        <v>0.32563189645563206</v>
      </c>
      <c r="Q40" s="178">
        <f t="shared" ca="1" si="74"/>
        <v>0.32560988522605583</v>
      </c>
      <c r="R40" s="178">
        <f t="shared" ca="1" si="74"/>
        <v>0.32559304779341319</v>
      </c>
      <c r="S40" s="178">
        <f t="shared" ca="1" si="74"/>
        <v>0.32558036624692283</v>
      </c>
      <c r="T40" s="178">
        <f t="shared" ca="1" si="74"/>
        <v>0.32557107971671317</v>
      </c>
      <c r="U40" s="178">
        <f t="shared" ca="1" si="74"/>
        <v>0.3255645890457009</v>
      </c>
      <c r="V40" s="178">
        <f t="shared" ca="1" si="74"/>
        <v>0.32555158083594227</v>
      </c>
      <c r="W40" s="178">
        <f t="shared" ca="1" si="74"/>
        <v>0.32554460104886845</v>
      </c>
      <c r="X40" s="178">
        <f t="shared" ca="1" si="74"/>
        <v>0.3255476871738221</v>
      </c>
      <c r="Y40" s="178">
        <f t="shared" ca="1" si="74"/>
        <v>0.32555133080711873</v>
      </c>
      <c r="Z40" s="178">
        <f t="shared" ca="1" si="74"/>
        <v>0.32555550230443836</v>
      </c>
      <c r="AA40" s="178">
        <f t="shared" ca="1" si="74"/>
        <v>0.32556017599728754</v>
      </c>
      <c r="AB40" s="178">
        <f t="shared" ca="1" si="74"/>
        <v>0.32556532955176232</v>
      </c>
      <c r="AC40" s="178">
        <f t="shared" ca="1" si="74"/>
        <v>0.3255709434468354</v>
      </c>
      <c r="AD40" s="178">
        <f t="shared" ca="1" si="74"/>
        <v>0.32557700054711203</v>
      </c>
      <c r="AE40" s="178">
        <f t="shared" ca="1" si="74"/>
        <v>0.32558348575078888</v>
      </c>
      <c r="AF40" s="178">
        <f t="shared" ca="1" si="74"/>
        <v>0.32559038569788967</v>
      </c>
      <c r="AG40" s="178">
        <f t="shared" ca="1" si="74"/>
        <v>0.32559768852712512</v>
      </c>
      <c r="AH40" s="178">
        <f t="shared" ca="1" si="74"/>
        <v>0.32560538367221831</v>
      </c>
      <c r="AI40" s="178">
        <f t="shared" ca="1" si="74"/>
        <v>0.32561346169044891</v>
      </c>
      <c r="AJ40" s="178">
        <f t="shared" ca="1" si="74"/>
        <v>0.32562191411764346</v>
      </c>
      <c r="AK40" s="178">
        <f t="shared" ca="1" si="74"/>
        <v>0.32563073334498893</v>
      </c>
      <c r="AL40" s="178">
        <f t="shared" ca="1" si="74"/>
        <v>0.32563991251394314</v>
      </c>
      <c r="AM40" s="178">
        <f t="shared" ca="1" si="74"/>
        <v>0.3256494454262247</v>
      </c>
      <c r="AN40" s="178">
        <f t="shared" ca="1" si="74"/>
        <v>0.32565932646642315</v>
      </c>
      <c r="AO40" s="178">
        <f t="shared" ref="AO40:BH40" ca="1" si="75">AO39/(fsw*10^3)*10^6</f>
        <v>0.3256695505352184</v>
      </c>
      <c r="AP40" s="178">
        <f t="shared" ca="1" si="75"/>
        <v>0.32568011299155369</v>
      </c>
      <c r="AQ40" s="178">
        <f t="shared" ca="1" si="75"/>
        <v>0.32569100960239705</v>
      </c>
      <c r="AR40" s="178">
        <f t="shared" ca="1" si="75"/>
        <v>0.32570223649895513</v>
      </c>
      <c r="AS40" s="178">
        <f t="shared" ca="1" si="75"/>
        <v>0.32571379013839669</v>
      </c>
      <c r="AT40" s="178">
        <f t="shared" ca="1" si="75"/>
        <v>0.32572566727029334</v>
      </c>
      <c r="AU40" s="178">
        <f t="shared" ca="1" si="75"/>
        <v>0.32573786490711615</v>
      </c>
      <c r="AV40" s="178">
        <f t="shared" ca="1" si="75"/>
        <v>0.32575038029822678</v>
      </c>
      <c r="AW40" s="178">
        <f t="shared" ca="1" si="75"/>
        <v>0.3257632109068917</v>
      </c>
      <c r="AX40" s="178">
        <f t="shared" ca="1" si="75"/>
        <v>0.32577635438991764</v>
      </c>
      <c r="AY40" s="178">
        <f t="shared" ca="1" si="75"/>
        <v>0.3257898085795663</v>
      </c>
      <c r="AZ40" s="178">
        <f t="shared" ca="1" si="75"/>
        <v>0.32580357146745698</v>
      </c>
      <c r="BA40" s="178">
        <f t="shared" ca="1" si="75"/>
        <v>0.32581764119020706</v>
      </c>
      <c r="BB40" s="178">
        <f t="shared" ca="1" si="75"/>
        <v>0.32583201601659567</v>
      </c>
      <c r="BC40" s="178">
        <f t="shared" ca="1" si="75"/>
        <v>0.325846694336065</v>
      </c>
      <c r="BD40" s="178">
        <f t="shared" ca="1" si="75"/>
        <v>0.32586167464840116</v>
      </c>
      <c r="BE40" s="178">
        <f t="shared" ca="1" si="75"/>
        <v>0.32587695555445378</v>
      </c>
      <c r="BF40" s="178">
        <f t="shared" ca="1" si="75"/>
        <v>0.32589253574777638</v>
      </c>
      <c r="BG40" s="178">
        <f t="shared" ca="1" si="75"/>
        <v>0.3259084140070817</v>
      </c>
      <c r="BH40" s="178">
        <f t="shared" ca="1" si="75"/>
        <v>0.32644555027363104</v>
      </c>
      <c r="BI40" s="15"/>
      <c r="BJ40" s="169"/>
    </row>
    <row r="41" spans="1:77" x14ac:dyDescent="0.3">
      <c r="A41" s="1"/>
      <c r="B41" s="46" t="s">
        <v>127</v>
      </c>
      <c r="C41" s="53">
        <f ca="1">IF(Topology="buck",MAX(J102:BG102),MAX(J22:BG22))</f>
        <v>2.0147495423065558</v>
      </c>
      <c r="D41" s="79" t="s">
        <v>167</v>
      </c>
      <c r="E41" s="1"/>
      <c r="F41" s="31"/>
      <c r="H41" s="15" t="s">
        <v>22</v>
      </c>
      <c r="I41" s="178">
        <f t="shared" ref="I41:AN41" ca="1" si="76">1/(fsw*10^-3)-I40</f>
        <v>0.1743532193426407</v>
      </c>
      <c r="J41" s="178">
        <f t="shared" ca="1" si="76"/>
        <v>0.17398754797904642</v>
      </c>
      <c r="K41" s="178">
        <f t="shared" ca="1" si="76"/>
        <v>0.17410488369981658</v>
      </c>
      <c r="L41" s="178">
        <f t="shared" ca="1" si="76"/>
        <v>0.17419034243760911</v>
      </c>
      <c r="M41" s="178">
        <f t="shared" ca="1" si="76"/>
        <v>0.17425409326896363</v>
      </c>
      <c r="N41" s="178">
        <f t="shared" ca="1" si="76"/>
        <v>0.17430245207979767</v>
      </c>
      <c r="O41" s="178">
        <f t="shared" ca="1" si="76"/>
        <v>0.17433952909733258</v>
      </c>
      <c r="P41" s="178">
        <f t="shared" ca="1" si="76"/>
        <v>0.17436810354436794</v>
      </c>
      <c r="Q41" s="178">
        <f t="shared" ca="1" si="76"/>
        <v>0.17439011477394417</v>
      </c>
      <c r="R41" s="178">
        <f t="shared" ca="1" si="76"/>
        <v>0.17440695220658681</v>
      </c>
      <c r="S41" s="178">
        <f t="shared" ca="1" si="76"/>
        <v>0.17441963375307717</v>
      </c>
      <c r="T41" s="178">
        <f t="shared" ca="1" si="76"/>
        <v>0.17442892028328683</v>
      </c>
      <c r="U41" s="178">
        <f t="shared" ca="1" si="76"/>
        <v>0.1744354109542991</v>
      </c>
      <c r="V41" s="178">
        <f t="shared" ca="1" si="76"/>
        <v>0.17444841916405773</v>
      </c>
      <c r="W41" s="178">
        <f t="shared" ca="1" si="76"/>
        <v>0.17445539895113155</v>
      </c>
      <c r="X41" s="178">
        <f t="shared" ca="1" si="76"/>
        <v>0.1744523128261779</v>
      </c>
      <c r="Y41" s="178">
        <f t="shared" ca="1" si="76"/>
        <v>0.17444866919288127</v>
      </c>
      <c r="Z41" s="178">
        <f t="shared" ca="1" si="76"/>
        <v>0.17444449769556164</v>
      </c>
      <c r="AA41" s="178">
        <f t="shared" ca="1" si="76"/>
        <v>0.17443982400271246</v>
      </c>
      <c r="AB41" s="178">
        <f t="shared" ca="1" si="76"/>
        <v>0.17443467044823768</v>
      </c>
      <c r="AC41" s="178">
        <f t="shared" ca="1" si="76"/>
        <v>0.1744290565531646</v>
      </c>
      <c r="AD41" s="178">
        <f t="shared" ca="1" si="76"/>
        <v>0.17442299945288797</v>
      </c>
      <c r="AE41" s="178">
        <f t="shared" ca="1" si="76"/>
        <v>0.17441651424921112</v>
      </c>
      <c r="AF41" s="178">
        <f t="shared" ca="1" si="76"/>
        <v>0.17440961430211033</v>
      </c>
      <c r="AG41" s="178">
        <f t="shared" ca="1" si="76"/>
        <v>0.17440231147287488</v>
      </c>
      <c r="AH41" s="178">
        <f t="shared" ca="1" si="76"/>
        <v>0.17439461632778169</v>
      </c>
      <c r="AI41" s="178">
        <f t="shared" ca="1" si="76"/>
        <v>0.17438653830955109</v>
      </c>
      <c r="AJ41" s="178">
        <f t="shared" ca="1" si="76"/>
        <v>0.17437808588235654</v>
      </c>
      <c r="AK41" s="178">
        <f t="shared" ca="1" si="76"/>
        <v>0.17436926665501107</v>
      </c>
      <c r="AL41" s="178">
        <f t="shared" ca="1" si="76"/>
        <v>0.17436008748605686</v>
      </c>
      <c r="AM41" s="178">
        <f t="shared" ca="1" si="76"/>
        <v>0.1743505545737753</v>
      </c>
      <c r="AN41" s="178">
        <f t="shared" ca="1" si="76"/>
        <v>0.17434067353357685</v>
      </c>
      <c r="AO41" s="178">
        <f t="shared" ref="AO41:BH41" ca="1" si="77">1/(fsw*10^-3)-AO40</f>
        <v>0.1743304494647816</v>
      </c>
      <c r="AP41" s="178">
        <f t="shared" ca="1" si="77"/>
        <v>0.17431988700844631</v>
      </c>
      <c r="AQ41" s="178">
        <f t="shared" ca="1" si="77"/>
        <v>0.17430899039760295</v>
      </c>
      <c r="AR41" s="178">
        <f t="shared" ca="1" si="77"/>
        <v>0.17429776350104487</v>
      </c>
      <c r="AS41" s="178">
        <f t="shared" ca="1" si="77"/>
        <v>0.17428620986160331</v>
      </c>
      <c r="AT41" s="178">
        <f t="shared" ca="1" si="77"/>
        <v>0.17427433272970666</v>
      </c>
      <c r="AU41" s="178">
        <f t="shared" ca="1" si="77"/>
        <v>0.17426213509288385</v>
      </c>
      <c r="AV41" s="178">
        <f t="shared" ca="1" si="77"/>
        <v>0.17424961970177322</v>
      </c>
      <c r="AW41" s="178">
        <f t="shared" ca="1" si="77"/>
        <v>0.1742367890931083</v>
      </c>
      <c r="AX41" s="178">
        <f t="shared" ca="1" si="77"/>
        <v>0.17422364561008236</v>
      </c>
      <c r="AY41" s="178">
        <f t="shared" ca="1" si="77"/>
        <v>0.1742101914204337</v>
      </c>
      <c r="AZ41" s="178">
        <f t="shared" ca="1" si="77"/>
        <v>0.17419642853254302</v>
      </c>
      <c r="BA41" s="178">
        <f t="shared" ca="1" si="77"/>
        <v>0.17418235880979294</v>
      </c>
      <c r="BB41" s="178">
        <f t="shared" ca="1" si="77"/>
        <v>0.17416798398340433</v>
      </c>
      <c r="BC41" s="178">
        <f t="shared" ca="1" si="77"/>
        <v>0.174153305663935</v>
      </c>
      <c r="BD41" s="178">
        <f t="shared" ca="1" si="77"/>
        <v>0.17413832535159884</v>
      </c>
      <c r="BE41" s="178">
        <f t="shared" ca="1" si="77"/>
        <v>0.17412304444554622</v>
      </c>
      <c r="BF41" s="178">
        <f t="shared" ca="1" si="77"/>
        <v>0.17410746425222362</v>
      </c>
      <c r="BG41" s="178">
        <f t="shared" ca="1" si="77"/>
        <v>0.1740915859929183</v>
      </c>
      <c r="BH41" s="178">
        <f t="shared" ca="1" si="77"/>
        <v>0.17355444972636896</v>
      </c>
      <c r="BI41" s="15"/>
      <c r="BJ41" s="169"/>
    </row>
    <row r="42" spans="1:77" s="4" customFormat="1" x14ac:dyDescent="0.3">
      <c r="A42" s="1"/>
      <c r="B42" s="106" t="s">
        <v>117</v>
      </c>
      <c r="C42" s="109">
        <f ca="1">ROUNDDOWN(0.033*Vreg*Iout_PreReg/C40^2*1000,0)</f>
        <v>39</v>
      </c>
      <c r="D42" s="110" t="s">
        <v>168</v>
      </c>
      <c r="E42" s="1"/>
      <c r="F42" s="31"/>
      <c r="G42" s="170"/>
      <c r="H42" s="15" t="s">
        <v>84</v>
      </c>
      <c r="I42" s="171">
        <f t="shared" ref="I42:AN42" ca="1" si="78">I37*I39/(1-I39)-Iout_sync_buck*(I53+dcr_2*10^-3)</f>
        <v>3.2999999999999989</v>
      </c>
      <c r="J42" s="171">
        <f t="shared" ca="1" si="78"/>
        <v>3.2999999999999989</v>
      </c>
      <c r="K42" s="171">
        <f t="shared" ca="1" si="78"/>
        <v>3.3</v>
      </c>
      <c r="L42" s="171">
        <f t="shared" ca="1" si="78"/>
        <v>3.2999999999999989</v>
      </c>
      <c r="M42" s="171">
        <f t="shared" ca="1" si="78"/>
        <v>3.3000000000000003</v>
      </c>
      <c r="N42" s="171">
        <f t="shared" ca="1" si="78"/>
        <v>3.2999999999999994</v>
      </c>
      <c r="O42" s="171">
        <f t="shared" ca="1" si="78"/>
        <v>3.3000000000000003</v>
      </c>
      <c r="P42" s="171">
        <f t="shared" ca="1" si="78"/>
        <v>3.2999999999999994</v>
      </c>
      <c r="Q42" s="171">
        <f t="shared" ca="1" si="78"/>
        <v>3.3</v>
      </c>
      <c r="R42" s="171">
        <f t="shared" ca="1" si="78"/>
        <v>3.2999999999999994</v>
      </c>
      <c r="S42" s="171">
        <f t="shared" ca="1" si="78"/>
        <v>3.2999999999999989</v>
      </c>
      <c r="T42" s="171">
        <f t="shared" ca="1" si="78"/>
        <v>3.2999999999999989</v>
      </c>
      <c r="U42" s="171">
        <f t="shared" ca="1" si="78"/>
        <v>3.2999999999999989</v>
      </c>
      <c r="V42" s="171">
        <f t="shared" ca="1" si="78"/>
        <v>3.3000000000000007</v>
      </c>
      <c r="W42" s="171">
        <f t="shared" ca="1" si="78"/>
        <v>3.2999999999999994</v>
      </c>
      <c r="X42" s="171">
        <f t="shared" ca="1" si="78"/>
        <v>3.3000000000000003</v>
      </c>
      <c r="Y42" s="171">
        <f t="shared" ca="1" si="78"/>
        <v>3.2999999999999994</v>
      </c>
      <c r="Z42" s="171">
        <f t="shared" ca="1" si="78"/>
        <v>3.2999999999999989</v>
      </c>
      <c r="AA42" s="171">
        <f t="shared" ca="1" si="78"/>
        <v>3.299999999999998</v>
      </c>
      <c r="AB42" s="171">
        <f t="shared" ca="1" si="78"/>
        <v>3.3</v>
      </c>
      <c r="AC42" s="171">
        <f t="shared" ca="1" si="78"/>
        <v>3.3000000000000007</v>
      </c>
      <c r="AD42" s="171">
        <f t="shared" ca="1" si="78"/>
        <v>3.3000000000000007</v>
      </c>
      <c r="AE42" s="171">
        <f t="shared" ca="1" si="78"/>
        <v>3.2999999999999994</v>
      </c>
      <c r="AF42" s="171">
        <f t="shared" ca="1" si="78"/>
        <v>3.2999999999999985</v>
      </c>
      <c r="AG42" s="171">
        <f t="shared" ca="1" si="78"/>
        <v>3.2999999999999989</v>
      </c>
      <c r="AH42" s="171">
        <f t="shared" ca="1" si="78"/>
        <v>3.2999999999999994</v>
      </c>
      <c r="AI42" s="171">
        <f t="shared" ca="1" si="78"/>
        <v>3.2999999999999994</v>
      </c>
      <c r="AJ42" s="171">
        <f t="shared" ca="1" si="78"/>
        <v>3.3</v>
      </c>
      <c r="AK42" s="171">
        <f t="shared" ca="1" si="78"/>
        <v>3.3</v>
      </c>
      <c r="AL42" s="171">
        <f t="shared" ca="1" si="78"/>
        <v>3.2999999999999994</v>
      </c>
      <c r="AM42" s="171">
        <f t="shared" ca="1" si="78"/>
        <v>3.2999999999999994</v>
      </c>
      <c r="AN42" s="171">
        <f t="shared" ca="1" si="78"/>
        <v>3.2999999999999985</v>
      </c>
      <c r="AO42" s="171">
        <f t="shared" ref="AO42:BH42" ca="1" si="79">AO37*AO39/(1-AO39)-Iout_sync_buck*(AO53+dcr_2*10^-3)</f>
        <v>3.3</v>
      </c>
      <c r="AP42" s="171">
        <f t="shared" ca="1" si="79"/>
        <v>3.2999999999999989</v>
      </c>
      <c r="AQ42" s="171">
        <f t="shared" ca="1" si="79"/>
        <v>3.2999999999999994</v>
      </c>
      <c r="AR42" s="171">
        <f t="shared" ca="1" si="79"/>
        <v>3.2999999999999985</v>
      </c>
      <c r="AS42" s="171">
        <f t="shared" ca="1" si="79"/>
        <v>3.2999999999999994</v>
      </c>
      <c r="AT42" s="171">
        <f t="shared" ca="1" si="79"/>
        <v>3.299999999999998</v>
      </c>
      <c r="AU42" s="171">
        <f t="shared" ca="1" si="79"/>
        <v>3.2999999999999989</v>
      </c>
      <c r="AV42" s="171">
        <f t="shared" ca="1" si="79"/>
        <v>3.3000000000000003</v>
      </c>
      <c r="AW42" s="171">
        <f t="shared" ca="1" si="79"/>
        <v>3.3000000000000003</v>
      </c>
      <c r="AX42" s="171">
        <f t="shared" ca="1" si="79"/>
        <v>3.2999999999999994</v>
      </c>
      <c r="AY42" s="171">
        <f t="shared" ca="1" si="79"/>
        <v>3.3</v>
      </c>
      <c r="AZ42" s="171">
        <f t="shared" ca="1" si="79"/>
        <v>3.3</v>
      </c>
      <c r="BA42" s="171">
        <f t="shared" ca="1" si="79"/>
        <v>3.2999999999999994</v>
      </c>
      <c r="BB42" s="171">
        <f t="shared" ca="1" si="79"/>
        <v>3.3000000000000003</v>
      </c>
      <c r="BC42" s="171">
        <f t="shared" ca="1" si="79"/>
        <v>3.3</v>
      </c>
      <c r="BD42" s="171">
        <f t="shared" ca="1" si="79"/>
        <v>3.2999999999999994</v>
      </c>
      <c r="BE42" s="171">
        <f t="shared" ca="1" si="79"/>
        <v>3.2999999999999994</v>
      </c>
      <c r="BF42" s="171">
        <f t="shared" ca="1" si="79"/>
        <v>3.3000000000000007</v>
      </c>
      <c r="BG42" s="171">
        <f t="shared" ca="1" si="79"/>
        <v>3.299999999999998</v>
      </c>
      <c r="BH42" s="171">
        <f t="shared" ca="1" si="79"/>
        <v>3.2999999999999994</v>
      </c>
      <c r="BI42" s="15"/>
      <c r="BJ42" s="169"/>
      <c r="BK42" s="99"/>
      <c r="BL42" s="99"/>
      <c r="BM42" s="99"/>
      <c r="BN42" s="99"/>
      <c r="BO42" s="99"/>
      <c r="BP42" s="230"/>
      <c r="BQ42" s="230"/>
      <c r="BR42" s="230"/>
      <c r="BS42" s="230"/>
      <c r="BT42" s="230"/>
      <c r="BU42" s="230"/>
      <c r="BV42" s="99"/>
      <c r="BW42" s="99"/>
      <c r="BX42" s="99"/>
      <c r="BY42" s="99"/>
    </row>
    <row r="43" spans="1:77" s="4" customFormat="1" x14ac:dyDescent="0.3">
      <c r="A43" s="1"/>
      <c r="B43" s="268" t="s">
        <v>341</v>
      </c>
      <c r="C43" s="278">
        <v>4.7</v>
      </c>
      <c r="D43" s="80" t="s">
        <v>352</v>
      </c>
      <c r="E43" s="1"/>
      <c r="F43" s="31"/>
      <c r="G43" s="170"/>
      <c r="H43" s="15" t="s">
        <v>41</v>
      </c>
      <c r="I43" s="180">
        <f t="shared" ref="I43:AN43" ca="1" si="80">Iout_sync_buck+I44/2</f>
        <v>0.76382643881664525</v>
      </c>
      <c r="J43" s="180">
        <f t="shared" ca="1" si="80"/>
        <v>0.7637640963962482</v>
      </c>
      <c r="K43" s="180">
        <f t="shared" ca="1" si="80"/>
        <v>0.76378413343375173</v>
      </c>
      <c r="L43" s="180">
        <f t="shared" ca="1" si="80"/>
        <v>0.76379870746093881</v>
      </c>
      <c r="M43" s="180">
        <f t="shared" ca="1" si="80"/>
        <v>0.76380956875550865</v>
      </c>
      <c r="N43" s="180">
        <f t="shared" ca="1" si="80"/>
        <v>0.76381780160118351</v>
      </c>
      <c r="O43" s="180">
        <f t="shared" ca="1" si="80"/>
        <v>0.76382411021700269</v>
      </c>
      <c r="P43" s="180">
        <f t="shared" ca="1" si="80"/>
        <v>0.76382897002047745</v>
      </c>
      <c r="Q43" s="180">
        <f t="shared" ca="1" si="80"/>
        <v>0.76383271233204642</v>
      </c>
      <c r="R43" s="180">
        <f t="shared" ca="1" si="80"/>
        <v>0.76383557426819926</v>
      </c>
      <c r="S43" s="180">
        <f t="shared" ca="1" si="80"/>
        <v>0.76383772938837713</v>
      </c>
      <c r="T43" s="180">
        <f t="shared" ca="1" si="80"/>
        <v>0.76383930732529004</v>
      </c>
      <c r="U43" s="180">
        <f t="shared" ca="1" si="80"/>
        <v>0.76384041008381254</v>
      </c>
      <c r="V43" s="180">
        <f t="shared" ca="1" si="80"/>
        <v>0.76384261988052327</v>
      </c>
      <c r="W43" s="180">
        <f t="shared" ca="1" si="80"/>
        <v>0.76384380542954944</v>
      </c>
      <c r="X43" s="180">
        <f t="shared" ca="1" si="80"/>
        <v>0.76384328125050061</v>
      </c>
      <c r="Y43" s="180">
        <f t="shared" ca="1" si="80"/>
        <v>0.76384266235096365</v>
      </c>
      <c r="Z43" s="180">
        <f t="shared" ca="1" si="80"/>
        <v>0.76384195375295683</v>
      </c>
      <c r="AA43" s="180">
        <f t="shared" ca="1" si="80"/>
        <v>0.76384115980223788</v>
      </c>
      <c r="AB43" s="180">
        <f t="shared" ca="1" si="80"/>
        <v>0.76384028427735895</v>
      </c>
      <c r="AC43" s="180">
        <f t="shared" ca="1" si="80"/>
        <v>0.7638393304783796</v>
      </c>
      <c r="AD43" s="180">
        <f t="shared" ca="1" si="80"/>
        <v>0.76383830129950903</v>
      </c>
      <c r="AE43" s="180">
        <f t="shared" ca="1" si="80"/>
        <v>0.76383719928895322</v>
      </c>
      <c r="AF43" s="180">
        <f t="shared" ca="1" si="80"/>
        <v>0.76383602669851036</v>
      </c>
      <c r="AG43" s="180">
        <f t="shared" ca="1" si="80"/>
        <v>0.76383478552489592</v>
      </c>
      <c r="AH43" s="180">
        <f t="shared" ca="1" si="80"/>
        <v>0.76383347754435738</v>
      </c>
      <c r="AI43" s="180">
        <f t="shared" ca="1" si="80"/>
        <v>0.76383210434180981</v>
      </c>
      <c r="AJ43" s="180">
        <f t="shared" ca="1" si="80"/>
        <v>0.76383066733547622</v>
      </c>
      <c r="AK43" s="180">
        <f t="shared" ca="1" si="80"/>
        <v>0.76382916779781684</v>
      </c>
      <c r="AL43" s="180">
        <f t="shared" ca="1" si="80"/>
        <v>0.76382760687338391</v>
      </c>
      <c r="AM43" s="180">
        <f t="shared" ca="1" si="80"/>
        <v>0.76382598559411141</v>
      </c>
      <c r="AN43" s="180">
        <f t="shared" ca="1" si="80"/>
        <v>0.76382430489246211</v>
      </c>
      <c r="AO43" s="180">
        <f t="shared" ref="AO43:BH43" ca="1" si="81">Iout_sync_buck+AO44/2</f>
        <v>0.76382256561277018</v>
      </c>
      <c r="AP43" s="180">
        <f t="shared" ca="1" si="81"/>
        <v>0.76382076852106251</v>
      </c>
      <c r="AQ43" s="180">
        <f t="shared" ca="1" si="81"/>
        <v>0.76381891431359172</v>
      </c>
      <c r="AR43" s="180">
        <f t="shared" ca="1" si="81"/>
        <v>0.76381700362427196</v>
      </c>
      <c r="AS43" s="180">
        <f t="shared" ca="1" si="81"/>
        <v>0.7638150370311787</v>
      </c>
      <c r="AT43" s="180">
        <f t="shared" ca="1" si="81"/>
        <v>0.76381301506224741</v>
      </c>
      <c r="AU43" s="180">
        <f t="shared" ca="1" si="81"/>
        <v>0.76381093820028334</v>
      </c>
      <c r="AV43" s="180">
        <f t="shared" ca="1" si="81"/>
        <v>0.76380880688737762</v>
      </c>
      <c r="AW43" s="180">
        <f t="shared" ca="1" si="81"/>
        <v>0.76380662152880996</v>
      </c>
      <c r="AX43" s="180">
        <f t="shared" ca="1" si="81"/>
        <v>0.76380438249650551</v>
      </c>
      <c r="AY43" s="180">
        <f t="shared" ca="1" si="81"/>
        <v>0.76380209013210631</v>
      </c>
      <c r="AZ43" s="180">
        <f t="shared" ca="1" si="81"/>
        <v>0.7637997447497028</v>
      </c>
      <c r="BA43" s="180">
        <f t="shared" ca="1" si="81"/>
        <v>0.76379734663827215</v>
      </c>
      <c r="BB43" s="180">
        <f t="shared" ca="1" si="81"/>
        <v>0.76379489606385709</v>
      </c>
      <c r="BC43" s="180">
        <f t="shared" ca="1" si="81"/>
        <v>0.76379239327151771</v>
      </c>
      <c r="BD43" s="180">
        <f t="shared" ca="1" si="81"/>
        <v>0.76378983848708293</v>
      </c>
      <c r="BE43" s="180">
        <f t="shared" ca="1" si="81"/>
        <v>0.76378723191872611</v>
      </c>
      <c r="BF43" s="180">
        <f t="shared" ca="1" si="81"/>
        <v>0.76378457375838316</v>
      </c>
      <c r="BG43" s="180">
        <f t="shared" ca="1" si="81"/>
        <v>0.76378186418303351</v>
      </c>
      <c r="BH43" s="180">
        <f t="shared" ca="1" si="81"/>
        <v>0.76368986963519181</v>
      </c>
      <c r="BI43" s="15"/>
      <c r="BJ43" s="169"/>
      <c r="BK43" s="99"/>
      <c r="BL43" s="99"/>
      <c r="BM43" s="99"/>
      <c r="BN43" s="99"/>
      <c r="BO43" s="99"/>
      <c r="BP43" s="230"/>
      <c r="BQ43" s="230"/>
      <c r="BR43" s="230"/>
      <c r="BS43" s="230"/>
      <c r="BT43" s="230"/>
      <c r="BU43" s="230"/>
      <c r="BV43" s="99"/>
      <c r="BW43" s="99"/>
      <c r="BX43" s="99"/>
      <c r="BY43" s="99"/>
    </row>
    <row r="44" spans="1:77" s="4" customFormat="1" x14ac:dyDescent="0.3">
      <c r="A44" s="1"/>
      <c r="B44" s="43" t="s">
        <v>46</v>
      </c>
      <c r="C44" s="120">
        <v>37</v>
      </c>
      <c r="D44" s="80" t="s">
        <v>353</v>
      </c>
      <c r="E44" s="1"/>
      <c r="F44" s="31"/>
      <c r="G44" s="170"/>
      <c r="H44" s="183" t="s">
        <v>322</v>
      </c>
      <c r="I44" s="180">
        <f t="shared" ref="I44:AN44" ca="1" si="82">I37*I39/(L_buck2*10^-6*fsw*10^3)</f>
        <v>0.12765287763329067</v>
      </c>
      <c r="J44" s="180">
        <f t="shared" ca="1" si="82"/>
        <v>0.12752819279249644</v>
      </c>
      <c r="K44" s="180">
        <f t="shared" ca="1" si="82"/>
        <v>0.1275682668675035</v>
      </c>
      <c r="L44" s="180">
        <f t="shared" ca="1" si="82"/>
        <v>0.12759741492187765</v>
      </c>
      <c r="M44" s="180">
        <f t="shared" ca="1" si="82"/>
        <v>0.12761913751101744</v>
      </c>
      <c r="N44" s="180">
        <f t="shared" ca="1" si="82"/>
        <v>0.12763560320236705</v>
      </c>
      <c r="O44" s="180">
        <f t="shared" ca="1" si="82"/>
        <v>0.12764822043400559</v>
      </c>
      <c r="P44" s="180">
        <f t="shared" ca="1" si="82"/>
        <v>0.12765794004095504</v>
      </c>
      <c r="Q44" s="180">
        <f t="shared" ca="1" si="82"/>
        <v>0.12766542466409295</v>
      </c>
      <c r="R44" s="180">
        <f t="shared" ca="1" si="82"/>
        <v>0.12767114853639872</v>
      </c>
      <c r="S44" s="180">
        <f t="shared" ca="1" si="82"/>
        <v>0.12767545877675429</v>
      </c>
      <c r="T44" s="180">
        <f t="shared" ca="1" si="82"/>
        <v>0.1276786146505802</v>
      </c>
      <c r="U44" s="180">
        <f t="shared" ca="1" si="82"/>
        <v>0.12768082016762514</v>
      </c>
      <c r="V44" s="180">
        <f t="shared" ca="1" si="82"/>
        <v>0.1276852397610467</v>
      </c>
      <c r="W44" s="180">
        <f t="shared" ca="1" si="82"/>
        <v>0.12768761085909899</v>
      </c>
      <c r="X44" s="180">
        <f t="shared" ca="1" si="82"/>
        <v>0.12768656250100135</v>
      </c>
      <c r="Y44" s="180">
        <f t="shared" ca="1" si="82"/>
        <v>0.12768532470192742</v>
      </c>
      <c r="Z44" s="180">
        <f t="shared" ca="1" si="82"/>
        <v>0.12768390750591363</v>
      </c>
      <c r="AA44" s="180">
        <f t="shared" ca="1" si="82"/>
        <v>0.12768231960447593</v>
      </c>
      <c r="AB44" s="180">
        <f t="shared" ca="1" si="82"/>
        <v>0.12768056855471796</v>
      </c>
      <c r="AC44" s="180">
        <f t="shared" ca="1" si="82"/>
        <v>0.12767866095675934</v>
      </c>
      <c r="AD44" s="180">
        <f t="shared" ca="1" si="82"/>
        <v>0.1276766025990182</v>
      </c>
      <c r="AE44" s="180">
        <f t="shared" ca="1" si="82"/>
        <v>0.12767439857790661</v>
      </c>
      <c r="AF44" s="180">
        <f t="shared" ca="1" si="82"/>
        <v>0.12767205339702076</v>
      </c>
      <c r="AG44" s="180">
        <f t="shared" ca="1" si="82"/>
        <v>0.12766957104979199</v>
      </c>
      <c r="AH44" s="180">
        <f t="shared" ca="1" si="82"/>
        <v>0.12766695508871487</v>
      </c>
      <c r="AI44" s="180">
        <f t="shared" ca="1" si="82"/>
        <v>0.1276642086836198</v>
      </c>
      <c r="AJ44" s="180">
        <f t="shared" ca="1" si="82"/>
        <v>0.12766133467095248</v>
      </c>
      <c r="AK44" s="180">
        <f t="shared" ca="1" si="82"/>
        <v>0.12765833559563386</v>
      </c>
      <c r="AL44" s="180">
        <f t="shared" ca="1" si="82"/>
        <v>0.12765521374676783</v>
      </c>
      <c r="AM44" s="180">
        <f t="shared" ca="1" si="82"/>
        <v>0.12765197118822297</v>
      </c>
      <c r="AN44" s="180">
        <f t="shared" ca="1" si="82"/>
        <v>0.1276486097849244</v>
      </c>
      <c r="AO44" s="180">
        <f t="shared" ref="AO44:BH44" ca="1" si="83">AO37*AO39/(L_buck2*10^-6*fsw*10^3)</f>
        <v>0.12764513122554036</v>
      </c>
      <c r="AP44" s="180">
        <f t="shared" ca="1" si="83"/>
        <v>0.12764153704212503</v>
      </c>
      <c r="AQ44" s="180">
        <f t="shared" ca="1" si="83"/>
        <v>0.12763782862718359</v>
      </c>
      <c r="AR44" s="180">
        <f t="shared" ca="1" si="83"/>
        <v>0.12763400724854412</v>
      </c>
      <c r="AS44" s="180">
        <f t="shared" ca="1" si="83"/>
        <v>0.12763007406235755</v>
      </c>
      <c r="AT44" s="180">
        <f t="shared" ca="1" si="83"/>
        <v>0.12762603012449486</v>
      </c>
      <c r="AU44" s="180">
        <f t="shared" ca="1" si="83"/>
        <v>0.12762187640056674</v>
      </c>
      <c r="AV44" s="180">
        <f t="shared" ca="1" si="83"/>
        <v>0.12761761377475539</v>
      </c>
      <c r="AW44" s="180">
        <f t="shared" ca="1" si="83"/>
        <v>0.12761324305761992</v>
      </c>
      <c r="AX44" s="180">
        <f t="shared" ca="1" si="83"/>
        <v>0.12760876499301121</v>
      </c>
      <c r="AY44" s="180">
        <f t="shared" ca="1" si="83"/>
        <v>0.12760418026421275</v>
      </c>
      <c r="AZ44" s="180">
        <f t="shared" ca="1" si="83"/>
        <v>0.12759948949940564</v>
      </c>
      <c r="BA44" s="180">
        <f t="shared" ca="1" si="83"/>
        <v>0.1275946932765443</v>
      </c>
      <c r="BB44" s="180">
        <f t="shared" ca="1" si="83"/>
        <v>0.12758979212771418</v>
      </c>
      <c r="BC44" s="180">
        <f t="shared" ca="1" si="83"/>
        <v>0.12758478654303543</v>
      </c>
      <c r="BD44" s="180">
        <f t="shared" ca="1" si="83"/>
        <v>0.12757967697416606</v>
      </c>
      <c r="BE44" s="180">
        <f t="shared" ca="1" si="83"/>
        <v>0.1275744638374523</v>
      </c>
      <c r="BF44" s="180">
        <f t="shared" ca="1" si="83"/>
        <v>0.12756914751676635</v>
      </c>
      <c r="BG44" s="180">
        <f t="shared" ca="1" si="83"/>
        <v>0.12756372836606714</v>
      </c>
      <c r="BH44" s="180">
        <f t="shared" ca="1" si="83"/>
        <v>0.12737973927038371</v>
      </c>
      <c r="BI44" s="15"/>
      <c r="BJ44" s="169"/>
      <c r="BK44" s="99"/>
      <c r="BL44" s="99"/>
      <c r="BM44" s="99"/>
      <c r="BN44" s="99"/>
      <c r="BO44" s="99"/>
      <c r="BP44" s="230"/>
      <c r="BQ44" s="230"/>
      <c r="BR44" s="230"/>
      <c r="BS44" s="230"/>
      <c r="BT44" s="230"/>
      <c r="BU44" s="230"/>
      <c r="BV44" s="99"/>
      <c r="BW44" s="99"/>
      <c r="BX44" s="99"/>
      <c r="BY44" s="99"/>
    </row>
    <row r="45" spans="1:77" s="4" customFormat="1" ht="15" thickBot="1" x14ac:dyDescent="0.35">
      <c r="A45" s="1"/>
      <c r="B45" s="44" t="s">
        <v>101</v>
      </c>
      <c r="C45" s="81">
        <f ca="1">I103/Iout_PreReg</f>
        <v>0.38925155505703507</v>
      </c>
      <c r="D45" s="82" t="s">
        <v>190</v>
      </c>
      <c r="E45" s="31"/>
      <c r="F45" s="31"/>
      <c r="G45" s="170"/>
      <c r="H45" s="183" t="s">
        <v>59</v>
      </c>
      <c r="I45" s="180">
        <f ca="1">SQRT((I43-I44/2)^2+I44^2/12)</f>
        <v>0.70096928470321596</v>
      </c>
      <c r="J45" s="180">
        <f t="shared" ref="J45:BH45" ca="1" si="84">SQRT((J43-J44/2)^2+J44^2/12)</f>
        <v>0.7009673934378664</v>
      </c>
      <c r="K45" s="180">
        <f t="shared" ca="1" si="84"/>
        <v>0.70096800109512714</v>
      </c>
      <c r="L45" s="180">
        <f t="shared" ca="1" si="84"/>
        <v>0.70096844319690699</v>
      </c>
      <c r="M45" s="180">
        <f t="shared" ca="1" si="84"/>
        <v>0.70096877273878699</v>
      </c>
      <c r="N45" s="180">
        <f t="shared" ca="1" si="84"/>
        <v>0.70096902256833193</v>
      </c>
      <c r="O45" s="180">
        <f t="shared" ca="1" si="84"/>
        <v>0.70096921402797518</v>
      </c>
      <c r="P45" s="180">
        <f t="shared" ca="1" si="84"/>
        <v>0.70096936153060563</v>
      </c>
      <c r="Q45" s="180">
        <f t="shared" ca="1" si="84"/>
        <v>0.70096947512324326</v>
      </c>
      <c r="R45" s="180">
        <f t="shared" ca="1" si="84"/>
        <v>0.70096956199779714</v>
      </c>
      <c r="S45" s="180">
        <f t="shared" ca="1" si="84"/>
        <v>0.70096962741939672</v>
      </c>
      <c r="T45" s="180">
        <f t="shared" ca="1" si="84"/>
        <v>0.70096967532121124</v>
      </c>
      <c r="U45" s="180">
        <f t="shared" ca="1" si="84"/>
        <v>0.70096970879862064</v>
      </c>
      <c r="V45" s="180">
        <f t="shared" ca="1" si="84"/>
        <v>0.7009697758850969</v>
      </c>
      <c r="W45" s="180">
        <f t="shared" ca="1" si="84"/>
        <v>0.7009698118777361</v>
      </c>
      <c r="X45" s="180">
        <f t="shared" ca="1" si="84"/>
        <v>0.70096979596385611</v>
      </c>
      <c r="Y45" s="180">
        <f t="shared" ca="1" si="84"/>
        <v>0.7009697771744654</v>
      </c>
      <c r="Z45" s="180">
        <f t="shared" ca="1" si="84"/>
        <v>0.70096975566210995</v>
      </c>
      <c r="AA45" s="180">
        <f t="shared" ca="1" si="84"/>
        <v>0.70096973155881104</v>
      </c>
      <c r="AB45" s="180">
        <f t="shared" ca="1" si="84"/>
        <v>0.7009697049793745</v>
      </c>
      <c r="AC45" s="180">
        <f t="shared" ca="1" si="84"/>
        <v>0.70096967602408389</v>
      </c>
      <c r="AD45" s="180">
        <f t="shared" ca="1" si="84"/>
        <v>0.70096964478090551</v>
      </c>
      <c r="AE45" s="180">
        <f t="shared" ca="1" si="84"/>
        <v>0.70096961132730462</v>
      </c>
      <c r="AF45" s="180">
        <f t="shared" ca="1" si="84"/>
        <v>0.700969575731751</v>
      </c>
      <c r="AG45" s="180">
        <f t="shared" ca="1" si="84"/>
        <v>0.70096953805497364</v>
      </c>
      <c r="AH45" s="180">
        <f t="shared" ca="1" si="84"/>
        <v>0.70096949835101141</v>
      </c>
      <c r="AI45" s="180">
        <f t="shared" ca="1" si="84"/>
        <v>0.70096945666809751</v>
      </c>
      <c r="AJ45" s="180">
        <f t="shared" ca="1" si="84"/>
        <v>0.70096941304940741</v>
      </c>
      <c r="AK45" s="180">
        <f t="shared" ca="1" si="84"/>
        <v>0.70096936753369421</v>
      </c>
      <c r="AL45" s="180">
        <f t="shared" ca="1" si="84"/>
        <v>0.7009693201558308</v>
      </c>
      <c r="AM45" s="180">
        <f t="shared" ca="1" si="84"/>
        <v>0.70096927094727424</v>
      </c>
      <c r="AN45" s="180">
        <f t="shared" ca="1" si="84"/>
        <v>0.70096921993646433</v>
      </c>
      <c r="AO45" s="180">
        <f t="shared" ca="1" si="84"/>
        <v>0.70096916714916835</v>
      </c>
      <c r="AP45" s="180">
        <f t="shared" ca="1" si="84"/>
        <v>0.70096911260877937</v>
      </c>
      <c r="AQ45" s="180">
        <f t="shared" ca="1" si="84"/>
        <v>0.70096905633657502</v>
      </c>
      <c r="AR45" s="180">
        <f t="shared" ca="1" si="84"/>
        <v>0.70096899835194337</v>
      </c>
      <c r="AS45" s="180">
        <f t="shared" ca="1" si="84"/>
        <v>0.70096893867258014</v>
      </c>
      <c r="AT45" s="180">
        <f t="shared" ca="1" si="84"/>
        <v>0.70096887731466229</v>
      </c>
      <c r="AU45" s="180">
        <f t="shared" ca="1" si="84"/>
        <v>0.70096881429299929</v>
      </c>
      <c r="AV45" s="180">
        <f t="shared" ca="1" si="84"/>
        <v>0.70096874962116784</v>
      </c>
      <c r="AW45" s="180">
        <f t="shared" ca="1" si="84"/>
        <v>0.70096868331162998</v>
      </c>
      <c r="AX45" s="180">
        <f t="shared" ca="1" si="84"/>
        <v>0.70096861537583843</v>
      </c>
      <c r="AY45" s="180">
        <f t="shared" ca="1" si="84"/>
        <v>0.70096854582432944</v>
      </c>
      <c r="AZ45" s="180">
        <f t="shared" ca="1" si="84"/>
        <v>0.70096847466680623</v>
      </c>
      <c r="BA45" s="180">
        <f t="shared" ca="1" si="84"/>
        <v>0.70096840191221255</v>
      </c>
      <c r="BB45" s="180">
        <f t="shared" ca="1" si="84"/>
        <v>0.70096832756879923</v>
      </c>
      <c r="BC45" s="180">
        <f t="shared" ca="1" si="84"/>
        <v>0.70096825164418297</v>
      </c>
      <c r="BD45" s="180">
        <f t="shared" ca="1" si="84"/>
        <v>0.70096817414540014</v>
      </c>
      <c r="BE45" s="180">
        <f t="shared" ca="1" si="84"/>
        <v>0.70096809507895419</v>
      </c>
      <c r="BF45" s="180">
        <f t="shared" ca="1" si="84"/>
        <v>0.70096801445085888</v>
      </c>
      <c r="BG45" s="180">
        <f t="shared" ca="1" si="84"/>
        <v>0.7009679322666772</v>
      </c>
      <c r="BH45" s="180">
        <f t="shared" ca="1" si="84"/>
        <v>0.70096514404406429</v>
      </c>
      <c r="BI45" s="15"/>
      <c r="BJ45" s="169"/>
      <c r="BK45" s="99"/>
      <c r="BL45" s="99"/>
      <c r="BM45" s="99"/>
      <c r="BN45" s="99"/>
      <c r="BO45" s="99"/>
      <c r="BP45" s="230"/>
      <c r="BQ45" s="230"/>
      <c r="BR45" s="230"/>
      <c r="BS45" s="230"/>
      <c r="BT45" s="230"/>
      <c r="BU45" s="230"/>
      <c r="BV45" s="99"/>
      <c r="BW45" s="99"/>
      <c r="BX45" s="99"/>
      <c r="BY45" s="99"/>
    </row>
    <row r="46" spans="1:77" s="4" customFormat="1" ht="15" thickBot="1" x14ac:dyDescent="0.35">
      <c r="A46" s="1"/>
      <c r="B46" s="31"/>
      <c r="C46" s="31"/>
      <c r="D46" s="31"/>
      <c r="E46" s="1"/>
      <c r="F46" s="31"/>
      <c r="G46" s="170"/>
      <c r="H46" s="15" t="s">
        <v>267</v>
      </c>
      <c r="I46" s="185">
        <f t="shared" ref="I46" ca="1" si="85">SQRT(I39*((I43-I44/2)^2+I44^2/12))</f>
        <v>0.56570156565425245</v>
      </c>
      <c r="J46" s="185">
        <f t="shared" ref="J46:BH46" ca="1" si="86">SQRT(J39*((J43-J44/2)^2+J44^2/12))</f>
        <v>0.56601756477778697</v>
      </c>
      <c r="K46" s="185">
        <f t="shared" ca="1" si="86"/>
        <v>0.56591618800064647</v>
      </c>
      <c r="L46" s="185">
        <f t="shared" ca="1" si="86"/>
        <v>0.56584234055353677</v>
      </c>
      <c r="M46" s="185">
        <f t="shared" ca="1" si="86"/>
        <v>0.56578724494876242</v>
      </c>
      <c r="N46" s="185">
        <f t="shared" ca="1" si="86"/>
        <v>0.56574544787665559</v>
      </c>
      <c r="O46" s="185">
        <f t="shared" ca="1" si="86"/>
        <v>0.56571339958558708</v>
      </c>
      <c r="P46" s="185">
        <f t="shared" ca="1" si="86"/>
        <v>0.56568869936404653</v>
      </c>
      <c r="Q46" s="185">
        <f t="shared" ca="1" si="86"/>
        <v>0.56566967172139349</v>
      </c>
      <c r="R46" s="185">
        <f t="shared" ca="1" si="86"/>
        <v>0.56565511612096586</v>
      </c>
      <c r="S46" s="185">
        <f t="shared" ca="1" si="86"/>
        <v>0.56564415293492565</v>
      </c>
      <c r="T46" s="185">
        <f t="shared" ca="1" si="86"/>
        <v>0.56563612459567136</v>
      </c>
      <c r="U46" s="185">
        <f t="shared" ca="1" si="86"/>
        <v>0.56563051324578517</v>
      </c>
      <c r="V46" s="185">
        <f t="shared" ca="1" si="86"/>
        <v>0.56561926714176913</v>
      </c>
      <c r="W46" s="185">
        <f t="shared" ca="1" si="86"/>
        <v>0.56561323274694419</v>
      </c>
      <c r="X46" s="185">
        <f t="shared" ca="1" si="86"/>
        <v>0.56561590087343394</v>
      </c>
      <c r="Y46" s="185">
        <f t="shared" ca="1" si="86"/>
        <v>0.56561905097980691</v>
      </c>
      <c r="Z46" s="185">
        <f t="shared" ca="1" si="86"/>
        <v>0.56562265742881113</v>
      </c>
      <c r="AA46" s="185">
        <f t="shared" ca="1" si="86"/>
        <v>0.56562669801992083</v>
      </c>
      <c r="AB46" s="185">
        <f t="shared" ca="1" si="86"/>
        <v>0.56563115343503778</v>
      </c>
      <c r="AC46" s="185">
        <f t="shared" ca="1" si="86"/>
        <v>0.56563600678750436</v>
      </c>
      <c r="AD46" s="185">
        <f t="shared" ca="1" si="86"/>
        <v>0.56564124325277276</v>
      </c>
      <c r="AE46" s="185">
        <f t="shared" ca="1" si="86"/>
        <v>0.56564684976407953</v>
      </c>
      <c r="AF46" s="185">
        <f t="shared" ca="1" si="86"/>
        <v>0.56565281476022222</v>
      </c>
      <c r="AG46" s="185">
        <f t="shared" ca="1" si="86"/>
        <v>0.56565912797536966</v>
      </c>
      <c r="AH46" s="185">
        <f t="shared" ca="1" si="86"/>
        <v>0.5656657802629862</v>
      </c>
      <c r="AI46" s="185">
        <f t="shared" ca="1" si="86"/>
        <v>0.56567276344760697</v>
      </c>
      <c r="AJ46" s="185">
        <f t="shared" ca="1" si="86"/>
        <v>0.56568007019947608</v>
      </c>
      <c r="AK46" s="185">
        <f t="shared" ca="1" si="86"/>
        <v>0.5656876939280483</v>
      </c>
      <c r="AL46" s="185">
        <f t="shared" ca="1" si="86"/>
        <v>0.5656956286911371</v>
      </c>
      <c r="AM46" s="185">
        <f t="shared" ca="1" si="86"/>
        <v>0.56570386911709691</v>
      </c>
      <c r="AN46" s="185">
        <f t="shared" ca="1" si="86"/>
        <v>0.56571241033791619</v>
      </c>
      <c r="AO46" s="185">
        <f t="shared" ca="1" si="86"/>
        <v>0.56572124793148293</v>
      </c>
      <c r="AP46" s="185">
        <f t="shared" ca="1" si="86"/>
        <v>0.56573037787158897</v>
      </c>
      <c r="AQ46" s="185">
        <f t="shared" ca="1" si="86"/>
        <v>0.56573979648449635</v>
      </c>
      <c r="AR46" s="185">
        <f t="shared" ca="1" si="86"/>
        <v>0.56574950041108096</v>
      </c>
      <c r="AS46" s="185">
        <f t="shared" ca="1" si="86"/>
        <v>0.56575948657373953</v>
      </c>
      <c r="AT46" s="185">
        <f t="shared" ca="1" si="86"/>
        <v>0.5657697521473749</v>
      </c>
      <c r="AU46" s="185">
        <f t="shared" ca="1" si="86"/>
        <v>0.56578029453388834</v>
      </c>
      <c r="AV46" s="185">
        <f t="shared" ca="1" si="86"/>
        <v>0.56579111133969229</v>
      </c>
      <c r="AW46" s="185">
        <f t="shared" ca="1" si="86"/>
        <v>0.56580220035583673</v>
      </c>
      <c r="AX46" s="185">
        <f t="shared" ca="1" si="86"/>
        <v>0.56581355954040269</v>
      </c>
      <c r="AY46" s="185">
        <f t="shared" ca="1" si="86"/>
        <v>0.56582518700286533</v>
      </c>
      <c r="AZ46" s="185">
        <f t="shared" ca="1" si="86"/>
        <v>0.56583708099017616</v>
      </c>
      <c r="BA46" s="185">
        <f t="shared" ca="1" si="86"/>
        <v>0.56584923987434776</v>
      </c>
      <c r="BB46" s="185">
        <f t="shared" ca="1" si="86"/>
        <v>0.56586166214135514</v>
      </c>
      <c r="BC46" s="185">
        <f t="shared" ca="1" si="86"/>
        <v>0.56587434638119416</v>
      </c>
      <c r="BD46" s="185">
        <f t="shared" ca="1" si="86"/>
        <v>0.56588729127895954</v>
      </c>
      <c r="BE46" s="185">
        <f t="shared" ca="1" si="86"/>
        <v>0.56590049560682021</v>
      </c>
      <c r="BF46" s="185">
        <f t="shared" ca="1" si="86"/>
        <v>0.56591395821679225</v>
      </c>
      <c r="BG46" s="185">
        <f t="shared" ca="1" si="86"/>
        <v>0.56592767803421484</v>
      </c>
      <c r="BH46" s="185">
        <f t="shared" ca="1" si="86"/>
        <v>0.56639159154965935</v>
      </c>
      <c r="BI46" s="15"/>
      <c r="BJ46" s="169"/>
      <c r="BK46" s="99"/>
      <c r="BL46" s="99"/>
      <c r="BM46" s="99"/>
      <c r="BN46" s="99"/>
      <c r="BO46" s="99"/>
      <c r="BP46" s="230"/>
      <c r="BQ46" s="230"/>
      <c r="BR46" s="230"/>
      <c r="BS46" s="230"/>
      <c r="BT46" s="230"/>
      <c r="BU46" s="230"/>
      <c r="BV46" s="99"/>
      <c r="BW46" s="99"/>
      <c r="BX46" s="99"/>
      <c r="BY46" s="99"/>
    </row>
    <row r="47" spans="1:77" s="4" customFormat="1" x14ac:dyDescent="0.3">
      <c r="A47" s="1"/>
      <c r="B47" s="289" t="s">
        <v>326</v>
      </c>
      <c r="C47" s="290"/>
      <c r="D47" s="291"/>
      <c r="E47" s="1"/>
      <c r="F47" s="31"/>
      <c r="G47" s="170"/>
      <c r="H47" s="15" t="s">
        <v>268</v>
      </c>
      <c r="I47" s="180">
        <f ca="1">SQRT((1-I39)*((I43-I44/2)^2+I44^2/12))</f>
        <v>0.41393197111803981</v>
      </c>
      <c r="J47" s="180">
        <f t="shared" ref="J47:BH47" ca="1" si="87">SQRT((1-J39)*((J43-J44/2)^2+J44^2/12))</f>
        <v>0.41349655745374747</v>
      </c>
      <c r="K47" s="180">
        <f t="shared" ca="1" si="87"/>
        <v>0.41363632180711007</v>
      </c>
      <c r="L47" s="180">
        <f t="shared" ca="1" si="87"/>
        <v>0.41373808622701236</v>
      </c>
      <c r="M47" s="180">
        <f t="shared" ca="1" si="87"/>
        <v>0.41381398454886748</v>
      </c>
      <c r="N47" s="180">
        <f t="shared" ca="1" si="87"/>
        <v>0.41387154868055975</v>
      </c>
      <c r="O47" s="180">
        <f t="shared" ca="1" si="87"/>
        <v>0.41391567806053825</v>
      </c>
      <c r="P47" s="180">
        <f t="shared" ca="1" si="87"/>
        <v>0.41394968440190683</v>
      </c>
      <c r="Q47" s="180">
        <f t="shared" ca="1" si="87"/>
        <v>0.41397587797982399</v>
      </c>
      <c r="R47" s="180">
        <f t="shared" ca="1" si="87"/>
        <v>0.4139959135710885</v>
      </c>
      <c r="S47" s="180">
        <f t="shared" ca="1" si="87"/>
        <v>0.41401100325355888</v>
      </c>
      <c r="T47" s="180">
        <f t="shared" ca="1" si="87"/>
        <v>0.41402205288162414</v>
      </c>
      <c r="U47" s="180">
        <f t="shared" ca="1" si="87"/>
        <v>0.4140297756665971</v>
      </c>
      <c r="V47" s="180">
        <f t="shared" ca="1" si="87"/>
        <v>0.41404525277125315</v>
      </c>
      <c r="W47" s="180">
        <f t="shared" ca="1" si="87"/>
        <v>0.41405355704964047</v>
      </c>
      <c r="X47" s="180">
        <f t="shared" ca="1" si="87"/>
        <v>0.41404988531908077</v>
      </c>
      <c r="Y47" s="180">
        <f t="shared" ca="1" si="87"/>
        <v>0.41404555024866807</v>
      </c>
      <c r="Z47" s="180">
        <f t="shared" ca="1" si="87"/>
        <v>0.41404058708799063</v>
      </c>
      <c r="AA47" s="180">
        <f t="shared" ca="1" si="87"/>
        <v>0.41403502635491224</v>
      </c>
      <c r="AB47" s="180">
        <f t="shared" ca="1" si="87"/>
        <v>0.41402889459869829</v>
      </c>
      <c r="AC47" s="180">
        <f t="shared" ca="1" si="87"/>
        <v>0.41402221502087966</v>
      </c>
      <c r="AD47" s="180">
        <f t="shared" ca="1" si="87"/>
        <v>0.41401500798367968</v>
      </c>
      <c r="AE47" s="180">
        <f t="shared" ca="1" si="87"/>
        <v>0.41400729142893766</v>
      </c>
      <c r="AF47" s="180">
        <f t="shared" ca="1" si="87"/>
        <v>0.41399908122529533</v>
      </c>
      <c r="AG47" s="180">
        <f t="shared" ca="1" si="87"/>
        <v>0.41399039145751609</v>
      </c>
      <c r="AH47" s="180">
        <f t="shared" ca="1" si="87"/>
        <v>0.41398123466883813</v>
      </c>
      <c r="AI47" s="180">
        <f t="shared" ca="1" si="87"/>
        <v>0.41397162206498589</v>
      </c>
      <c r="AJ47" s="180">
        <f t="shared" ca="1" si="87"/>
        <v>0.41396156368671055</v>
      </c>
      <c r="AK47" s="180">
        <f t="shared" ca="1" si="87"/>
        <v>0.41395106855636199</v>
      </c>
      <c r="AL47" s="180">
        <f t="shared" ca="1" si="87"/>
        <v>0.41394014480292529</v>
      </c>
      <c r="AM47" s="180">
        <f t="shared" ca="1" si="87"/>
        <v>0.41392879976911451</v>
      </c>
      <c r="AN47" s="180">
        <f t="shared" ca="1" si="87"/>
        <v>0.41391704010344915</v>
      </c>
      <c r="AO47" s="180">
        <f t="shared" ca="1" si="87"/>
        <v>0.41390487183970714</v>
      </c>
      <c r="AP47" s="180">
        <f t="shared" ca="1" si="87"/>
        <v>0.41389230046572356</v>
      </c>
      <c r="AQ47" s="180">
        <f t="shared" ca="1" si="87"/>
        <v>0.41387933098316115</v>
      </c>
      <c r="AR47" s="180">
        <f t="shared" ca="1" si="87"/>
        <v>0.41386596795960279</v>
      </c>
      <c r="AS47" s="180">
        <f t="shared" ca="1" si="87"/>
        <v>0.41385221557408891</v>
      </c>
      <c r="AT47" s="180">
        <f t="shared" ca="1" si="87"/>
        <v>0.41383807765704222</v>
      </c>
      <c r="AU47" s="180">
        <f t="shared" ca="1" si="87"/>
        <v>0.41382355772536666</v>
      </c>
      <c r="AV47" s="180">
        <f t="shared" ca="1" si="87"/>
        <v>0.41380865901338926</v>
      </c>
      <c r="AW47" s="180">
        <f t="shared" ca="1" si="87"/>
        <v>0.41379338450020414</v>
      </c>
      <c r="AX47" s="180">
        <f t="shared" ca="1" si="87"/>
        <v>0.41377773693389935</v>
      </c>
      <c r="AY47" s="180">
        <f t="shared" ca="1" si="87"/>
        <v>0.41376171885307067</v>
      </c>
      <c r="AZ47" s="180">
        <f t="shared" ca="1" si="87"/>
        <v>0.41374533260597124</v>
      </c>
      <c r="BA47" s="180">
        <f t="shared" ca="1" si="87"/>
        <v>0.4137285803675933</v>
      </c>
      <c r="BB47" s="180">
        <f t="shared" ca="1" si="87"/>
        <v>0.41371146415493765</v>
      </c>
      <c r="BC47" s="180">
        <f t="shared" ca="1" si="87"/>
        <v>0.41369398584069217</v>
      </c>
      <c r="BD47" s="180">
        <f t="shared" ca="1" si="87"/>
        <v>0.41367614716550677</v>
      </c>
      <c r="BE47" s="180">
        <f t="shared" ca="1" si="87"/>
        <v>0.41365794974903236</v>
      </c>
      <c r="BF47" s="180">
        <f t="shared" ca="1" si="87"/>
        <v>0.41363939509986508</v>
      </c>
      <c r="BG47" s="180">
        <f t="shared" ca="1" si="87"/>
        <v>0.41362048462452022</v>
      </c>
      <c r="BH47" s="180">
        <f t="shared" ca="1" si="87"/>
        <v>0.41298026367680046</v>
      </c>
      <c r="BI47" s="15"/>
      <c r="BJ47" s="169"/>
      <c r="BK47" s="99"/>
      <c r="BL47" s="99"/>
      <c r="BM47" s="99"/>
      <c r="BN47" s="99"/>
      <c r="BO47" s="99"/>
      <c r="BP47" s="230"/>
      <c r="BQ47" s="230"/>
      <c r="BR47" s="230"/>
      <c r="BS47" s="230"/>
      <c r="BT47" s="230"/>
      <c r="BU47" s="230"/>
      <c r="BV47" s="99"/>
      <c r="BW47" s="99"/>
      <c r="BX47" s="99"/>
      <c r="BY47" s="99"/>
    </row>
    <row r="48" spans="1:77" s="4" customFormat="1" x14ac:dyDescent="0.3">
      <c r="A48" s="1"/>
      <c r="B48" s="106" t="s">
        <v>119</v>
      </c>
      <c r="C48" s="65">
        <v>0.01</v>
      </c>
      <c r="D48" s="107" t="s">
        <v>172</v>
      </c>
      <c r="E48" s="1"/>
      <c r="F48" s="31"/>
      <c r="G48" s="170"/>
      <c r="H48" s="15" t="s">
        <v>132</v>
      </c>
      <c r="I48" s="180">
        <f t="shared" ref="I48:AN48" ca="1" si="88">SQRT(((I43-I44/2-Iout_sync_buck)^2+I44^2/12))</f>
        <v>3.6850211632205365E-2</v>
      </c>
      <c r="J48" s="180">
        <f t="shared" ca="1" si="88"/>
        <v>3.6814218219007155E-2</v>
      </c>
      <c r="K48" s="180">
        <f t="shared" ca="1" si="88"/>
        <v>3.6825786608003584E-2</v>
      </c>
      <c r="L48" s="180">
        <f t="shared" ca="1" si="88"/>
        <v>3.6834200926523217E-2</v>
      </c>
      <c r="M48" s="180">
        <f t="shared" ca="1" si="88"/>
        <v>3.6840471697866896E-2</v>
      </c>
      <c r="N48" s="180">
        <f t="shared" ca="1" si="88"/>
        <v>3.6845224933533441E-2</v>
      </c>
      <c r="O48" s="180">
        <f t="shared" ca="1" si="88"/>
        <v>3.6848867214574907E-2</v>
      </c>
      <c r="P48" s="180">
        <f t="shared" ca="1" si="88"/>
        <v>3.6851673023419247E-2</v>
      </c>
      <c r="Q48" s="180">
        <f t="shared" ca="1" si="88"/>
        <v>3.6853833648010974E-2</v>
      </c>
      <c r="R48" s="180">
        <f t="shared" ca="1" si="88"/>
        <v>3.6855485987619251E-2</v>
      </c>
      <c r="S48" s="180">
        <f t="shared" ca="1" si="88"/>
        <v>3.685673024683403E-2</v>
      </c>
      <c r="T48" s="180">
        <f t="shared" ca="1" si="88"/>
        <v>3.6857641269135488E-2</v>
      </c>
      <c r="U48" s="180">
        <f t="shared" ca="1" si="88"/>
        <v>3.6858277947065282E-2</v>
      </c>
      <c r="V48" s="180">
        <f t="shared" ca="1" si="88"/>
        <v>3.6859553773791111E-2</v>
      </c>
      <c r="W48" s="180">
        <f t="shared" ca="1" si="88"/>
        <v>3.6860238250840491E-2</v>
      </c>
      <c r="X48" s="180">
        <f t="shared" ca="1" si="88"/>
        <v>3.685993561592555E-2</v>
      </c>
      <c r="Y48" s="180">
        <f t="shared" ca="1" si="88"/>
        <v>3.6859578294111288E-2</v>
      </c>
      <c r="Z48" s="180">
        <f t="shared" ca="1" si="88"/>
        <v>3.6859169184861255E-2</v>
      </c>
      <c r="AA48" s="180">
        <f t="shared" ca="1" si="88"/>
        <v>3.6858710797200003E-2</v>
      </c>
      <c r="AB48" s="180">
        <f t="shared" ca="1" si="88"/>
        <v>3.6858205312675439E-2</v>
      </c>
      <c r="AC48" s="180">
        <f t="shared" ca="1" si="88"/>
        <v>3.6857654636577981E-2</v>
      </c>
      <c r="AD48" s="180">
        <f t="shared" ca="1" si="88"/>
        <v>3.6857060439880011E-2</v>
      </c>
      <c r="AE48" s="180">
        <f t="shared" ca="1" si="88"/>
        <v>3.6856424193788977E-2</v>
      </c>
      <c r="AF48" s="180">
        <f t="shared" ca="1" si="88"/>
        <v>3.6855747198381104E-2</v>
      </c>
      <c r="AG48" s="180">
        <f t="shared" ca="1" si="88"/>
        <v>3.6855030606460733E-2</v>
      </c>
      <c r="AH48" s="180">
        <f t="shared" ca="1" si="88"/>
        <v>3.68542754435447E-2</v>
      </c>
      <c r="AI48" s="180">
        <f t="shared" ca="1" si="88"/>
        <v>3.6853482624684228E-2</v>
      </c>
      <c r="AJ48" s="180">
        <f t="shared" ca="1" si="88"/>
        <v>3.6852652968690655E-2</v>
      </c>
      <c r="AK48" s="180">
        <f t="shared" ca="1" si="88"/>
        <v>3.6851787210219394E-2</v>
      </c>
      <c r="AL48" s="180">
        <f t="shared" ca="1" si="88"/>
        <v>3.6850886010077806E-2</v>
      </c>
      <c r="AM48" s="180">
        <f t="shared" ca="1" si="88"/>
        <v>3.6849949964053441E-2</v>
      </c>
      <c r="AN48" s="180">
        <f t="shared" ca="1" si="88"/>
        <v>3.6848979610503804E-2</v>
      </c>
      <c r="AO48" s="180">
        <f t="shared" ref="AO48:BH48" ca="1" si="89">SQRT(((AO43-AO44/2-Iout_sync_buck)^2+AO44^2/12))</f>
        <v>3.684797543690542E-2</v>
      </c>
      <c r="AP48" s="180">
        <f t="shared" ca="1" si="89"/>
        <v>3.6846937885524234E-2</v>
      </c>
      <c r="AQ48" s="180">
        <f t="shared" ca="1" si="89"/>
        <v>3.6845867358341881E-2</v>
      </c>
      <c r="AR48" s="180">
        <f t="shared" ca="1" si="89"/>
        <v>3.6844764221348796E-2</v>
      </c>
      <c r="AS48" s="180">
        <f t="shared" ca="1" si="89"/>
        <v>3.6843628808297002E-2</v>
      </c>
      <c r="AT48" s="180">
        <f t="shared" ca="1" si="89"/>
        <v>3.6842461423990197E-2</v>
      </c>
      <c r="AU48" s="180">
        <f t="shared" ca="1" si="89"/>
        <v>3.6841262347176176E-2</v>
      </c>
      <c r="AV48" s="180">
        <f t="shared" ca="1" si="89"/>
        <v>3.6840031833096358E-2</v>
      </c>
      <c r="AW48" s="180">
        <f t="shared" ca="1" si="89"/>
        <v>3.6838770115739002E-2</v>
      </c>
      <c r="AX48" s="180">
        <f t="shared" ca="1" si="89"/>
        <v>3.6837477409835361E-2</v>
      </c>
      <c r="AY48" s="180">
        <f t="shared" ca="1" si="89"/>
        <v>3.6836153912632383E-2</v>
      </c>
      <c r="AZ48" s="180">
        <f t="shared" ca="1" si="89"/>
        <v>3.6834799805470338E-2</v>
      </c>
      <c r="BA48" s="180">
        <f t="shared" ca="1" si="89"/>
        <v>3.6833415255190287E-2</v>
      </c>
      <c r="BB48" s="180">
        <f t="shared" ca="1" si="89"/>
        <v>3.6832000415392085E-2</v>
      </c>
      <c r="BC48" s="180">
        <f t="shared" ca="1" si="89"/>
        <v>3.6830555427561223E-2</v>
      </c>
      <c r="BD48" s="180">
        <f t="shared" ca="1" si="89"/>
        <v>3.6829080422080135E-2</v>
      </c>
      <c r="BE48" s="180">
        <f t="shared" ca="1" si="89"/>
        <v>3.682757551913763E-2</v>
      </c>
      <c r="BF48" s="180">
        <f t="shared" ca="1" si="89"/>
        <v>3.6826040829548067E-2</v>
      </c>
      <c r="BG48" s="180">
        <f t="shared" ca="1" si="89"/>
        <v>3.6824476455490578E-2</v>
      </c>
      <c r="BH48" s="180">
        <f t="shared" ca="1" si="89"/>
        <v>3.6771363378530188E-2</v>
      </c>
      <c r="BI48" s="15"/>
      <c r="BJ48" s="169"/>
      <c r="BK48" s="99"/>
      <c r="BL48" s="99"/>
      <c r="BM48" s="99"/>
      <c r="BN48" s="99"/>
      <c r="BO48" s="99"/>
      <c r="BP48" s="230"/>
      <c r="BQ48" s="230"/>
      <c r="BR48" s="230"/>
      <c r="BS48" s="230"/>
      <c r="BT48" s="230"/>
      <c r="BU48" s="230"/>
      <c r="BV48" s="99"/>
      <c r="BW48" s="99"/>
      <c r="BX48" s="99"/>
      <c r="BY48" s="99"/>
    </row>
    <row r="49" spans="1:77" s="4" customFormat="1" x14ac:dyDescent="0.3">
      <c r="A49" s="1"/>
      <c r="B49" s="106" t="s">
        <v>120</v>
      </c>
      <c r="C49" s="313">
        <v>0.7</v>
      </c>
      <c r="D49" s="71" t="s">
        <v>355</v>
      </c>
      <c r="E49" s="1"/>
      <c r="F49" s="31"/>
      <c r="G49" s="170" t="s">
        <v>269</v>
      </c>
      <c r="H49" s="15" t="s">
        <v>60</v>
      </c>
      <c r="I49" s="186">
        <f t="shared" ref="I49:AN49" ca="1" si="90">Buck_RdsON_factor_7V*(I4-150)+Adj_buck_hi_rdsON_150</f>
        <v>0.29658504458045115</v>
      </c>
      <c r="J49" s="186">
        <f t="shared" ca="1" si="90"/>
        <v>0.30210511500773807</v>
      </c>
      <c r="K49" s="186">
        <f t="shared" ca="1" si="90"/>
        <v>0.30033384849148309</v>
      </c>
      <c r="L49" s="186">
        <f t="shared" ca="1" si="90"/>
        <v>0.29904378780254975</v>
      </c>
      <c r="M49" s="186">
        <f t="shared" ca="1" si="90"/>
        <v>0.2980814234669445</v>
      </c>
      <c r="N49" s="186">
        <f t="shared" ca="1" si="90"/>
        <v>0.29735141267539711</v>
      </c>
      <c r="O49" s="186">
        <f t="shared" ca="1" si="90"/>
        <v>0.29679170861212384</v>
      </c>
      <c r="P49" s="186">
        <f t="shared" ca="1" si="90"/>
        <v>0.29636035692380558</v>
      </c>
      <c r="Q49" s="186">
        <f t="shared" ca="1" si="90"/>
        <v>0.29602808169104594</v>
      </c>
      <c r="R49" s="186">
        <f t="shared" ca="1" si="90"/>
        <v>0.29577390861856728</v>
      </c>
      <c r="S49" s="186">
        <f t="shared" ca="1" si="90"/>
        <v>0.2955824716160485</v>
      </c>
      <c r="T49" s="186">
        <f t="shared" ca="1" si="90"/>
        <v>0.29544228480929763</v>
      </c>
      <c r="U49" s="186">
        <f t="shared" ca="1" si="90"/>
        <v>0.29534430349417329</v>
      </c>
      <c r="V49" s="186">
        <f t="shared" ca="1" si="90"/>
        <v>0.29514793527628774</v>
      </c>
      <c r="W49" s="186">
        <f t="shared" ca="1" si="90"/>
        <v>0.29504257040484771</v>
      </c>
      <c r="X49" s="186">
        <f t="shared" ca="1" si="90"/>
        <v>0.29508915766539734</v>
      </c>
      <c r="Y49" s="186">
        <f t="shared" ca="1" si="90"/>
        <v>0.2951441609126052</v>
      </c>
      <c r="Z49" s="186">
        <f t="shared" ca="1" si="90"/>
        <v>0.29520713264428627</v>
      </c>
      <c r="AA49" s="186">
        <f t="shared" ca="1" si="90"/>
        <v>0.29527768537619697</v>
      </c>
      <c r="AB49" s="186">
        <f t="shared" ca="1" si="90"/>
        <v>0.29535548196210348</v>
      </c>
      <c r="AC49" s="186">
        <f t="shared" ca="1" si="90"/>
        <v>0.29544022771815659</v>
      </c>
      <c r="AD49" s="186">
        <f t="shared" ca="1" si="90"/>
        <v>0.2955316639733323</v>
      </c>
      <c r="AE49" s="186">
        <f t="shared" ca="1" si="90"/>
        <v>0.29562956275512331</v>
      </c>
      <c r="AF49" s="186">
        <f t="shared" ca="1" si="90"/>
        <v>0.29573372238514395</v>
      </c>
      <c r="AG49" s="186">
        <f t="shared" ca="1" si="90"/>
        <v>0.29584396380875871</v>
      </c>
      <c r="AH49" s="186">
        <f t="shared" ca="1" si="90"/>
        <v>0.29596012752047235</v>
      </c>
      <c r="AI49" s="186">
        <f t="shared" ca="1" si="90"/>
        <v>0.29608207097567629</v>
      </c>
      <c r="AJ49" s="186">
        <f t="shared" ca="1" si="90"/>
        <v>0.29620966640162655</v>
      </c>
      <c r="AK49" s="186">
        <f t="shared" ca="1" si="90"/>
        <v>0.29634279893785415</v>
      </c>
      <c r="AL49" s="186">
        <f t="shared" ca="1" si="90"/>
        <v>0.2964813650497673</v>
      </c>
      <c r="AM49" s="186">
        <f t="shared" ca="1" si="90"/>
        <v>0.29662527116988047</v>
      </c>
      <c r="AN49" s="186">
        <f t="shared" ca="1" si="90"/>
        <v>0.29677443252956259</v>
      </c>
      <c r="AO49" s="186">
        <f t="shared" ref="AO49:BH49" ca="1" si="91">Buck_RdsON_factor_7V*(AO4-150)+Adj_buck_hi_rdsON_150</f>
        <v>0.2969287721509325</v>
      </c>
      <c r="AP49" s="186">
        <f t="shared" ca="1" si="91"/>
        <v>0.29708821997392582</v>
      </c>
      <c r="AQ49" s="186">
        <f t="shared" ca="1" si="91"/>
        <v>0.29725271209789944</v>
      </c>
      <c r="AR49" s="186">
        <f t="shared" ca="1" si="91"/>
        <v>0.29742219012065618</v>
      </c>
      <c r="AS49" s="186">
        <f t="shared" ca="1" si="91"/>
        <v>0.29759660056062565</v>
      </c>
      <c r="AT49" s="186">
        <f t="shared" ca="1" si="91"/>
        <v>0.29777589435027169</v>
      </c>
      <c r="AU49" s="186">
        <f t="shared" ca="1" si="91"/>
        <v>0.29796002639070945</v>
      </c>
      <c r="AV49" s="186">
        <f t="shared" ca="1" si="91"/>
        <v>0.29814895515908885</v>
      </c>
      <c r="AW49" s="186">
        <f t="shared" ca="1" si="91"/>
        <v>0.29834264236160629</v>
      </c>
      <c r="AX49" s="186">
        <f t="shared" ca="1" si="91"/>
        <v>0.29854105262608505</v>
      </c>
      <c r="AY49" s="186">
        <f t="shared" ca="1" si="91"/>
        <v>0.29874415322896697</v>
      </c>
      <c r="AZ49" s="186">
        <f t="shared" ca="1" si="91"/>
        <v>0.29895191385231112</v>
      </c>
      <c r="BA49" s="186">
        <f t="shared" ca="1" si="91"/>
        <v>0.29916430636702596</v>
      </c>
      <c r="BB49" s="186">
        <f t="shared" ca="1" si="91"/>
        <v>0.29938130463909424</v>
      </c>
      <c r="BC49" s="186">
        <f t="shared" ca="1" si="91"/>
        <v>0.29960288435599858</v>
      </c>
      <c r="BD49" s="186">
        <f t="shared" ca="1" si="91"/>
        <v>0.29982902287093616</v>
      </c>
      <c r="BE49" s="186">
        <f t="shared" ca="1" si="91"/>
        <v>0.30005969906273305</v>
      </c>
      <c r="BF49" s="186">
        <f t="shared" ca="1" si="91"/>
        <v>0.30029489320964647</v>
      </c>
      <c r="BG49" s="186">
        <f t="shared" ca="1" si="91"/>
        <v>0.30053458687547535</v>
      </c>
      <c r="BH49" s="186">
        <f t="shared" ca="1" si="91"/>
        <v>0.30864304248779867</v>
      </c>
      <c r="BI49" s="15"/>
      <c r="BJ49" s="169"/>
      <c r="BK49" s="99"/>
      <c r="BL49" s="99"/>
      <c r="BM49" s="99"/>
      <c r="BN49" s="99"/>
      <c r="BO49" s="99"/>
      <c r="BP49" s="230"/>
      <c r="BQ49" s="230"/>
      <c r="BR49" s="230"/>
      <c r="BS49" s="230"/>
      <c r="BT49" s="230"/>
      <c r="BU49" s="230"/>
      <c r="BV49" s="99"/>
      <c r="BW49" s="99"/>
      <c r="BX49" s="99"/>
      <c r="BY49" s="99"/>
    </row>
    <row r="50" spans="1:77" s="4" customFormat="1" x14ac:dyDescent="0.3">
      <c r="A50" s="1"/>
      <c r="B50" s="106" t="s">
        <v>121</v>
      </c>
      <c r="C50" s="311">
        <v>0.05</v>
      </c>
      <c r="D50" s="71" t="s">
        <v>191</v>
      </c>
      <c r="E50" s="1"/>
      <c r="F50" s="31"/>
      <c r="G50" s="170"/>
      <c r="H50" s="187" t="s">
        <v>5</v>
      </c>
      <c r="I50" s="188">
        <f ca="1">I46^2*I49</f>
        <v>9.4912630319034977E-2</v>
      </c>
      <c r="J50" s="188">
        <f t="shared" ref="J50:BH50" ca="1" si="92">J46^2*J49</f>
        <v>9.6787193171854427E-2</v>
      </c>
      <c r="K50" s="188">
        <f t="shared" ca="1" si="92"/>
        <v>9.6185258248100758E-2</v>
      </c>
      <c r="L50" s="188">
        <f t="shared" ca="1" si="92"/>
        <v>9.5747108626099614E-2</v>
      </c>
      <c r="M50" s="188">
        <f t="shared" ca="1" si="92"/>
        <v>9.5420396440858535E-2</v>
      </c>
      <c r="N50" s="188">
        <f t="shared" ca="1" si="92"/>
        <v>9.5172645723759816E-2</v>
      </c>
      <c r="O50" s="188">
        <f t="shared" ca="1" si="92"/>
        <v>9.4982740353151754E-2</v>
      </c>
      <c r="P50" s="188">
        <f t="shared" ca="1" si="92"/>
        <v>9.483641210869502E-2</v>
      </c>
      <c r="Q50" s="188">
        <f t="shared" ca="1" si="92"/>
        <v>9.4723710182244084E-2</v>
      </c>
      <c r="R50" s="188">
        <f t="shared" ca="1" si="92"/>
        <v>9.4637508787097674E-2</v>
      </c>
      <c r="S50" s="188">
        <f t="shared" ca="1" si="92"/>
        <v>9.4572589506318416E-2</v>
      </c>
      <c r="T50" s="188">
        <f t="shared" ca="1" si="92"/>
        <v>9.4525052977782881E-2</v>
      </c>
      <c r="U50" s="188">
        <f t="shared" ca="1" si="92"/>
        <v>9.4491829595980334E-2</v>
      </c>
      <c r="V50" s="188">
        <f t="shared" ca="1" si="92"/>
        <v>9.4425249048037521E-2</v>
      </c>
      <c r="W50" s="188">
        <f t="shared" ca="1" si="92"/>
        <v>9.4389526125028642E-2</v>
      </c>
      <c r="X50" s="188">
        <f t="shared" ca="1" si="92"/>
        <v>9.4405320900093445E-2</v>
      </c>
      <c r="Y50" s="188">
        <f t="shared" ca="1" si="92"/>
        <v>9.4423969362343319E-2</v>
      </c>
      <c r="Z50" s="188">
        <f t="shared" ca="1" si="92"/>
        <v>9.444531996387108E-2</v>
      </c>
      <c r="AA50" s="188">
        <f t="shared" ca="1" si="92"/>
        <v>9.4469241517697769E-2</v>
      </c>
      <c r="AB50" s="188">
        <f t="shared" ca="1" si="92"/>
        <v>9.4495619914091972E-2</v>
      </c>
      <c r="AC50" s="188">
        <f t="shared" ca="1" si="92"/>
        <v>9.4524355449117206E-2</v>
      </c>
      <c r="AD50" s="188">
        <f t="shared" ca="1" si="92"/>
        <v>9.4555360637030753E-2</v>
      </c>
      <c r="AE50" s="188">
        <f t="shared" ca="1" si="92"/>
        <v>9.4588558407837697E-2</v>
      </c>
      <c r="AF50" s="188">
        <f t="shared" ca="1" si="92"/>
        <v>9.4623880613531094E-2</v>
      </c>
      <c r="AG50" s="188">
        <f t="shared" ca="1" si="92"/>
        <v>9.4661266783335127E-2</v>
      </c>
      <c r="AH50" s="188">
        <f t="shared" ca="1" si="92"/>
        <v>9.4700663081036349E-2</v>
      </c>
      <c r="AI50" s="188">
        <f t="shared" ca="1" si="92"/>
        <v>9.4742021427284731E-2</v>
      </c>
      <c r="AJ50" s="188">
        <f t="shared" ca="1" si="92"/>
        <v>9.4785298757305597E-2</v>
      </c>
      <c r="AK50" s="188">
        <f t="shared" ca="1" si="92"/>
        <v>9.4830456390342779E-2</v>
      </c>
      <c r="AL50" s="188">
        <f t="shared" ca="1" si="92"/>
        <v>9.4877459491755051E-2</v>
      </c>
      <c r="AM50" s="188">
        <f t="shared" ca="1" si="92"/>
        <v>9.4926276612309013E-2</v>
      </c>
      <c r="AN50" s="188">
        <f t="shared" ca="1" si="92"/>
        <v>9.4976879292081595E-2</v>
      </c>
      <c r="AO50" s="188">
        <f t="shared" ca="1" si="92"/>
        <v>9.5029241718670804E-2</v>
      </c>
      <c r="AP50" s="188">
        <f t="shared" ca="1" si="92"/>
        <v>9.5083340431242613E-2</v>
      </c>
      <c r="AQ50" s="188">
        <f t="shared" ca="1" si="92"/>
        <v>9.5139154063417247E-2</v>
      </c>
      <c r="AR50" s="188">
        <f t="shared" ca="1" si="92"/>
        <v>9.5196663119188243E-2</v>
      </c>
      <c r="AS50" s="188">
        <f t="shared" ca="1" si="92"/>
        <v>9.5255849777037355E-2</v>
      </c>
      <c r="AT50" s="188">
        <f t="shared" ca="1" si="92"/>
        <v>9.5316697718199783E-2</v>
      </c>
      <c r="AU50" s="188">
        <f t="shared" ca="1" si="92"/>
        <v>9.5379191975682856E-2</v>
      </c>
      <c r="AV50" s="188">
        <f t="shared" ca="1" si="92"/>
        <v>9.5443318801174473E-2</v>
      </c>
      <c r="AW50" s="188">
        <f t="shared" ca="1" si="92"/>
        <v>9.5509065547421321E-2</v>
      </c>
      <c r="AX50" s="188">
        <f t="shared" ca="1" si="92"/>
        <v>9.5576420564022296E-2</v>
      </c>
      <c r="AY50" s="188">
        <f t="shared" ca="1" si="92"/>
        <v>9.5645373104887646E-2</v>
      </c>
      <c r="AZ50" s="188">
        <f t="shared" ca="1" si="92"/>
        <v>9.571591324587117E-2</v>
      </c>
      <c r="BA50" s="188">
        <f t="shared" ca="1" si="92"/>
        <v>9.5788031811295651E-2</v>
      </c>
      <c r="BB50" s="188">
        <f t="shared" ca="1" si="92"/>
        <v>9.5861720308272863E-2</v>
      </c>
      <c r="BC50" s="188">
        <f t="shared" ca="1" si="92"/>
        <v>9.5936970867871507E-2</v>
      </c>
      <c r="BD50" s="188">
        <f t="shared" ca="1" si="92"/>
        <v>9.6013776192315589E-2</v>
      </c>
      <c r="BE50" s="188">
        <f t="shared" ca="1" si="92"/>
        <v>9.6092129507504301E-2</v>
      </c>
      <c r="BF50" s="188">
        <f t="shared" ca="1" si="92"/>
        <v>9.6172024520240054E-2</v>
      </c>
      <c r="BG50" s="188">
        <f t="shared" ca="1" si="92"/>
        <v>9.6253455379628261E-2</v>
      </c>
      <c r="BH50" s="188">
        <f t="shared" ca="1" si="92"/>
        <v>9.9012513640024863E-2</v>
      </c>
      <c r="BI50" s="15"/>
      <c r="BJ50" s="169"/>
      <c r="BK50" s="99"/>
      <c r="BL50" s="99"/>
      <c r="BM50" s="99"/>
      <c r="BN50" s="99"/>
      <c r="BO50" s="99"/>
      <c r="BP50" s="230"/>
      <c r="BQ50" s="230"/>
      <c r="BR50" s="230"/>
      <c r="BS50" s="230"/>
      <c r="BT50" s="230"/>
      <c r="BU50" s="230"/>
      <c r="BV50" s="99"/>
      <c r="BW50" s="99"/>
      <c r="BX50" s="99"/>
      <c r="BY50" s="99"/>
    </row>
    <row r="51" spans="1:77" s="4" customFormat="1" x14ac:dyDescent="0.3">
      <c r="A51" s="1"/>
      <c r="B51" s="106" t="s">
        <v>157</v>
      </c>
      <c r="C51" s="65">
        <v>6</v>
      </c>
      <c r="D51" s="86" t="s">
        <v>192</v>
      </c>
      <c r="E51" s="1"/>
      <c r="F51" s="31"/>
      <c r="G51" s="170"/>
      <c r="H51" s="187" t="s">
        <v>6</v>
      </c>
      <c r="I51" s="188">
        <f t="shared" ref="I51:AN51" si="93">0.5*Vreg*Iout_sync_buck*fsw*10^3*(Vreg/SLEW_rate+Vreg/1.5)*10^-9</f>
        <v>3.5619111111111101E-2</v>
      </c>
      <c r="J51" s="188">
        <f t="shared" si="93"/>
        <v>3.5619111111111101E-2</v>
      </c>
      <c r="K51" s="188">
        <f t="shared" si="93"/>
        <v>3.5619111111111101E-2</v>
      </c>
      <c r="L51" s="188">
        <f t="shared" si="93"/>
        <v>3.5619111111111101E-2</v>
      </c>
      <c r="M51" s="188">
        <f t="shared" si="93"/>
        <v>3.5619111111111101E-2</v>
      </c>
      <c r="N51" s="188">
        <f t="shared" si="93"/>
        <v>3.5619111111111101E-2</v>
      </c>
      <c r="O51" s="188">
        <f t="shared" si="93"/>
        <v>3.5619111111111101E-2</v>
      </c>
      <c r="P51" s="188">
        <f t="shared" si="93"/>
        <v>3.5619111111111101E-2</v>
      </c>
      <c r="Q51" s="188">
        <f t="shared" si="93"/>
        <v>3.5619111111111101E-2</v>
      </c>
      <c r="R51" s="188">
        <f t="shared" si="93"/>
        <v>3.5619111111111101E-2</v>
      </c>
      <c r="S51" s="188">
        <f t="shared" si="93"/>
        <v>3.5619111111111101E-2</v>
      </c>
      <c r="T51" s="188">
        <f t="shared" si="93"/>
        <v>3.5619111111111101E-2</v>
      </c>
      <c r="U51" s="188">
        <f t="shared" si="93"/>
        <v>3.5619111111111101E-2</v>
      </c>
      <c r="V51" s="188">
        <f t="shared" si="93"/>
        <v>3.5619111111111101E-2</v>
      </c>
      <c r="W51" s="188">
        <f t="shared" si="93"/>
        <v>3.5619111111111101E-2</v>
      </c>
      <c r="X51" s="188">
        <f t="shared" si="93"/>
        <v>3.5619111111111101E-2</v>
      </c>
      <c r="Y51" s="188">
        <f t="shared" si="93"/>
        <v>3.5619111111111101E-2</v>
      </c>
      <c r="Z51" s="188">
        <f t="shared" si="93"/>
        <v>3.5619111111111101E-2</v>
      </c>
      <c r="AA51" s="188">
        <f t="shared" si="93"/>
        <v>3.5619111111111101E-2</v>
      </c>
      <c r="AB51" s="188">
        <f t="shared" si="93"/>
        <v>3.5619111111111101E-2</v>
      </c>
      <c r="AC51" s="188">
        <f t="shared" si="93"/>
        <v>3.5619111111111101E-2</v>
      </c>
      <c r="AD51" s="188">
        <f t="shared" si="93"/>
        <v>3.5619111111111101E-2</v>
      </c>
      <c r="AE51" s="188">
        <f t="shared" si="93"/>
        <v>3.5619111111111101E-2</v>
      </c>
      <c r="AF51" s="188">
        <f t="shared" si="93"/>
        <v>3.5619111111111101E-2</v>
      </c>
      <c r="AG51" s="188">
        <f t="shared" si="93"/>
        <v>3.5619111111111101E-2</v>
      </c>
      <c r="AH51" s="188">
        <f t="shared" si="93"/>
        <v>3.5619111111111101E-2</v>
      </c>
      <c r="AI51" s="188">
        <f t="shared" si="93"/>
        <v>3.5619111111111101E-2</v>
      </c>
      <c r="AJ51" s="188">
        <f t="shared" si="93"/>
        <v>3.5619111111111101E-2</v>
      </c>
      <c r="AK51" s="188">
        <f t="shared" si="93"/>
        <v>3.5619111111111101E-2</v>
      </c>
      <c r="AL51" s="188">
        <f t="shared" si="93"/>
        <v>3.5619111111111101E-2</v>
      </c>
      <c r="AM51" s="188">
        <f t="shared" si="93"/>
        <v>3.5619111111111101E-2</v>
      </c>
      <c r="AN51" s="188">
        <f t="shared" si="93"/>
        <v>3.5619111111111101E-2</v>
      </c>
      <c r="AO51" s="188">
        <f t="shared" ref="AO51:BH51" si="94">0.5*Vreg*Iout_sync_buck*fsw*10^3*(Vreg/SLEW_rate+Vreg/1.5)*10^-9</f>
        <v>3.5619111111111101E-2</v>
      </c>
      <c r="AP51" s="188">
        <f t="shared" si="94"/>
        <v>3.5619111111111101E-2</v>
      </c>
      <c r="AQ51" s="188">
        <f t="shared" si="94"/>
        <v>3.5619111111111101E-2</v>
      </c>
      <c r="AR51" s="188">
        <f t="shared" si="94"/>
        <v>3.5619111111111101E-2</v>
      </c>
      <c r="AS51" s="188">
        <f t="shared" si="94"/>
        <v>3.5619111111111101E-2</v>
      </c>
      <c r="AT51" s="188">
        <f t="shared" si="94"/>
        <v>3.5619111111111101E-2</v>
      </c>
      <c r="AU51" s="188">
        <f t="shared" si="94"/>
        <v>3.5619111111111101E-2</v>
      </c>
      <c r="AV51" s="188">
        <f t="shared" si="94"/>
        <v>3.5619111111111101E-2</v>
      </c>
      <c r="AW51" s="188">
        <f t="shared" si="94"/>
        <v>3.5619111111111101E-2</v>
      </c>
      <c r="AX51" s="188">
        <f t="shared" si="94"/>
        <v>3.5619111111111101E-2</v>
      </c>
      <c r="AY51" s="188">
        <f t="shared" si="94"/>
        <v>3.5619111111111101E-2</v>
      </c>
      <c r="AZ51" s="188">
        <f t="shared" si="94"/>
        <v>3.5619111111111101E-2</v>
      </c>
      <c r="BA51" s="188">
        <f t="shared" si="94"/>
        <v>3.5619111111111101E-2</v>
      </c>
      <c r="BB51" s="188">
        <f t="shared" si="94"/>
        <v>3.5619111111111101E-2</v>
      </c>
      <c r="BC51" s="188">
        <f t="shared" si="94"/>
        <v>3.5619111111111101E-2</v>
      </c>
      <c r="BD51" s="188">
        <f t="shared" si="94"/>
        <v>3.5619111111111101E-2</v>
      </c>
      <c r="BE51" s="188">
        <f t="shared" si="94"/>
        <v>3.5619111111111101E-2</v>
      </c>
      <c r="BF51" s="188">
        <f t="shared" si="94"/>
        <v>3.5619111111111101E-2</v>
      </c>
      <c r="BG51" s="188">
        <f t="shared" si="94"/>
        <v>3.5619111111111101E-2</v>
      </c>
      <c r="BH51" s="188">
        <f t="shared" si="94"/>
        <v>3.5619111111111101E-2</v>
      </c>
      <c r="BI51" s="15"/>
      <c r="BJ51" s="169"/>
      <c r="BK51" s="99"/>
      <c r="BL51" s="99"/>
      <c r="BM51" s="99"/>
      <c r="BN51" s="99"/>
      <c r="BO51" s="99"/>
      <c r="BP51" s="230"/>
      <c r="BQ51" s="230"/>
      <c r="BR51" s="230"/>
      <c r="BS51" s="230"/>
      <c r="BT51" s="230"/>
      <c r="BU51" s="230"/>
      <c r="BV51" s="99"/>
      <c r="BW51" s="99"/>
      <c r="BX51" s="99"/>
      <c r="BY51" s="99"/>
    </row>
    <row r="52" spans="1:77" s="4" customFormat="1" x14ac:dyDescent="0.3">
      <c r="A52" s="6"/>
      <c r="B52" s="111" t="s">
        <v>118</v>
      </c>
      <c r="C52" s="112">
        <f ca="1">ROUNDUP(MAX(X166:X168),0)</f>
        <v>43</v>
      </c>
      <c r="D52" s="86" t="s">
        <v>193</v>
      </c>
      <c r="E52" s="31"/>
      <c r="F52" s="37"/>
      <c r="G52" s="170"/>
      <c r="H52" s="187" t="s">
        <v>9</v>
      </c>
      <c r="I52" s="188">
        <f ca="1">I50+I51</f>
        <v>0.13053174143014606</v>
      </c>
      <c r="J52" s="188">
        <f t="shared" ref="J52:BH52" ca="1" si="95">J50+J51</f>
        <v>0.13240630428296551</v>
      </c>
      <c r="K52" s="188">
        <f t="shared" ca="1" si="95"/>
        <v>0.13180436935921186</v>
      </c>
      <c r="L52" s="188">
        <f t="shared" ca="1" si="95"/>
        <v>0.13136621973721072</v>
      </c>
      <c r="M52" s="188">
        <f t="shared" ca="1" si="95"/>
        <v>0.13103950755196964</v>
      </c>
      <c r="N52" s="188">
        <f t="shared" ca="1" si="95"/>
        <v>0.13079175683487093</v>
      </c>
      <c r="O52" s="188">
        <f t="shared" ca="1" si="95"/>
        <v>0.13060185146426284</v>
      </c>
      <c r="P52" s="188">
        <f t="shared" ca="1" si="95"/>
        <v>0.13045552321980614</v>
      </c>
      <c r="Q52" s="188">
        <f t="shared" ca="1" si="95"/>
        <v>0.13034282129335517</v>
      </c>
      <c r="R52" s="188">
        <f t="shared" ca="1" si="95"/>
        <v>0.13025661989820878</v>
      </c>
      <c r="S52" s="188">
        <f t="shared" ca="1" si="95"/>
        <v>0.13019170061742952</v>
      </c>
      <c r="T52" s="188">
        <f t="shared" ca="1" si="95"/>
        <v>0.13014416408889398</v>
      </c>
      <c r="U52" s="188">
        <f t="shared" ca="1" si="95"/>
        <v>0.13011094070709145</v>
      </c>
      <c r="V52" s="188">
        <f t="shared" ca="1" si="95"/>
        <v>0.13004436015914861</v>
      </c>
      <c r="W52" s="188">
        <f t="shared" ca="1" si="95"/>
        <v>0.13000863723613976</v>
      </c>
      <c r="X52" s="188">
        <f t="shared" ca="1" si="95"/>
        <v>0.13002443201120456</v>
      </c>
      <c r="Y52" s="188">
        <f t="shared" ca="1" si="95"/>
        <v>0.13004308047345442</v>
      </c>
      <c r="Z52" s="188">
        <f t="shared" ca="1" si="95"/>
        <v>0.13006443107498217</v>
      </c>
      <c r="AA52" s="188">
        <f t="shared" ca="1" si="95"/>
        <v>0.13008835262880886</v>
      </c>
      <c r="AB52" s="188">
        <f t="shared" ca="1" si="95"/>
        <v>0.13011473102520307</v>
      </c>
      <c r="AC52" s="188">
        <f t="shared" ca="1" si="95"/>
        <v>0.13014346656022829</v>
      </c>
      <c r="AD52" s="188">
        <f t="shared" ca="1" si="95"/>
        <v>0.13017447174814184</v>
      </c>
      <c r="AE52" s="188">
        <f t="shared" ca="1" si="95"/>
        <v>0.1302076695189488</v>
      </c>
      <c r="AF52" s="188">
        <f t="shared" ca="1" si="95"/>
        <v>0.13024299172464221</v>
      </c>
      <c r="AG52" s="188">
        <f t="shared" ca="1" si="95"/>
        <v>0.13028037789444624</v>
      </c>
      <c r="AH52" s="188">
        <f t="shared" ca="1" si="95"/>
        <v>0.13031977419214746</v>
      </c>
      <c r="AI52" s="188">
        <f t="shared" ca="1" si="95"/>
        <v>0.13036113253839582</v>
      </c>
      <c r="AJ52" s="188">
        <f t="shared" ca="1" si="95"/>
        <v>0.1304044098684167</v>
      </c>
      <c r="AK52" s="188">
        <f t="shared" ca="1" si="95"/>
        <v>0.13044956750145387</v>
      </c>
      <c r="AL52" s="188">
        <f t="shared" ca="1" si="95"/>
        <v>0.13049657060286615</v>
      </c>
      <c r="AM52" s="188">
        <f t="shared" ca="1" si="95"/>
        <v>0.13054538772342011</v>
      </c>
      <c r="AN52" s="188">
        <f t="shared" ca="1" si="95"/>
        <v>0.1305959904031927</v>
      </c>
      <c r="AO52" s="188">
        <f t="shared" ca="1" si="95"/>
        <v>0.13064835282978191</v>
      </c>
      <c r="AP52" s="188">
        <f t="shared" ca="1" si="95"/>
        <v>0.13070245154235371</v>
      </c>
      <c r="AQ52" s="188">
        <f t="shared" ca="1" si="95"/>
        <v>0.13075826517452835</v>
      </c>
      <c r="AR52" s="188">
        <f t="shared" ca="1" si="95"/>
        <v>0.13081577423029933</v>
      </c>
      <c r="AS52" s="188">
        <f t="shared" ca="1" si="95"/>
        <v>0.13087496088814846</v>
      </c>
      <c r="AT52" s="188">
        <f t="shared" ca="1" si="95"/>
        <v>0.13093580882931088</v>
      </c>
      <c r="AU52" s="188">
        <f t="shared" ca="1" si="95"/>
        <v>0.13099830308679394</v>
      </c>
      <c r="AV52" s="188">
        <f t="shared" ca="1" si="95"/>
        <v>0.13106242991228556</v>
      </c>
      <c r="AW52" s="188">
        <f t="shared" ca="1" si="95"/>
        <v>0.13112817665853244</v>
      </c>
      <c r="AX52" s="188">
        <f t="shared" ca="1" si="95"/>
        <v>0.1311955316751334</v>
      </c>
      <c r="AY52" s="188">
        <f t="shared" ca="1" si="95"/>
        <v>0.13126448421599873</v>
      </c>
      <c r="AZ52" s="188">
        <f t="shared" ca="1" si="95"/>
        <v>0.13133502435698227</v>
      </c>
      <c r="BA52" s="188">
        <f t="shared" ca="1" si="95"/>
        <v>0.13140714292240674</v>
      </c>
      <c r="BB52" s="188">
        <f t="shared" ca="1" si="95"/>
        <v>0.13148083141938396</v>
      </c>
      <c r="BC52" s="188">
        <f t="shared" ca="1" si="95"/>
        <v>0.13155608197898261</v>
      </c>
      <c r="BD52" s="188">
        <f t="shared" ca="1" si="95"/>
        <v>0.1316328873034267</v>
      </c>
      <c r="BE52" s="188">
        <f t="shared" ca="1" si="95"/>
        <v>0.13171124061861539</v>
      </c>
      <c r="BF52" s="188">
        <f t="shared" ca="1" si="95"/>
        <v>0.13179113563135114</v>
      </c>
      <c r="BG52" s="188">
        <f t="shared" ca="1" si="95"/>
        <v>0.13187256649073936</v>
      </c>
      <c r="BH52" s="188">
        <f t="shared" ca="1" si="95"/>
        <v>0.13463162475113596</v>
      </c>
      <c r="BI52" s="15"/>
      <c r="BJ52" s="169"/>
      <c r="BK52" s="99"/>
      <c r="BL52" s="99"/>
      <c r="BM52" s="99"/>
      <c r="BN52" s="99"/>
      <c r="BO52" s="99"/>
      <c r="BP52" s="230"/>
      <c r="BQ52" s="230"/>
      <c r="BR52" s="230"/>
      <c r="BS52" s="230"/>
      <c r="BT52" s="230"/>
      <c r="BU52" s="230"/>
      <c r="BV52" s="99"/>
      <c r="BW52" s="99"/>
      <c r="BX52" s="99"/>
      <c r="BY52" s="99"/>
    </row>
    <row r="53" spans="1:77" s="4" customFormat="1" x14ac:dyDescent="0.3">
      <c r="A53" s="6"/>
      <c r="B53" s="111" t="s">
        <v>125</v>
      </c>
      <c r="C53" s="113">
        <f ca="1">ROUNDUP(C48/(2*C54)*1000,0)</f>
        <v>6</v>
      </c>
      <c r="D53" s="86" t="s">
        <v>173</v>
      </c>
      <c r="E53" s="114"/>
      <c r="F53" s="37"/>
      <c r="G53" s="170" t="s">
        <v>270</v>
      </c>
      <c r="H53" s="15" t="s">
        <v>60</v>
      </c>
      <c r="I53" s="186">
        <f t="shared" ref="I53:AN53" ca="1" si="96">Buck_RdsON_factor_7V*(I4-150)+Adj_buck_lo_rdsON_150</f>
        <v>0.10658504458045115</v>
      </c>
      <c r="J53" s="186">
        <f t="shared" ca="1" si="96"/>
        <v>0.11210511500773809</v>
      </c>
      <c r="K53" s="186">
        <f t="shared" ca="1" si="96"/>
        <v>0.11033384849148312</v>
      </c>
      <c r="L53" s="186">
        <f t="shared" ca="1" si="96"/>
        <v>0.10904378780254977</v>
      </c>
      <c r="M53" s="186">
        <f t="shared" ca="1" si="96"/>
        <v>0.10808142346694452</v>
      </c>
      <c r="N53" s="186">
        <f t="shared" ca="1" si="96"/>
        <v>0.10735141267539709</v>
      </c>
      <c r="O53" s="186">
        <f t="shared" ca="1" si="96"/>
        <v>0.10679170861212382</v>
      </c>
      <c r="P53" s="186">
        <f t="shared" ca="1" si="96"/>
        <v>0.10636035692380556</v>
      </c>
      <c r="Q53" s="186">
        <f t="shared" ca="1" si="96"/>
        <v>0.10602808169104597</v>
      </c>
      <c r="R53" s="186">
        <f t="shared" ca="1" si="96"/>
        <v>0.10577390861856727</v>
      </c>
      <c r="S53" s="186">
        <f t="shared" ca="1" si="96"/>
        <v>0.10558247161604849</v>
      </c>
      <c r="T53" s="186">
        <f t="shared" ca="1" si="96"/>
        <v>0.10544228480929764</v>
      </c>
      <c r="U53" s="186">
        <f t="shared" ca="1" si="96"/>
        <v>0.10534430349417329</v>
      </c>
      <c r="V53" s="186">
        <f t="shared" ca="1" si="96"/>
        <v>0.10514793527628777</v>
      </c>
      <c r="W53" s="186">
        <f t="shared" ca="1" si="96"/>
        <v>0.10504257040484775</v>
      </c>
      <c r="X53" s="186">
        <f t="shared" ca="1" si="96"/>
        <v>0.10508915766539734</v>
      </c>
      <c r="Y53" s="186">
        <f t="shared" ca="1" si="96"/>
        <v>0.10514416091260523</v>
      </c>
      <c r="Z53" s="186">
        <f t="shared" ca="1" si="96"/>
        <v>0.10520713264428629</v>
      </c>
      <c r="AA53" s="186">
        <f t="shared" ca="1" si="96"/>
        <v>0.10527768537619699</v>
      </c>
      <c r="AB53" s="186">
        <f t="shared" ca="1" si="96"/>
        <v>0.10535548196210349</v>
      </c>
      <c r="AC53" s="186">
        <f t="shared" ca="1" si="96"/>
        <v>0.10544022771815657</v>
      </c>
      <c r="AD53" s="186">
        <f t="shared" ca="1" si="96"/>
        <v>0.10553166397333232</v>
      </c>
      <c r="AE53" s="186">
        <f t="shared" ca="1" si="96"/>
        <v>0.10562956275512329</v>
      </c>
      <c r="AF53" s="186">
        <f t="shared" ca="1" si="96"/>
        <v>0.10573372238514397</v>
      </c>
      <c r="AG53" s="186">
        <f t="shared" ca="1" si="96"/>
        <v>0.10584396380875871</v>
      </c>
      <c r="AH53" s="186">
        <f t="shared" ca="1" si="96"/>
        <v>0.10596012752047235</v>
      </c>
      <c r="AI53" s="186">
        <f t="shared" ca="1" si="96"/>
        <v>0.10608207097567629</v>
      </c>
      <c r="AJ53" s="186">
        <f t="shared" ca="1" si="96"/>
        <v>0.10620966640162656</v>
      </c>
      <c r="AK53" s="186">
        <f t="shared" ca="1" si="96"/>
        <v>0.10634279893785417</v>
      </c>
      <c r="AL53" s="186">
        <f t="shared" ca="1" si="96"/>
        <v>0.10648136504976731</v>
      </c>
      <c r="AM53" s="186">
        <f t="shared" ca="1" si="96"/>
        <v>0.10662527116988045</v>
      </c>
      <c r="AN53" s="186">
        <f t="shared" ca="1" si="96"/>
        <v>0.10677443252956258</v>
      </c>
      <c r="AO53" s="186">
        <f t="shared" ref="AO53:BH53" ca="1" si="97">Buck_RdsON_factor_7V*(AO4-150)+Adj_buck_lo_rdsON_150</f>
        <v>0.10692877215093252</v>
      </c>
      <c r="AP53" s="186">
        <f t="shared" ca="1" si="97"/>
        <v>0.10708821997392581</v>
      </c>
      <c r="AQ53" s="186">
        <f t="shared" ca="1" si="97"/>
        <v>0.10725271209789944</v>
      </c>
      <c r="AR53" s="186">
        <f t="shared" ca="1" si="97"/>
        <v>0.10742219012065619</v>
      </c>
      <c r="AS53" s="186">
        <f t="shared" ca="1" si="97"/>
        <v>0.10759660056062564</v>
      </c>
      <c r="AT53" s="186">
        <f t="shared" ca="1" si="97"/>
        <v>0.10777589435027171</v>
      </c>
      <c r="AU53" s="186">
        <f t="shared" ca="1" si="97"/>
        <v>0.10796002639070944</v>
      </c>
      <c r="AV53" s="186">
        <f t="shared" ca="1" si="97"/>
        <v>0.10814895515908884</v>
      </c>
      <c r="AW53" s="186">
        <f t="shared" ca="1" si="97"/>
        <v>0.1083426423616063</v>
      </c>
      <c r="AX53" s="186">
        <f t="shared" ca="1" si="97"/>
        <v>0.10854105262608506</v>
      </c>
      <c r="AY53" s="186">
        <f t="shared" ca="1" si="97"/>
        <v>0.10874415322896698</v>
      </c>
      <c r="AZ53" s="186">
        <f t="shared" ca="1" si="97"/>
        <v>0.10895191385231115</v>
      </c>
      <c r="BA53" s="186">
        <f t="shared" ca="1" si="97"/>
        <v>0.10916430636702598</v>
      </c>
      <c r="BB53" s="186">
        <f t="shared" ca="1" si="97"/>
        <v>0.10938130463909423</v>
      </c>
      <c r="BC53" s="186">
        <f t="shared" ca="1" si="97"/>
        <v>0.10960288435599862</v>
      </c>
      <c r="BD53" s="186">
        <f t="shared" ca="1" si="97"/>
        <v>0.10982902287093615</v>
      </c>
      <c r="BE53" s="186">
        <f t="shared" ca="1" si="97"/>
        <v>0.11005969906273305</v>
      </c>
      <c r="BF53" s="186">
        <f t="shared" ca="1" si="97"/>
        <v>0.1102948932096465</v>
      </c>
      <c r="BG53" s="186">
        <f t="shared" ca="1" si="97"/>
        <v>0.11053458687547538</v>
      </c>
      <c r="BH53" s="186">
        <f t="shared" ca="1" si="97"/>
        <v>0.11864304248779865</v>
      </c>
      <c r="BI53" s="15"/>
      <c r="BJ53" s="169"/>
      <c r="BK53" s="99"/>
      <c r="BL53" s="99"/>
      <c r="BM53" s="99"/>
      <c r="BN53" s="99"/>
      <c r="BO53" s="99"/>
      <c r="BP53" s="230"/>
      <c r="BQ53" s="230"/>
      <c r="BR53" s="230"/>
      <c r="BS53" s="230"/>
      <c r="BT53" s="230"/>
      <c r="BU53" s="230"/>
      <c r="BV53" s="99"/>
      <c r="BW53" s="99"/>
      <c r="BX53" s="99"/>
      <c r="BY53" s="99"/>
    </row>
    <row r="54" spans="1:77" s="4" customFormat="1" x14ac:dyDescent="0.3">
      <c r="A54" s="6"/>
      <c r="B54" s="45" t="s">
        <v>131</v>
      </c>
      <c r="C54" s="53">
        <f ca="1">ROUNDUP(IF(Topology="Buck",MAX(J107:BG107),MAX(J29:BG29)),3)</f>
        <v>0.95</v>
      </c>
      <c r="D54" s="86" t="s">
        <v>175</v>
      </c>
      <c r="E54" s="38"/>
      <c r="F54" s="37"/>
      <c r="G54" s="170"/>
      <c r="H54" s="187" t="s">
        <v>5</v>
      </c>
      <c r="I54" s="188">
        <f ca="1">I47^2*I53</f>
        <v>1.826224708092615E-2</v>
      </c>
      <c r="J54" s="188">
        <f t="shared" ref="J54:BH54" ca="1" si="98">J47^2*J53</f>
        <v>1.9167665640195376E-2</v>
      </c>
      <c r="K54" s="188">
        <f t="shared" ca="1" si="98"/>
        <v>1.8877570548885798E-2</v>
      </c>
      <c r="L54" s="188">
        <f t="shared" ca="1" si="98"/>
        <v>1.8666028796617339E-2</v>
      </c>
      <c r="M54" s="188">
        <f t="shared" ca="1" si="98"/>
        <v>1.8508080609737541E-2</v>
      </c>
      <c r="N54" s="188">
        <f t="shared" ca="1" si="98"/>
        <v>1.8388186849644519E-2</v>
      </c>
      <c r="O54" s="188">
        <f t="shared" ca="1" si="98"/>
        <v>1.829621640465029E-2</v>
      </c>
      <c r="P54" s="188">
        <f t="shared" ca="1" si="98"/>
        <v>1.822530889222394E-2</v>
      </c>
      <c r="Q54" s="188">
        <f t="shared" ca="1" si="98"/>
        <v>1.817067144886993E-2</v>
      </c>
      <c r="R54" s="188">
        <f t="shared" ca="1" si="98"/>
        <v>1.8128866950656023E-2</v>
      </c>
      <c r="S54" s="188">
        <f t="shared" ca="1" si="98"/>
        <v>1.8097375247472323E-2</v>
      </c>
      <c r="T54" s="188">
        <f t="shared" ca="1" si="98"/>
        <v>1.8074311252008448E-2</v>
      </c>
      <c r="U54" s="188">
        <f t="shared" ca="1" si="98"/>
        <v>1.8058189520083607E-2</v>
      </c>
      <c r="V54" s="188">
        <f t="shared" ca="1" si="98"/>
        <v>1.8025875548901157E-2</v>
      </c>
      <c r="W54" s="188">
        <f t="shared" ca="1" si="98"/>
        <v>1.8008534836099377E-2</v>
      </c>
      <c r="X54" s="188">
        <f t="shared" ca="1" si="98"/>
        <v>1.8016202241039739E-2</v>
      </c>
      <c r="Y54" s="188">
        <f t="shared" ca="1" si="98"/>
        <v>1.8025254397668004E-2</v>
      </c>
      <c r="Z54" s="188">
        <f t="shared" ca="1" si="98"/>
        <v>1.8035617482361131E-2</v>
      </c>
      <c r="AA54" s="188">
        <f t="shared" ca="1" si="98"/>
        <v>1.8047227536576001E-2</v>
      </c>
      <c r="AB54" s="188">
        <f t="shared" ca="1" si="98"/>
        <v>1.806002887555774E-2</v>
      </c>
      <c r="AC54" s="188">
        <f t="shared" ca="1" si="98"/>
        <v>1.8073972793497012E-2</v>
      </c>
      <c r="AD54" s="188">
        <f t="shared" ca="1" si="98"/>
        <v>1.8089016503025392E-2</v>
      </c>
      <c r="AE54" s="188">
        <f t="shared" ca="1" si="98"/>
        <v>1.8105122261285952E-2</v>
      </c>
      <c r="AF54" s="188">
        <f t="shared" ca="1" si="98"/>
        <v>1.8122256645564598E-2</v>
      </c>
      <c r="AG54" s="188">
        <f t="shared" ca="1" si="98"/>
        <v>1.8140389949585375E-2</v>
      </c>
      <c r="AH54" s="188">
        <f t="shared" ca="1" si="98"/>
        <v>1.8159495677752407E-2</v>
      </c>
      <c r="AI54" s="188">
        <f t="shared" ca="1" si="98"/>
        <v>1.8179550119359365E-2</v>
      </c>
      <c r="AJ54" s="188">
        <f t="shared" ca="1" si="98"/>
        <v>1.8200531988447968E-2</v>
      </c>
      <c r="AK54" s="188">
        <f t="shared" ca="1" si="98"/>
        <v>1.8222422117842689E-2</v>
      </c>
      <c r="AL54" s="188">
        <f t="shared" ca="1" si="98"/>
        <v>1.8245203198116421E-2</v>
      </c>
      <c r="AM54" s="188">
        <f t="shared" ca="1" si="98"/>
        <v>1.8268859553996417E-2</v>
      </c>
      <c r="AN54" s="188">
        <f t="shared" ca="1" si="98"/>
        <v>1.8293376952109232E-2</v>
      </c>
      <c r="AO54" s="188">
        <f t="shared" ca="1" si="98"/>
        <v>1.8318742435070687E-2</v>
      </c>
      <c r="AP54" s="188">
        <f t="shared" ca="1" si="98"/>
        <v>1.8344944177813721E-2</v>
      </c>
      <c r="AQ54" s="188">
        <f t="shared" ca="1" si="98"/>
        <v>1.8371971362760815E-2</v>
      </c>
      <c r="AR54" s="188">
        <f t="shared" ca="1" si="98"/>
        <v>1.8399814071025589E-2</v>
      </c>
      <c r="AS54" s="188">
        <f t="shared" ca="1" si="98"/>
        <v>1.8428463187297503E-2</v>
      </c>
      <c r="AT54" s="188">
        <f t="shared" ca="1" si="98"/>
        <v>1.8457910316447428E-2</v>
      </c>
      <c r="AU54" s="188">
        <f t="shared" ca="1" si="98"/>
        <v>1.8488147710206012E-2</v>
      </c>
      <c r="AV54" s="188">
        <f t="shared" ca="1" si="98"/>
        <v>1.8519168202526227E-2</v>
      </c>
      <c r="AW54" s="188">
        <f t="shared" ca="1" si="98"/>
        <v>1.8550965152455242E-2</v>
      </c>
      <c r="AX54" s="188">
        <f t="shared" ca="1" si="98"/>
        <v>1.8583532393519068E-2</v>
      </c>
      <c r="AY54" s="188">
        <f t="shared" ca="1" si="98"/>
        <v>1.8616864188771128E-2</v>
      </c>
      <c r="AZ54" s="188">
        <f t="shared" ca="1" si="98"/>
        <v>1.8650955190780086E-2</v>
      </c>
      <c r="BA54" s="188">
        <f t="shared" ca="1" si="98"/>
        <v>1.868580040593602E-2</v>
      </c>
      <c r="BB54" s="188">
        <f t="shared" ca="1" si="98"/>
        <v>1.8721395162541562E-2</v>
      </c>
      <c r="BC54" s="188">
        <f t="shared" ca="1" si="98"/>
        <v>1.8757735082228683E-2</v>
      </c>
      <c r="BD54" s="188">
        <f t="shared" ca="1" si="98"/>
        <v>1.8794816054303845E-2</v>
      </c>
      <c r="BE54" s="188">
        <f t="shared" ca="1" si="98"/>
        <v>1.8832634212678178E-2</v>
      </c>
      <c r="BF54" s="188">
        <f t="shared" ca="1" si="98"/>
        <v>1.8871185915083973E-2</v>
      </c>
      <c r="BG54" s="188">
        <f t="shared" ca="1" si="98"/>
        <v>1.8910467724317773E-2</v>
      </c>
      <c r="BH54" s="188">
        <f t="shared" ca="1" si="98"/>
        <v>2.0234891017356694E-2</v>
      </c>
      <c r="BI54" s="15"/>
      <c r="BJ54" s="169"/>
      <c r="BK54" s="99"/>
      <c r="BL54" s="99"/>
      <c r="BM54" s="99"/>
      <c r="BN54" s="99"/>
      <c r="BO54" s="99"/>
      <c r="BP54" s="230"/>
      <c r="BQ54" s="230"/>
      <c r="BR54" s="230"/>
      <c r="BS54" s="230"/>
      <c r="BT54" s="230"/>
      <c r="BU54" s="230"/>
      <c r="BV54" s="99"/>
      <c r="BW54" s="99"/>
      <c r="BX54" s="99"/>
      <c r="BY54" s="99"/>
    </row>
    <row r="55" spans="1:77" s="4" customFormat="1" x14ac:dyDescent="0.3">
      <c r="A55" s="6"/>
      <c r="B55" s="269" t="s">
        <v>342</v>
      </c>
      <c r="C55" s="270">
        <v>8.5</v>
      </c>
      <c r="D55" s="87" t="s">
        <v>349</v>
      </c>
      <c r="E55" s="36"/>
      <c r="F55" s="37"/>
      <c r="G55" s="170"/>
      <c r="H55" s="187" t="s">
        <v>288</v>
      </c>
      <c r="I55" s="188">
        <f t="shared" ref="I55:AN55" ca="1" si="99">(I43-I44/2)*(2*td*10^-9*(fsw*10^3))*0.05</f>
        <v>2.1000000000000003E-3</v>
      </c>
      <c r="J55" s="188">
        <f t="shared" ca="1" si="99"/>
        <v>2.1000000000000003E-3</v>
      </c>
      <c r="K55" s="188">
        <f t="shared" ca="1" si="99"/>
        <v>2.1000000000000003E-3</v>
      </c>
      <c r="L55" s="188">
        <f t="shared" ca="1" si="99"/>
        <v>2.1000000000000003E-3</v>
      </c>
      <c r="M55" s="188">
        <f t="shared" ca="1" si="99"/>
        <v>2.1000000000000003E-3</v>
      </c>
      <c r="N55" s="188">
        <f t="shared" ca="1" si="99"/>
        <v>2.1000000000000003E-3</v>
      </c>
      <c r="O55" s="188">
        <f t="shared" ca="1" si="99"/>
        <v>2.1000000000000003E-3</v>
      </c>
      <c r="P55" s="188">
        <f t="shared" ca="1" si="99"/>
        <v>2.1000000000000003E-3</v>
      </c>
      <c r="Q55" s="188">
        <f t="shared" ca="1" si="99"/>
        <v>2.1000000000000003E-3</v>
      </c>
      <c r="R55" s="188">
        <f t="shared" ca="1" si="99"/>
        <v>2.1000000000000003E-3</v>
      </c>
      <c r="S55" s="188">
        <f t="shared" ca="1" si="99"/>
        <v>2.1000000000000003E-3</v>
      </c>
      <c r="T55" s="188">
        <f t="shared" ca="1" si="99"/>
        <v>2.1000000000000003E-3</v>
      </c>
      <c r="U55" s="188">
        <f t="shared" ca="1" si="99"/>
        <v>2.1000000000000003E-3</v>
      </c>
      <c r="V55" s="188">
        <f t="shared" ca="1" si="99"/>
        <v>2.1000000000000003E-3</v>
      </c>
      <c r="W55" s="188">
        <f t="shared" ca="1" si="99"/>
        <v>2.1000000000000003E-3</v>
      </c>
      <c r="X55" s="188">
        <f t="shared" ca="1" si="99"/>
        <v>2.1000000000000003E-3</v>
      </c>
      <c r="Y55" s="188">
        <f t="shared" ca="1" si="99"/>
        <v>2.1000000000000003E-3</v>
      </c>
      <c r="Z55" s="188">
        <f t="shared" ca="1" si="99"/>
        <v>2.1000000000000003E-3</v>
      </c>
      <c r="AA55" s="188">
        <f t="shared" ca="1" si="99"/>
        <v>2.1000000000000003E-3</v>
      </c>
      <c r="AB55" s="188">
        <f t="shared" ca="1" si="99"/>
        <v>2.1000000000000003E-3</v>
      </c>
      <c r="AC55" s="188">
        <f t="shared" ca="1" si="99"/>
        <v>2.1000000000000003E-3</v>
      </c>
      <c r="AD55" s="188">
        <f t="shared" ca="1" si="99"/>
        <v>2.1000000000000003E-3</v>
      </c>
      <c r="AE55" s="188">
        <f t="shared" ca="1" si="99"/>
        <v>2.1000000000000003E-3</v>
      </c>
      <c r="AF55" s="188">
        <f t="shared" ca="1" si="99"/>
        <v>2.1000000000000003E-3</v>
      </c>
      <c r="AG55" s="188">
        <f t="shared" ca="1" si="99"/>
        <v>2.1000000000000003E-3</v>
      </c>
      <c r="AH55" s="188">
        <f t="shared" ca="1" si="99"/>
        <v>2.1000000000000003E-3</v>
      </c>
      <c r="AI55" s="188">
        <f t="shared" ca="1" si="99"/>
        <v>2.1000000000000003E-3</v>
      </c>
      <c r="AJ55" s="188">
        <f t="shared" ca="1" si="99"/>
        <v>2.1000000000000003E-3</v>
      </c>
      <c r="AK55" s="188">
        <f t="shared" ca="1" si="99"/>
        <v>2.1000000000000003E-3</v>
      </c>
      <c r="AL55" s="188">
        <f t="shared" ca="1" si="99"/>
        <v>2.1000000000000003E-3</v>
      </c>
      <c r="AM55" s="188">
        <f t="shared" ca="1" si="99"/>
        <v>2.1000000000000003E-3</v>
      </c>
      <c r="AN55" s="188">
        <f t="shared" ca="1" si="99"/>
        <v>2.1000000000000003E-3</v>
      </c>
      <c r="AO55" s="188">
        <f t="shared" ref="AO55:BH55" ca="1" si="100">(AO43-AO44/2)*(2*td*10^-9*(fsw*10^3))*0.05</f>
        <v>2.1000000000000003E-3</v>
      </c>
      <c r="AP55" s="188">
        <f t="shared" ca="1" si="100"/>
        <v>2.1000000000000003E-3</v>
      </c>
      <c r="AQ55" s="188">
        <f t="shared" ca="1" si="100"/>
        <v>2.1000000000000003E-3</v>
      </c>
      <c r="AR55" s="188">
        <f t="shared" ca="1" si="100"/>
        <v>2.1000000000000003E-3</v>
      </c>
      <c r="AS55" s="188">
        <f t="shared" ca="1" si="100"/>
        <v>2.1000000000000003E-3</v>
      </c>
      <c r="AT55" s="188">
        <f t="shared" ca="1" si="100"/>
        <v>2.1000000000000003E-3</v>
      </c>
      <c r="AU55" s="188">
        <f t="shared" ca="1" si="100"/>
        <v>2.1000000000000003E-3</v>
      </c>
      <c r="AV55" s="188">
        <f t="shared" ca="1" si="100"/>
        <v>2.1000000000000003E-3</v>
      </c>
      <c r="AW55" s="188">
        <f t="shared" ca="1" si="100"/>
        <v>2.1000000000000003E-3</v>
      </c>
      <c r="AX55" s="188">
        <f t="shared" ca="1" si="100"/>
        <v>2.1000000000000003E-3</v>
      </c>
      <c r="AY55" s="188">
        <f t="shared" ca="1" si="100"/>
        <v>2.1000000000000003E-3</v>
      </c>
      <c r="AZ55" s="188">
        <f t="shared" ca="1" si="100"/>
        <v>2.1000000000000003E-3</v>
      </c>
      <c r="BA55" s="188">
        <f t="shared" ca="1" si="100"/>
        <v>2.1000000000000003E-3</v>
      </c>
      <c r="BB55" s="188">
        <f t="shared" ca="1" si="100"/>
        <v>2.1000000000000003E-3</v>
      </c>
      <c r="BC55" s="188">
        <f t="shared" ca="1" si="100"/>
        <v>2.1000000000000003E-3</v>
      </c>
      <c r="BD55" s="188">
        <f t="shared" ca="1" si="100"/>
        <v>2.1000000000000003E-3</v>
      </c>
      <c r="BE55" s="188">
        <f t="shared" ca="1" si="100"/>
        <v>2.1000000000000003E-3</v>
      </c>
      <c r="BF55" s="188">
        <f t="shared" ca="1" si="100"/>
        <v>2.1000000000000003E-3</v>
      </c>
      <c r="BG55" s="188">
        <f t="shared" ca="1" si="100"/>
        <v>2.1000000000000003E-3</v>
      </c>
      <c r="BH55" s="188">
        <f t="shared" ca="1" si="100"/>
        <v>2.1000000000000003E-3</v>
      </c>
      <c r="BI55" s="15"/>
      <c r="BJ55" s="169"/>
      <c r="BK55" s="99"/>
      <c r="BL55" s="99"/>
      <c r="BM55" s="99"/>
      <c r="BN55" s="99"/>
      <c r="BO55" s="99"/>
      <c r="BP55" s="230"/>
      <c r="BQ55" s="230"/>
      <c r="BR55" s="230"/>
      <c r="BS55" s="230"/>
      <c r="BT55" s="230"/>
      <c r="BU55" s="230"/>
      <c r="BV55" s="99"/>
      <c r="BW55" s="99"/>
      <c r="BX55" s="99"/>
      <c r="BY55" s="99"/>
    </row>
    <row r="56" spans="1:77" s="4" customFormat="1" x14ac:dyDescent="0.3">
      <c r="A56" s="6"/>
      <c r="B56" s="127" t="s">
        <v>307</v>
      </c>
      <c r="C56" s="148">
        <v>3</v>
      </c>
      <c r="D56" s="128" t="s">
        <v>238</v>
      </c>
      <c r="E56" s="36"/>
      <c r="F56" s="37"/>
      <c r="G56" s="170"/>
      <c r="H56" s="187" t="s">
        <v>9</v>
      </c>
      <c r="I56" s="188">
        <f ca="1">I54+I55</f>
        <v>2.0362247080926151E-2</v>
      </c>
      <c r="J56" s="188">
        <f t="shared" ref="J56:BH56" ca="1" si="101">J54+J55</f>
        <v>2.1267665640195377E-2</v>
      </c>
      <c r="K56" s="188">
        <f t="shared" ca="1" si="101"/>
        <v>2.0977570548885799E-2</v>
      </c>
      <c r="L56" s="188">
        <f t="shared" ca="1" si="101"/>
        <v>2.076602879661734E-2</v>
      </c>
      <c r="M56" s="188">
        <f t="shared" ca="1" si="101"/>
        <v>2.0608080609737543E-2</v>
      </c>
      <c r="N56" s="188">
        <f t="shared" ca="1" si="101"/>
        <v>2.048818684964452E-2</v>
      </c>
      <c r="O56" s="188">
        <f t="shared" ca="1" si="101"/>
        <v>2.0396216404650291E-2</v>
      </c>
      <c r="P56" s="188">
        <f t="shared" ca="1" si="101"/>
        <v>2.0325308892223941E-2</v>
      </c>
      <c r="Q56" s="188">
        <f t="shared" ca="1" si="101"/>
        <v>2.0270671448869931E-2</v>
      </c>
      <c r="R56" s="188">
        <f t="shared" ca="1" si="101"/>
        <v>2.0228866950656024E-2</v>
      </c>
      <c r="S56" s="188">
        <f t="shared" ca="1" si="101"/>
        <v>2.0197375247472324E-2</v>
      </c>
      <c r="T56" s="188">
        <f t="shared" ca="1" si="101"/>
        <v>2.0174311252008449E-2</v>
      </c>
      <c r="U56" s="188">
        <f t="shared" ca="1" si="101"/>
        <v>2.0158189520083608E-2</v>
      </c>
      <c r="V56" s="188">
        <f t="shared" ca="1" si="101"/>
        <v>2.0125875548901159E-2</v>
      </c>
      <c r="W56" s="188">
        <f t="shared" ca="1" si="101"/>
        <v>2.0108534836099378E-2</v>
      </c>
      <c r="X56" s="188">
        <f t="shared" ca="1" si="101"/>
        <v>2.011620224103974E-2</v>
      </c>
      <c r="Y56" s="188">
        <f t="shared" ca="1" si="101"/>
        <v>2.0125254397668005E-2</v>
      </c>
      <c r="Z56" s="188">
        <f t="shared" ca="1" si="101"/>
        <v>2.0135617482361132E-2</v>
      </c>
      <c r="AA56" s="188">
        <f t="shared" ca="1" si="101"/>
        <v>2.0147227536576003E-2</v>
      </c>
      <c r="AB56" s="188">
        <f t="shared" ca="1" si="101"/>
        <v>2.0160028875557741E-2</v>
      </c>
      <c r="AC56" s="188">
        <f t="shared" ca="1" si="101"/>
        <v>2.0173972793497013E-2</v>
      </c>
      <c r="AD56" s="188">
        <f t="shared" ca="1" si="101"/>
        <v>2.0189016503025393E-2</v>
      </c>
      <c r="AE56" s="188">
        <f t="shared" ca="1" si="101"/>
        <v>2.0205122261285954E-2</v>
      </c>
      <c r="AF56" s="188">
        <f t="shared" ca="1" si="101"/>
        <v>2.0222256645564599E-2</v>
      </c>
      <c r="AG56" s="188">
        <f t="shared" ca="1" si="101"/>
        <v>2.0240389949585377E-2</v>
      </c>
      <c r="AH56" s="188">
        <f t="shared" ca="1" si="101"/>
        <v>2.0259495677752409E-2</v>
      </c>
      <c r="AI56" s="188">
        <f t="shared" ca="1" si="101"/>
        <v>2.0279550119359366E-2</v>
      </c>
      <c r="AJ56" s="188">
        <f t="shared" ca="1" si="101"/>
        <v>2.0300531988447969E-2</v>
      </c>
      <c r="AK56" s="188">
        <f t="shared" ca="1" si="101"/>
        <v>2.032242211784269E-2</v>
      </c>
      <c r="AL56" s="188">
        <f t="shared" ca="1" si="101"/>
        <v>2.0345203198116422E-2</v>
      </c>
      <c r="AM56" s="188">
        <f t="shared" ca="1" si="101"/>
        <v>2.0368859553996418E-2</v>
      </c>
      <c r="AN56" s="188">
        <f t="shared" ca="1" si="101"/>
        <v>2.0393376952109233E-2</v>
      </c>
      <c r="AO56" s="188">
        <f t="shared" ca="1" si="101"/>
        <v>2.0418742435070688E-2</v>
      </c>
      <c r="AP56" s="188">
        <f t="shared" ca="1" si="101"/>
        <v>2.0444944177813722E-2</v>
      </c>
      <c r="AQ56" s="188">
        <f t="shared" ca="1" si="101"/>
        <v>2.0471971362760816E-2</v>
      </c>
      <c r="AR56" s="188">
        <f t="shared" ca="1" si="101"/>
        <v>2.049981407102559E-2</v>
      </c>
      <c r="AS56" s="188">
        <f t="shared" ca="1" si="101"/>
        <v>2.0528463187297504E-2</v>
      </c>
      <c r="AT56" s="188">
        <f t="shared" ca="1" si="101"/>
        <v>2.0557910316447429E-2</v>
      </c>
      <c r="AU56" s="188">
        <f t="shared" ca="1" si="101"/>
        <v>2.0588147710206013E-2</v>
      </c>
      <c r="AV56" s="188">
        <f t="shared" ca="1" si="101"/>
        <v>2.0619168202526229E-2</v>
      </c>
      <c r="AW56" s="188">
        <f t="shared" ca="1" si="101"/>
        <v>2.0650965152455243E-2</v>
      </c>
      <c r="AX56" s="188">
        <f t="shared" ca="1" si="101"/>
        <v>2.0683532393519069E-2</v>
      </c>
      <c r="AY56" s="188">
        <f t="shared" ca="1" si="101"/>
        <v>2.0716864188771129E-2</v>
      </c>
      <c r="AZ56" s="188">
        <f t="shared" ca="1" si="101"/>
        <v>2.0750955190780088E-2</v>
      </c>
      <c r="BA56" s="188">
        <f t="shared" ca="1" si="101"/>
        <v>2.0785800405936021E-2</v>
      </c>
      <c r="BB56" s="188">
        <f t="shared" ca="1" si="101"/>
        <v>2.0821395162541563E-2</v>
      </c>
      <c r="BC56" s="188">
        <f t="shared" ca="1" si="101"/>
        <v>2.0857735082228684E-2</v>
      </c>
      <c r="BD56" s="188">
        <f t="shared" ca="1" si="101"/>
        <v>2.0894816054303846E-2</v>
      </c>
      <c r="BE56" s="188">
        <f t="shared" ca="1" si="101"/>
        <v>2.0932634212678179E-2</v>
      </c>
      <c r="BF56" s="188">
        <f t="shared" ca="1" si="101"/>
        <v>2.0971185915083974E-2</v>
      </c>
      <c r="BG56" s="188">
        <f t="shared" ca="1" si="101"/>
        <v>2.1010467724317774E-2</v>
      </c>
      <c r="BH56" s="188">
        <f t="shared" ca="1" si="101"/>
        <v>2.2334891017356695E-2</v>
      </c>
      <c r="BI56" s="15"/>
      <c r="BJ56" s="169"/>
      <c r="BK56" s="99"/>
      <c r="BL56" s="99"/>
      <c r="BM56" s="99"/>
      <c r="BN56" s="99"/>
      <c r="BO56" s="99"/>
      <c r="BP56" s="230"/>
      <c r="BQ56" s="230"/>
      <c r="BR56" s="230"/>
      <c r="BS56" s="230"/>
      <c r="BT56" s="230"/>
      <c r="BU56" s="230"/>
      <c r="BV56" s="99"/>
      <c r="BW56" s="99"/>
      <c r="BX56" s="99"/>
      <c r="BY56" s="99"/>
    </row>
    <row r="57" spans="1:77" s="4" customFormat="1" ht="15" thickBot="1" x14ac:dyDescent="0.35">
      <c r="A57" s="6"/>
      <c r="B57" s="271" t="s">
        <v>343</v>
      </c>
      <c r="C57" s="272">
        <v>5</v>
      </c>
      <c r="D57" s="88" t="s">
        <v>174</v>
      </c>
      <c r="E57" s="36"/>
      <c r="F57" s="37"/>
      <c r="G57" s="189" t="s">
        <v>254</v>
      </c>
      <c r="H57" s="15" t="s">
        <v>76</v>
      </c>
      <c r="I57" s="168">
        <f t="shared" ref="I57:AN57" ca="1" si="102">IF(I21-5&lt;I58*Iout_V5A,I21-I58*Iout_V5A,5)</f>
        <v>5</v>
      </c>
      <c r="J57" s="168">
        <f t="shared" ca="1" si="102"/>
        <v>5</v>
      </c>
      <c r="K57" s="168">
        <f t="shared" ca="1" si="102"/>
        <v>5</v>
      </c>
      <c r="L57" s="168">
        <f t="shared" ca="1" si="102"/>
        <v>5</v>
      </c>
      <c r="M57" s="168">
        <f t="shared" ca="1" si="102"/>
        <v>5</v>
      </c>
      <c r="N57" s="168">
        <f t="shared" ca="1" si="102"/>
        <v>5</v>
      </c>
      <c r="O57" s="168">
        <f t="shared" ca="1" si="102"/>
        <v>5</v>
      </c>
      <c r="P57" s="168">
        <f t="shared" ca="1" si="102"/>
        <v>5</v>
      </c>
      <c r="Q57" s="168">
        <f t="shared" ca="1" si="102"/>
        <v>5</v>
      </c>
      <c r="R57" s="168">
        <f t="shared" ca="1" si="102"/>
        <v>5</v>
      </c>
      <c r="S57" s="168">
        <f t="shared" ca="1" si="102"/>
        <v>5</v>
      </c>
      <c r="T57" s="168">
        <f t="shared" ca="1" si="102"/>
        <v>5</v>
      </c>
      <c r="U57" s="168">
        <f t="shared" ca="1" si="102"/>
        <v>5</v>
      </c>
      <c r="V57" s="168">
        <f t="shared" ca="1" si="102"/>
        <v>5</v>
      </c>
      <c r="W57" s="168">
        <f t="shared" ca="1" si="102"/>
        <v>5</v>
      </c>
      <c r="X57" s="168">
        <f t="shared" ca="1" si="102"/>
        <v>5</v>
      </c>
      <c r="Y57" s="168">
        <f t="shared" ca="1" si="102"/>
        <v>5</v>
      </c>
      <c r="Z57" s="168">
        <f t="shared" ca="1" si="102"/>
        <v>5</v>
      </c>
      <c r="AA57" s="168">
        <f t="shared" ca="1" si="102"/>
        <v>5</v>
      </c>
      <c r="AB57" s="168">
        <f t="shared" ca="1" si="102"/>
        <v>5</v>
      </c>
      <c r="AC57" s="168">
        <f t="shared" ca="1" si="102"/>
        <v>5</v>
      </c>
      <c r="AD57" s="168">
        <f t="shared" ca="1" si="102"/>
        <v>5</v>
      </c>
      <c r="AE57" s="168">
        <f t="shared" ca="1" si="102"/>
        <v>5</v>
      </c>
      <c r="AF57" s="168">
        <f t="shared" ca="1" si="102"/>
        <v>5</v>
      </c>
      <c r="AG57" s="168">
        <f t="shared" ca="1" si="102"/>
        <v>5</v>
      </c>
      <c r="AH57" s="168">
        <f t="shared" ca="1" si="102"/>
        <v>5</v>
      </c>
      <c r="AI57" s="168">
        <f t="shared" ca="1" si="102"/>
        <v>5</v>
      </c>
      <c r="AJ57" s="168">
        <f t="shared" ca="1" si="102"/>
        <v>5</v>
      </c>
      <c r="AK57" s="168">
        <f t="shared" ca="1" si="102"/>
        <v>5</v>
      </c>
      <c r="AL57" s="168">
        <f t="shared" ca="1" si="102"/>
        <v>5</v>
      </c>
      <c r="AM57" s="168">
        <f t="shared" ca="1" si="102"/>
        <v>5</v>
      </c>
      <c r="AN57" s="168">
        <f t="shared" ca="1" si="102"/>
        <v>5</v>
      </c>
      <c r="AO57" s="168">
        <f t="shared" ref="AO57:BH57" ca="1" si="103">IF(AO21-5&lt;AO58*Iout_V5A,AO21-AO58*Iout_V5A,5)</f>
        <v>5</v>
      </c>
      <c r="AP57" s="168">
        <f t="shared" ca="1" si="103"/>
        <v>5</v>
      </c>
      <c r="AQ57" s="168">
        <f t="shared" ca="1" si="103"/>
        <v>5</v>
      </c>
      <c r="AR57" s="168">
        <f t="shared" ca="1" si="103"/>
        <v>5</v>
      </c>
      <c r="AS57" s="168">
        <f t="shared" ca="1" si="103"/>
        <v>5</v>
      </c>
      <c r="AT57" s="168">
        <f t="shared" ca="1" si="103"/>
        <v>5</v>
      </c>
      <c r="AU57" s="168">
        <f t="shared" ca="1" si="103"/>
        <v>5</v>
      </c>
      <c r="AV57" s="168">
        <f t="shared" ca="1" si="103"/>
        <v>5</v>
      </c>
      <c r="AW57" s="168">
        <f t="shared" ca="1" si="103"/>
        <v>5</v>
      </c>
      <c r="AX57" s="168">
        <f t="shared" ca="1" si="103"/>
        <v>5</v>
      </c>
      <c r="AY57" s="168">
        <f t="shared" ca="1" si="103"/>
        <v>5</v>
      </c>
      <c r="AZ57" s="168">
        <f t="shared" ca="1" si="103"/>
        <v>5</v>
      </c>
      <c r="BA57" s="168">
        <f t="shared" ca="1" si="103"/>
        <v>5</v>
      </c>
      <c r="BB57" s="168">
        <f t="shared" ca="1" si="103"/>
        <v>5</v>
      </c>
      <c r="BC57" s="168">
        <f t="shared" ca="1" si="103"/>
        <v>5</v>
      </c>
      <c r="BD57" s="168">
        <f t="shared" ca="1" si="103"/>
        <v>5</v>
      </c>
      <c r="BE57" s="168">
        <f t="shared" ca="1" si="103"/>
        <v>5</v>
      </c>
      <c r="BF57" s="168">
        <f t="shared" ca="1" si="103"/>
        <v>5</v>
      </c>
      <c r="BG57" s="168">
        <f t="shared" ca="1" si="103"/>
        <v>5</v>
      </c>
      <c r="BH57" s="168">
        <f t="shared" ca="1" si="103"/>
        <v>5</v>
      </c>
      <c r="BI57" s="15" t="s">
        <v>76</v>
      </c>
      <c r="BJ57" s="169" t="s">
        <v>1</v>
      </c>
      <c r="BK57" s="99"/>
      <c r="BL57" s="99"/>
      <c r="BM57" s="99"/>
      <c r="BN57" s="99"/>
      <c r="BO57" s="99"/>
      <c r="BP57" s="230"/>
      <c r="BQ57" s="230"/>
      <c r="BR57" s="230"/>
      <c r="BS57" s="230"/>
      <c r="BT57" s="230"/>
      <c r="BU57" s="230"/>
      <c r="BV57" s="99"/>
      <c r="BW57" s="99"/>
      <c r="BX57" s="99"/>
      <c r="BY57" s="99"/>
    </row>
    <row r="58" spans="1:77" s="4" customFormat="1" ht="15" thickBot="1" x14ac:dyDescent="0.35">
      <c r="A58" s="6"/>
      <c r="B58" s="39"/>
      <c r="C58" s="39"/>
      <c r="D58" s="36"/>
      <c r="E58" s="36"/>
      <c r="F58" s="51"/>
      <c r="G58" s="170"/>
      <c r="H58" s="15" t="s">
        <v>74</v>
      </c>
      <c r="I58" s="190">
        <f t="shared" ref="I58:AN58" ca="1" si="104">(Rds_ON_V5A_150-Rds_ON_V5A_min40)/190*(I4-150)+Rds_ON_V5A_150</f>
        <v>0.68342594037405802</v>
      </c>
      <c r="J58" s="190">
        <f t="shared" ca="1" si="104"/>
        <v>0.70860047280919103</v>
      </c>
      <c r="K58" s="190">
        <f t="shared" ca="1" si="104"/>
        <v>0.70052253124085451</v>
      </c>
      <c r="L58" s="190">
        <f t="shared" ca="1" si="104"/>
        <v>0.6946391507505798</v>
      </c>
      <c r="M58" s="190">
        <f t="shared" ca="1" si="104"/>
        <v>0.69025024439508298</v>
      </c>
      <c r="N58" s="190">
        <f t="shared" ca="1" si="104"/>
        <v>0.68692099695306441</v>
      </c>
      <c r="O58" s="190">
        <f t="shared" ca="1" si="104"/>
        <v>0.68436844109702</v>
      </c>
      <c r="P58" s="190">
        <f t="shared" ca="1" si="104"/>
        <v>0.68240124208904385</v>
      </c>
      <c r="Q58" s="190">
        <f t="shared" ca="1" si="104"/>
        <v>0.68088588576620623</v>
      </c>
      <c r="R58" s="190">
        <f t="shared" ca="1" si="104"/>
        <v>0.67972671790022721</v>
      </c>
      <c r="S58" s="190">
        <f t="shared" ca="1" si="104"/>
        <v>0.67885366073679487</v>
      </c>
      <c r="T58" s="190">
        <f t="shared" ca="1" si="104"/>
        <v>0.67821433242386586</v>
      </c>
      <c r="U58" s="190">
        <f t="shared" ca="1" si="104"/>
        <v>0.67776748417652433</v>
      </c>
      <c r="V58" s="190">
        <f t="shared" ca="1" si="104"/>
        <v>0.67687193798096279</v>
      </c>
      <c r="W58" s="190">
        <f t="shared" ca="1" si="104"/>
        <v>0.67639141668897385</v>
      </c>
      <c r="X58" s="190">
        <f t="shared" ca="1" si="104"/>
        <v>0.67660388001117566</v>
      </c>
      <c r="Y58" s="190">
        <f t="shared" ca="1" si="104"/>
        <v>0.67685472482359466</v>
      </c>
      <c r="Z58" s="190">
        <f t="shared" ca="1" si="104"/>
        <v>0.6771419102721471</v>
      </c>
      <c r="AA58" s="190">
        <f t="shared" ca="1" si="104"/>
        <v>0.67746366921730361</v>
      </c>
      <c r="AB58" s="190">
        <f t="shared" ca="1" si="104"/>
        <v>0.67781846408831914</v>
      </c>
      <c r="AC58" s="190">
        <f t="shared" ca="1" si="104"/>
        <v>0.67820495096608646</v>
      </c>
      <c r="AD58" s="190">
        <f t="shared" ca="1" si="104"/>
        <v>0.67862195016962745</v>
      </c>
      <c r="AE58" s="190">
        <f t="shared" ca="1" si="104"/>
        <v>0.67906842201994555</v>
      </c>
      <c r="AF58" s="190">
        <f t="shared" ca="1" si="104"/>
        <v>0.67954344675358391</v>
      </c>
      <c r="AG58" s="190">
        <f t="shared" ca="1" si="104"/>
        <v>0.68004620778372693</v>
      </c>
      <c r="AH58" s="190">
        <f t="shared" ca="1" si="104"/>
        <v>0.68057597767830369</v>
      </c>
      <c r="AI58" s="190">
        <f t="shared" ca="1" si="104"/>
        <v>0.68113210635613874</v>
      </c>
      <c r="AJ58" s="190">
        <f t="shared" ca="1" si="104"/>
        <v>0.68171401110381769</v>
      </c>
      <c r="AK58" s="190">
        <f t="shared" ca="1" si="104"/>
        <v>0.68232116809494336</v>
      </c>
      <c r="AL58" s="190">
        <f t="shared" ca="1" si="104"/>
        <v>0.6829531051552975</v>
      </c>
      <c r="AM58" s="190">
        <f t="shared" ca="1" si="104"/>
        <v>0.68360939556610356</v>
      </c>
      <c r="AN58" s="190">
        <f t="shared" ca="1" si="104"/>
        <v>0.68428965273616138</v>
      </c>
      <c r="AO58" s="190">
        <f t="shared" ref="AO58:BH58" ca="1" si="105">(Rds_ON_V5A_150-Rds_ON_V5A_min40)/190*(AO4-150)+Rds_ON_V5A_150</f>
        <v>0.68499352560434024</v>
      </c>
      <c r="AP58" s="190">
        <f t="shared" ca="1" si="105"/>
        <v>0.68572069465852725</v>
      </c>
      <c r="AQ58" s="190">
        <f t="shared" ca="1" si="105"/>
        <v>0.6864708684769314</v>
      </c>
      <c r="AR58" s="190">
        <f t="shared" ca="1" si="105"/>
        <v>0.6872437807136742</v>
      </c>
      <c r="AS58" s="190">
        <f t="shared" ca="1" si="105"/>
        <v>0.68803918746361936</v>
      </c>
      <c r="AT58" s="190">
        <f t="shared" ca="1" si="105"/>
        <v>0.68885686495203535</v>
      </c>
      <c r="AU58" s="190">
        <f t="shared" ca="1" si="105"/>
        <v>0.68969660750340434</v>
      </c>
      <c r="AV58" s="190">
        <f t="shared" ca="1" si="105"/>
        <v>0.69055822575087922</v>
      </c>
      <c r="AW58" s="190">
        <f t="shared" ca="1" si="105"/>
        <v>0.6914415450538256</v>
      </c>
      <c r="AX58" s="190">
        <f t="shared" ca="1" si="105"/>
        <v>0.69234640409582138</v>
      </c>
      <c r="AY58" s="190">
        <f t="shared" ca="1" si="105"/>
        <v>0.69327265363959012</v>
      </c>
      <c r="AZ58" s="190">
        <f t="shared" ca="1" si="105"/>
        <v>0.69422015541878246</v>
      </c>
      <c r="BA58" s="190">
        <f t="shared" ca="1" si="105"/>
        <v>0.69518878114939575</v>
      </c>
      <c r="BB58" s="190">
        <f t="shared" ca="1" si="105"/>
        <v>0.6961784116460551</v>
      </c>
      <c r="BC58" s="190">
        <f t="shared" ca="1" si="105"/>
        <v>0.69718893603041843</v>
      </c>
      <c r="BD58" s="190">
        <f t="shared" ca="1" si="105"/>
        <v>0.69822025102071039</v>
      </c>
      <c r="BE58" s="190">
        <f t="shared" ca="1" si="105"/>
        <v>0.69927226029285616</v>
      </c>
      <c r="BF58" s="190">
        <f t="shared" ca="1" si="105"/>
        <v>0.70034487390495026</v>
      </c>
      <c r="BG58" s="190">
        <f t="shared" ca="1" si="105"/>
        <v>0.70143800777785825</v>
      </c>
      <c r="BH58" s="190">
        <f t="shared" ca="1" si="105"/>
        <v>0.73841698866227334</v>
      </c>
      <c r="BI58" s="15" t="s">
        <v>74</v>
      </c>
      <c r="BJ58" s="169"/>
      <c r="BK58" s="99"/>
      <c r="BL58" s="99"/>
      <c r="BM58" s="99"/>
      <c r="BN58" s="99"/>
      <c r="BO58" s="99"/>
      <c r="BP58" s="230"/>
      <c r="BQ58" s="230"/>
      <c r="BR58" s="230"/>
      <c r="BS58" s="230"/>
      <c r="BT58" s="230"/>
      <c r="BU58" s="230"/>
      <c r="BV58" s="99"/>
      <c r="BW58" s="99"/>
      <c r="BX58" s="99"/>
      <c r="BY58" s="99"/>
    </row>
    <row r="59" spans="1:77" s="4" customFormat="1" ht="15.6" x14ac:dyDescent="0.3">
      <c r="A59" s="6"/>
      <c r="B59" s="297" t="s">
        <v>37</v>
      </c>
      <c r="C59" s="298"/>
      <c r="D59" s="299"/>
      <c r="E59" s="50"/>
      <c r="F59" s="93"/>
      <c r="G59" s="170"/>
      <c r="H59" s="15" t="s">
        <v>75</v>
      </c>
      <c r="I59" s="172">
        <f t="shared" ref="I59:AN59" ca="1" si="106">(I21-I57)*Iout_V5A</f>
        <v>0</v>
      </c>
      <c r="J59" s="172">
        <f t="shared" ca="1" si="106"/>
        <v>0</v>
      </c>
      <c r="K59" s="172">
        <f t="shared" ca="1" si="106"/>
        <v>0</v>
      </c>
      <c r="L59" s="172">
        <f t="shared" ca="1" si="106"/>
        <v>0</v>
      </c>
      <c r="M59" s="172">
        <f t="shared" ca="1" si="106"/>
        <v>0</v>
      </c>
      <c r="N59" s="172">
        <f t="shared" ca="1" si="106"/>
        <v>0</v>
      </c>
      <c r="O59" s="172">
        <f t="shared" ca="1" si="106"/>
        <v>0</v>
      </c>
      <c r="P59" s="172">
        <f t="shared" ca="1" si="106"/>
        <v>0</v>
      </c>
      <c r="Q59" s="172">
        <f t="shared" ca="1" si="106"/>
        <v>0</v>
      </c>
      <c r="R59" s="172">
        <f t="shared" ca="1" si="106"/>
        <v>0</v>
      </c>
      <c r="S59" s="172">
        <f t="shared" ca="1" si="106"/>
        <v>0</v>
      </c>
      <c r="T59" s="172">
        <f t="shared" ca="1" si="106"/>
        <v>0</v>
      </c>
      <c r="U59" s="172">
        <f t="shared" ca="1" si="106"/>
        <v>0</v>
      </c>
      <c r="V59" s="172">
        <f t="shared" ca="1" si="106"/>
        <v>0</v>
      </c>
      <c r="W59" s="172">
        <f t="shared" ca="1" si="106"/>
        <v>0</v>
      </c>
      <c r="X59" s="172">
        <f t="shared" ca="1" si="106"/>
        <v>0</v>
      </c>
      <c r="Y59" s="172">
        <f t="shared" ca="1" si="106"/>
        <v>0</v>
      </c>
      <c r="Z59" s="172">
        <f t="shared" ca="1" si="106"/>
        <v>0</v>
      </c>
      <c r="AA59" s="172">
        <f t="shared" ca="1" si="106"/>
        <v>0</v>
      </c>
      <c r="AB59" s="172">
        <f t="shared" ca="1" si="106"/>
        <v>0</v>
      </c>
      <c r="AC59" s="172">
        <f t="shared" ca="1" si="106"/>
        <v>0</v>
      </c>
      <c r="AD59" s="172">
        <f t="shared" ca="1" si="106"/>
        <v>0</v>
      </c>
      <c r="AE59" s="172">
        <f t="shared" ca="1" si="106"/>
        <v>0</v>
      </c>
      <c r="AF59" s="172">
        <f t="shared" ca="1" si="106"/>
        <v>0</v>
      </c>
      <c r="AG59" s="172">
        <f t="shared" ca="1" si="106"/>
        <v>0</v>
      </c>
      <c r="AH59" s="172">
        <f t="shared" ca="1" si="106"/>
        <v>0</v>
      </c>
      <c r="AI59" s="172">
        <f t="shared" ca="1" si="106"/>
        <v>0</v>
      </c>
      <c r="AJ59" s="172">
        <f t="shared" ca="1" si="106"/>
        <v>0</v>
      </c>
      <c r="AK59" s="172">
        <f t="shared" ca="1" si="106"/>
        <v>0</v>
      </c>
      <c r="AL59" s="172">
        <f t="shared" ca="1" si="106"/>
        <v>0</v>
      </c>
      <c r="AM59" s="172">
        <f t="shared" ca="1" si="106"/>
        <v>0</v>
      </c>
      <c r="AN59" s="172">
        <f t="shared" ca="1" si="106"/>
        <v>0</v>
      </c>
      <c r="AO59" s="172">
        <f t="shared" ref="AO59:BH59" ca="1" si="107">(AO21-AO57)*Iout_V5A</f>
        <v>0</v>
      </c>
      <c r="AP59" s="172">
        <f t="shared" ca="1" si="107"/>
        <v>0</v>
      </c>
      <c r="AQ59" s="172">
        <f t="shared" ca="1" si="107"/>
        <v>0</v>
      </c>
      <c r="AR59" s="172">
        <f t="shared" ca="1" si="107"/>
        <v>0</v>
      </c>
      <c r="AS59" s="172">
        <f t="shared" ca="1" si="107"/>
        <v>0</v>
      </c>
      <c r="AT59" s="172">
        <f t="shared" ca="1" si="107"/>
        <v>0</v>
      </c>
      <c r="AU59" s="172">
        <f t="shared" ca="1" si="107"/>
        <v>0</v>
      </c>
      <c r="AV59" s="172">
        <f t="shared" ca="1" si="107"/>
        <v>0</v>
      </c>
      <c r="AW59" s="172">
        <f t="shared" ca="1" si="107"/>
        <v>0</v>
      </c>
      <c r="AX59" s="172">
        <f t="shared" ca="1" si="107"/>
        <v>0</v>
      </c>
      <c r="AY59" s="172">
        <f t="shared" ca="1" si="107"/>
        <v>0</v>
      </c>
      <c r="AZ59" s="172">
        <f t="shared" ca="1" si="107"/>
        <v>0</v>
      </c>
      <c r="BA59" s="172">
        <f t="shared" ca="1" si="107"/>
        <v>0</v>
      </c>
      <c r="BB59" s="172">
        <f t="shared" ca="1" si="107"/>
        <v>0</v>
      </c>
      <c r="BC59" s="172">
        <f t="shared" ca="1" si="107"/>
        <v>0</v>
      </c>
      <c r="BD59" s="172">
        <f t="shared" ca="1" si="107"/>
        <v>0</v>
      </c>
      <c r="BE59" s="172">
        <f t="shared" ca="1" si="107"/>
        <v>0</v>
      </c>
      <c r="BF59" s="172">
        <f t="shared" ca="1" si="107"/>
        <v>0</v>
      </c>
      <c r="BG59" s="172">
        <f t="shared" ca="1" si="107"/>
        <v>0</v>
      </c>
      <c r="BH59" s="172">
        <f t="shared" ca="1" si="107"/>
        <v>0</v>
      </c>
      <c r="BI59" s="15" t="s">
        <v>75</v>
      </c>
      <c r="BJ59" s="169"/>
      <c r="BK59" s="99"/>
      <c r="BL59" s="99"/>
      <c r="BM59" s="99"/>
      <c r="BN59" s="99"/>
      <c r="BO59" s="99"/>
      <c r="BP59" s="230"/>
      <c r="BQ59" s="230"/>
      <c r="BR59" s="230"/>
      <c r="BS59" s="230"/>
      <c r="BT59" s="230"/>
      <c r="BU59" s="230"/>
      <c r="BV59" s="99"/>
      <c r="BW59" s="99"/>
      <c r="BX59" s="99"/>
      <c r="BY59" s="99"/>
    </row>
    <row r="60" spans="1:77" s="4" customFormat="1" ht="15.6" x14ac:dyDescent="0.3">
      <c r="A60" s="6"/>
      <c r="B60" s="300" t="s">
        <v>38</v>
      </c>
      <c r="C60" s="115">
        <v>0.02</v>
      </c>
      <c r="D60" s="98" t="s">
        <v>196</v>
      </c>
      <c r="E60" s="50"/>
      <c r="F60" s="93"/>
      <c r="G60" s="170" t="s">
        <v>310</v>
      </c>
      <c r="H60" s="15" t="s">
        <v>76</v>
      </c>
      <c r="I60" s="168">
        <f t="shared" ref="I60:AN60" ca="1" si="108">IF(I21-5&lt;I61*Iout_V5B,I21-I61*Iout_V5B,5)</f>
        <v>5</v>
      </c>
      <c r="J60" s="168">
        <f t="shared" ca="1" si="108"/>
        <v>5</v>
      </c>
      <c r="K60" s="168">
        <f t="shared" ca="1" si="108"/>
        <v>5</v>
      </c>
      <c r="L60" s="168">
        <f t="shared" ca="1" si="108"/>
        <v>5</v>
      </c>
      <c r="M60" s="168">
        <f t="shared" ca="1" si="108"/>
        <v>5</v>
      </c>
      <c r="N60" s="168">
        <f t="shared" ca="1" si="108"/>
        <v>5</v>
      </c>
      <c r="O60" s="168">
        <f t="shared" ca="1" si="108"/>
        <v>5</v>
      </c>
      <c r="P60" s="168">
        <f t="shared" ca="1" si="108"/>
        <v>5</v>
      </c>
      <c r="Q60" s="168">
        <f t="shared" ca="1" si="108"/>
        <v>5</v>
      </c>
      <c r="R60" s="168">
        <f t="shared" ca="1" si="108"/>
        <v>5</v>
      </c>
      <c r="S60" s="168">
        <f t="shared" ca="1" si="108"/>
        <v>5</v>
      </c>
      <c r="T60" s="168">
        <f t="shared" ca="1" si="108"/>
        <v>5</v>
      </c>
      <c r="U60" s="168">
        <f t="shared" ca="1" si="108"/>
        <v>5</v>
      </c>
      <c r="V60" s="168">
        <f t="shared" ca="1" si="108"/>
        <v>5</v>
      </c>
      <c r="W60" s="168">
        <f t="shared" ca="1" si="108"/>
        <v>5</v>
      </c>
      <c r="X60" s="168">
        <f t="shared" ca="1" si="108"/>
        <v>5</v>
      </c>
      <c r="Y60" s="168">
        <f t="shared" ca="1" si="108"/>
        <v>5</v>
      </c>
      <c r="Z60" s="168">
        <f t="shared" ca="1" si="108"/>
        <v>5</v>
      </c>
      <c r="AA60" s="168">
        <f t="shared" ca="1" si="108"/>
        <v>5</v>
      </c>
      <c r="AB60" s="168">
        <f t="shared" ca="1" si="108"/>
        <v>5</v>
      </c>
      <c r="AC60" s="168">
        <f t="shared" ca="1" si="108"/>
        <v>5</v>
      </c>
      <c r="AD60" s="168">
        <f t="shared" ca="1" si="108"/>
        <v>5</v>
      </c>
      <c r="AE60" s="168">
        <f t="shared" ca="1" si="108"/>
        <v>5</v>
      </c>
      <c r="AF60" s="168">
        <f t="shared" ca="1" si="108"/>
        <v>5</v>
      </c>
      <c r="AG60" s="168">
        <f t="shared" ca="1" si="108"/>
        <v>5</v>
      </c>
      <c r="AH60" s="168">
        <f t="shared" ca="1" si="108"/>
        <v>5</v>
      </c>
      <c r="AI60" s="168">
        <f t="shared" ca="1" si="108"/>
        <v>5</v>
      </c>
      <c r="AJ60" s="168">
        <f t="shared" ca="1" si="108"/>
        <v>5</v>
      </c>
      <c r="AK60" s="168">
        <f t="shared" ca="1" si="108"/>
        <v>5</v>
      </c>
      <c r="AL60" s="168">
        <f t="shared" ca="1" si="108"/>
        <v>5</v>
      </c>
      <c r="AM60" s="168">
        <f t="shared" ca="1" si="108"/>
        <v>5</v>
      </c>
      <c r="AN60" s="168">
        <f t="shared" ca="1" si="108"/>
        <v>5</v>
      </c>
      <c r="AO60" s="168">
        <f t="shared" ref="AO60:BH60" ca="1" si="109">IF(AO21-5&lt;AO61*Iout_V5B,AO21-AO61*Iout_V5B,5)</f>
        <v>5</v>
      </c>
      <c r="AP60" s="168">
        <f t="shared" ca="1" si="109"/>
        <v>5</v>
      </c>
      <c r="AQ60" s="168">
        <f t="shared" ca="1" si="109"/>
        <v>5</v>
      </c>
      <c r="AR60" s="168">
        <f t="shared" ca="1" si="109"/>
        <v>5</v>
      </c>
      <c r="AS60" s="168">
        <f t="shared" ca="1" si="109"/>
        <v>5</v>
      </c>
      <c r="AT60" s="168">
        <f t="shared" ca="1" si="109"/>
        <v>5</v>
      </c>
      <c r="AU60" s="168">
        <f t="shared" ca="1" si="109"/>
        <v>5</v>
      </c>
      <c r="AV60" s="168">
        <f t="shared" ca="1" si="109"/>
        <v>5</v>
      </c>
      <c r="AW60" s="168">
        <f t="shared" ca="1" si="109"/>
        <v>5</v>
      </c>
      <c r="AX60" s="168">
        <f t="shared" ca="1" si="109"/>
        <v>5</v>
      </c>
      <c r="AY60" s="168">
        <f t="shared" ca="1" si="109"/>
        <v>5</v>
      </c>
      <c r="AZ60" s="168">
        <f t="shared" ca="1" si="109"/>
        <v>5</v>
      </c>
      <c r="BA60" s="168">
        <f t="shared" ca="1" si="109"/>
        <v>5</v>
      </c>
      <c r="BB60" s="168">
        <f t="shared" ca="1" si="109"/>
        <v>5</v>
      </c>
      <c r="BC60" s="168">
        <f t="shared" ca="1" si="109"/>
        <v>5</v>
      </c>
      <c r="BD60" s="168">
        <f t="shared" ca="1" si="109"/>
        <v>5</v>
      </c>
      <c r="BE60" s="168">
        <f t="shared" ca="1" si="109"/>
        <v>5</v>
      </c>
      <c r="BF60" s="168">
        <f t="shared" ca="1" si="109"/>
        <v>5</v>
      </c>
      <c r="BG60" s="168">
        <f t="shared" ca="1" si="109"/>
        <v>5</v>
      </c>
      <c r="BH60" s="168">
        <f t="shared" ca="1" si="109"/>
        <v>5</v>
      </c>
      <c r="BI60" s="15" t="s">
        <v>76</v>
      </c>
      <c r="BJ60" s="169" t="s">
        <v>1</v>
      </c>
      <c r="BK60" s="99"/>
      <c r="BL60" s="99"/>
      <c r="BM60" s="99"/>
      <c r="BN60" s="99"/>
      <c r="BO60" s="99"/>
      <c r="BP60" s="230"/>
      <c r="BQ60" s="230"/>
      <c r="BR60" s="230"/>
      <c r="BS60" s="230"/>
      <c r="BT60" s="230"/>
      <c r="BU60" s="230"/>
      <c r="BV60" s="99"/>
      <c r="BW60" s="99"/>
      <c r="BX60" s="99"/>
      <c r="BY60" s="99"/>
    </row>
    <row r="61" spans="1:77" s="4" customFormat="1" x14ac:dyDescent="0.3">
      <c r="A61" s="6"/>
      <c r="B61" s="301"/>
      <c r="C61" s="121">
        <v>1.7999999999999999E-2</v>
      </c>
      <c r="D61" s="90" t="s">
        <v>197</v>
      </c>
      <c r="E61" s="6"/>
      <c r="F61" s="92"/>
      <c r="G61" s="170"/>
      <c r="H61" s="15" t="s">
        <v>74</v>
      </c>
      <c r="I61" s="190">
        <f t="shared" ref="I61:AN61" ca="1" si="110">(Rds_ON_V5B_150-Rds_ON_V5B_min40)/190*(I4-150)+Rds_ON_V5B_150</f>
        <v>0.68342594037405802</v>
      </c>
      <c r="J61" s="190">
        <f t="shared" ca="1" si="110"/>
        <v>0.70860047280919103</v>
      </c>
      <c r="K61" s="190">
        <f t="shared" ca="1" si="110"/>
        <v>0.70052253124085451</v>
      </c>
      <c r="L61" s="190">
        <f t="shared" ca="1" si="110"/>
        <v>0.6946391507505798</v>
      </c>
      <c r="M61" s="190">
        <f t="shared" ca="1" si="110"/>
        <v>0.69025024439508298</v>
      </c>
      <c r="N61" s="190">
        <f t="shared" ca="1" si="110"/>
        <v>0.68692099695306441</v>
      </c>
      <c r="O61" s="190">
        <f t="shared" ca="1" si="110"/>
        <v>0.68436844109702</v>
      </c>
      <c r="P61" s="190">
        <f t="shared" ca="1" si="110"/>
        <v>0.68240124208904385</v>
      </c>
      <c r="Q61" s="190">
        <f t="shared" ca="1" si="110"/>
        <v>0.68088588576620623</v>
      </c>
      <c r="R61" s="190">
        <f t="shared" ca="1" si="110"/>
        <v>0.67972671790022721</v>
      </c>
      <c r="S61" s="190">
        <f t="shared" ca="1" si="110"/>
        <v>0.67885366073679487</v>
      </c>
      <c r="T61" s="190">
        <f t="shared" ca="1" si="110"/>
        <v>0.67821433242386586</v>
      </c>
      <c r="U61" s="190">
        <f t="shared" ca="1" si="110"/>
        <v>0.67776748417652433</v>
      </c>
      <c r="V61" s="190">
        <f t="shared" ca="1" si="110"/>
        <v>0.67687193798096279</v>
      </c>
      <c r="W61" s="190">
        <f t="shared" ca="1" si="110"/>
        <v>0.67639141668897385</v>
      </c>
      <c r="X61" s="190">
        <f t="shared" ca="1" si="110"/>
        <v>0.67660388001117566</v>
      </c>
      <c r="Y61" s="190">
        <f t="shared" ca="1" si="110"/>
        <v>0.67685472482359466</v>
      </c>
      <c r="Z61" s="190">
        <f t="shared" ca="1" si="110"/>
        <v>0.6771419102721471</v>
      </c>
      <c r="AA61" s="190">
        <f t="shared" ca="1" si="110"/>
        <v>0.67746366921730361</v>
      </c>
      <c r="AB61" s="190">
        <f t="shared" ca="1" si="110"/>
        <v>0.67781846408831914</v>
      </c>
      <c r="AC61" s="190">
        <f t="shared" ca="1" si="110"/>
        <v>0.67820495096608646</v>
      </c>
      <c r="AD61" s="190">
        <f t="shared" ca="1" si="110"/>
        <v>0.67862195016962745</v>
      </c>
      <c r="AE61" s="190">
        <f t="shared" ca="1" si="110"/>
        <v>0.67906842201994555</v>
      </c>
      <c r="AF61" s="190">
        <f t="shared" ca="1" si="110"/>
        <v>0.67954344675358391</v>
      </c>
      <c r="AG61" s="190">
        <f t="shared" ca="1" si="110"/>
        <v>0.68004620778372693</v>
      </c>
      <c r="AH61" s="190">
        <f t="shared" ca="1" si="110"/>
        <v>0.68057597767830369</v>
      </c>
      <c r="AI61" s="190">
        <f t="shared" ca="1" si="110"/>
        <v>0.68113210635613874</v>
      </c>
      <c r="AJ61" s="190">
        <f t="shared" ca="1" si="110"/>
        <v>0.68171401110381769</v>
      </c>
      <c r="AK61" s="190">
        <f t="shared" ca="1" si="110"/>
        <v>0.68232116809494336</v>
      </c>
      <c r="AL61" s="190">
        <f t="shared" ca="1" si="110"/>
        <v>0.6829531051552975</v>
      </c>
      <c r="AM61" s="190">
        <f t="shared" ca="1" si="110"/>
        <v>0.68360939556610356</v>
      </c>
      <c r="AN61" s="190">
        <f t="shared" ca="1" si="110"/>
        <v>0.68428965273616138</v>
      </c>
      <c r="AO61" s="190">
        <f t="shared" ref="AO61:BH61" ca="1" si="111">(Rds_ON_V5B_150-Rds_ON_V5B_min40)/190*(AO4-150)+Rds_ON_V5B_150</f>
        <v>0.68499352560434024</v>
      </c>
      <c r="AP61" s="190">
        <f t="shared" ca="1" si="111"/>
        <v>0.68572069465852725</v>
      </c>
      <c r="AQ61" s="190">
        <f t="shared" ca="1" si="111"/>
        <v>0.6864708684769314</v>
      </c>
      <c r="AR61" s="190">
        <f t="shared" ca="1" si="111"/>
        <v>0.6872437807136742</v>
      </c>
      <c r="AS61" s="190">
        <f t="shared" ca="1" si="111"/>
        <v>0.68803918746361936</v>
      </c>
      <c r="AT61" s="190">
        <f t="shared" ca="1" si="111"/>
        <v>0.68885686495203535</v>
      </c>
      <c r="AU61" s="190">
        <f t="shared" ca="1" si="111"/>
        <v>0.68969660750340434</v>
      </c>
      <c r="AV61" s="190">
        <f t="shared" ca="1" si="111"/>
        <v>0.69055822575087922</v>
      </c>
      <c r="AW61" s="190">
        <f t="shared" ca="1" si="111"/>
        <v>0.6914415450538256</v>
      </c>
      <c r="AX61" s="190">
        <f t="shared" ca="1" si="111"/>
        <v>0.69234640409582138</v>
      </c>
      <c r="AY61" s="190">
        <f t="shared" ca="1" si="111"/>
        <v>0.69327265363959012</v>
      </c>
      <c r="AZ61" s="190">
        <f t="shared" ca="1" si="111"/>
        <v>0.69422015541878246</v>
      </c>
      <c r="BA61" s="190">
        <f t="shared" ca="1" si="111"/>
        <v>0.69518878114939575</v>
      </c>
      <c r="BB61" s="190">
        <f t="shared" ca="1" si="111"/>
        <v>0.6961784116460551</v>
      </c>
      <c r="BC61" s="190">
        <f t="shared" ca="1" si="111"/>
        <v>0.69718893603041843</v>
      </c>
      <c r="BD61" s="190">
        <f t="shared" ca="1" si="111"/>
        <v>0.69822025102071039</v>
      </c>
      <c r="BE61" s="190">
        <f t="shared" ca="1" si="111"/>
        <v>0.69927226029285616</v>
      </c>
      <c r="BF61" s="190">
        <f t="shared" ca="1" si="111"/>
        <v>0.70034487390495026</v>
      </c>
      <c r="BG61" s="190">
        <f t="shared" ca="1" si="111"/>
        <v>0.70143800777785825</v>
      </c>
      <c r="BH61" s="190">
        <f t="shared" ca="1" si="111"/>
        <v>0.73841698866227334</v>
      </c>
      <c r="BI61" s="15" t="s">
        <v>74</v>
      </c>
      <c r="BJ61" s="169"/>
      <c r="BK61" s="99"/>
      <c r="BL61" s="99"/>
      <c r="BM61" s="99"/>
      <c r="BN61" s="99"/>
      <c r="BO61" s="99"/>
      <c r="BP61" s="230"/>
      <c r="BQ61" s="230"/>
      <c r="BR61" s="230"/>
      <c r="BS61" s="230"/>
      <c r="BT61" s="230"/>
      <c r="BU61" s="230"/>
      <c r="BV61" s="99"/>
      <c r="BW61" s="99"/>
      <c r="BX61" s="99"/>
      <c r="BY61" s="99"/>
    </row>
    <row r="62" spans="1:77" s="4" customFormat="1" ht="15.75" customHeight="1" x14ac:dyDescent="0.3">
      <c r="A62" s="6"/>
      <c r="B62" s="43" t="s">
        <v>63</v>
      </c>
      <c r="C62" s="52">
        <v>60</v>
      </c>
      <c r="D62" s="90" t="s">
        <v>181</v>
      </c>
      <c r="E62" s="6"/>
      <c r="F62" s="92"/>
      <c r="G62" s="170"/>
      <c r="H62" s="15" t="s">
        <v>75</v>
      </c>
      <c r="I62" s="172">
        <f t="shared" ref="I62:AN62" ca="1" si="112">(I21-I60)*Iout_V5B</f>
        <v>1.7499999999999984E-2</v>
      </c>
      <c r="J62" s="172">
        <f t="shared" ca="1" si="112"/>
        <v>1.7499999999999984E-2</v>
      </c>
      <c r="K62" s="172">
        <f t="shared" ca="1" si="112"/>
        <v>1.7499999999999984E-2</v>
      </c>
      <c r="L62" s="172">
        <f t="shared" ca="1" si="112"/>
        <v>1.7499999999999984E-2</v>
      </c>
      <c r="M62" s="172">
        <f t="shared" ca="1" si="112"/>
        <v>1.7499999999999984E-2</v>
      </c>
      <c r="N62" s="172">
        <f t="shared" ca="1" si="112"/>
        <v>1.7499999999999984E-2</v>
      </c>
      <c r="O62" s="172">
        <f t="shared" ca="1" si="112"/>
        <v>1.7499999999999984E-2</v>
      </c>
      <c r="P62" s="172">
        <f t="shared" ca="1" si="112"/>
        <v>1.7499999999999984E-2</v>
      </c>
      <c r="Q62" s="172">
        <f t="shared" ca="1" si="112"/>
        <v>1.7499999999999984E-2</v>
      </c>
      <c r="R62" s="172">
        <f t="shared" ca="1" si="112"/>
        <v>1.7499999999999984E-2</v>
      </c>
      <c r="S62" s="172">
        <f t="shared" ca="1" si="112"/>
        <v>1.7499999999999984E-2</v>
      </c>
      <c r="T62" s="172">
        <f t="shared" ca="1" si="112"/>
        <v>1.7499999999999984E-2</v>
      </c>
      <c r="U62" s="172">
        <f t="shared" ca="1" si="112"/>
        <v>1.7499999999999984E-2</v>
      </c>
      <c r="V62" s="172">
        <f t="shared" ca="1" si="112"/>
        <v>1.7499999999999984E-2</v>
      </c>
      <c r="W62" s="172">
        <f t="shared" ca="1" si="112"/>
        <v>1.7499999999999984E-2</v>
      </c>
      <c r="X62" s="172">
        <f t="shared" ca="1" si="112"/>
        <v>1.7499999999999984E-2</v>
      </c>
      <c r="Y62" s="172">
        <f t="shared" ca="1" si="112"/>
        <v>1.7499999999999984E-2</v>
      </c>
      <c r="Z62" s="172">
        <f t="shared" ca="1" si="112"/>
        <v>1.7499999999999984E-2</v>
      </c>
      <c r="AA62" s="172">
        <f t="shared" ca="1" si="112"/>
        <v>1.7499999999999984E-2</v>
      </c>
      <c r="AB62" s="172">
        <f t="shared" ca="1" si="112"/>
        <v>1.7499999999999984E-2</v>
      </c>
      <c r="AC62" s="172">
        <f t="shared" ca="1" si="112"/>
        <v>1.7499999999999984E-2</v>
      </c>
      <c r="AD62" s="172">
        <f t="shared" ca="1" si="112"/>
        <v>1.7499999999999984E-2</v>
      </c>
      <c r="AE62" s="172">
        <f t="shared" ca="1" si="112"/>
        <v>1.7499999999999984E-2</v>
      </c>
      <c r="AF62" s="172">
        <f t="shared" ca="1" si="112"/>
        <v>1.7499999999999984E-2</v>
      </c>
      <c r="AG62" s="172">
        <f t="shared" ca="1" si="112"/>
        <v>1.7499999999999984E-2</v>
      </c>
      <c r="AH62" s="172">
        <f t="shared" ca="1" si="112"/>
        <v>1.7499999999999984E-2</v>
      </c>
      <c r="AI62" s="172">
        <f t="shared" ca="1" si="112"/>
        <v>1.7499999999999984E-2</v>
      </c>
      <c r="AJ62" s="172">
        <f t="shared" ca="1" si="112"/>
        <v>1.7499999999999984E-2</v>
      </c>
      <c r="AK62" s="172">
        <f t="shared" ca="1" si="112"/>
        <v>1.7499999999999984E-2</v>
      </c>
      <c r="AL62" s="172">
        <f t="shared" ca="1" si="112"/>
        <v>1.7499999999999984E-2</v>
      </c>
      <c r="AM62" s="172">
        <f t="shared" ca="1" si="112"/>
        <v>1.7499999999999984E-2</v>
      </c>
      <c r="AN62" s="172">
        <f t="shared" ca="1" si="112"/>
        <v>1.7499999999999984E-2</v>
      </c>
      <c r="AO62" s="172">
        <f t="shared" ref="AO62:BH62" ca="1" si="113">(AO21-AO60)*Iout_V5B</f>
        <v>1.7499999999999984E-2</v>
      </c>
      <c r="AP62" s="172">
        <f t="shared" ca="1" si="113"/>
        <v>1.7499999999999984E-2</v>
      </c>
      <c r="AQ62" s="172">
        <f t="shared" ca="1" si="113"/>
        <v>1.7499999999999984E-2</v>
      </c>
      <c r="AR62" s="172">
        <f t="shared" ca="1" si="113"/>
        <v>1.7499999999999984E-2</v>
      </c>
      <c r="AS62" s="172">
        <f t="shared" ca="1" si="113"/>
        <v>1.7499999999999984E-2</v>
      </c>
      <c r="AT62" s="172">
        <f t="shared" ca="1" si="113"/>
        <v>1.7499999999999984E-2</v>
      </c>
      <c r="AU62" s="172">
        <f t="shared" ca="1" si="113"/>
        <v>1.7499999999999984E-2</v>
      </c>
      <c r="AV62" s="172">
        <f t="shared" ca="1" si="113"/>
        <v>1.7499999999999984E-2</v>
      </c>
      <c r="AW62" s="172">
        <f t="shared" ca="1" si="113"/>
        <v>1.7499999999999984E-2</v>
      </c>
      <c r="AX62" s="172">
        <f t="shared" ca="1" si="113"/>
        <v>1.7499999999999984E-2</v>
      </c>
      <c r="AY62" s="172">
        <f t="shared" ca="1" si="113"/>
        <v>1.7499999999999984E-2</v>
      </c>
      <c r="AZ62" s="172">
        <f t="shared" ca="1" si="113"/>
        <v>1.7499999999999984E-2</v>
      </c>
      <c r="BA62" s="172">
        <f t="shared" ca="1" si="113"/>
        <v>1.7499999999999984E-2</v>
      </c>
      <c r="BB62" s="172">
        <f t="shared" ca="1" si="113"/>
        <v>1.7499999999999984E-2</v>
      </c>
      <c r="BC62" s="172">
        <f t="shared" ca="1" si="113"/>
        <v>1.7499999999999984E-2</v>
      </c>
      <c r="BD62" s="172">
        <f t="shared" ca="1" si="113"/>
        <v>1.7499999999999984E-2</v>
      </c>
      <c r="BE62" s="172">
        <f t="shared" ca="1" si="113"/>
        <v>1.7499999999999984E-2</v>
      </c>
      <c r="BF62" s="172">
        <f t="shared" ca="1" si="113"/>
        <v>1.7499999999999984E-2</v>
      </c>
      <c r="BG62" s="172">
        <f t="shared" ca="1" si="113"/>
        <v>1.7499999999999984E-2</v>
      </c>
      <c r="BH62" s="172">
        <f t="shared" ca="1" si="113"/>
        <v>1.7499999999999984E-2</v>
      </c>
      <c r="BI62" s="15" t="s">
        <v>75</v>
      </c>
      <c r="BJ62" s="169"/>
      <c r="BK62" s="99"/>
      <c r="BL62" s="99"/>
      <c r="BM62" s="99"/>
      <c r="BN62" s="99"/>
      <c r="BO62" s="99"/>
      <c r="BP62" s="230"/>
      <c r="BQ62" s="230"/>
      <c r="BR62" s="230"/>
      <c r="BS62" s="230"/>
      <c r="BT62" s="230"/>
      <c r="BU62" s="230"/>
      <c r="BV62" s="99"/>
      <c r="BW62" s="99"/>
      <c r="BX62" s="99"/>
      <c r="BY62" s="99"/>
    </row>
    <row r="63" spans="1:77" s="4" customFormat="1" ht="15" customHeight="1" x14ac:dyDescent="0.3">
      <c r="A63" s="6"/>
      <c r="B63" s="43" t="s">
        <v>39</v>
      </c>
      <c r="C63" s="122">
        <v>22</v>
      </c>
      <c r="D63" s="90" t="s">
        <v>182</v>
      </c>
      <c r="E63" s="6"/>
      <c r="F63" s="92"/>
      <c r="G63" s="170" t="s">
        <v>256</v>
      </c>
      <c r="H63" s="15" t="s">
        <v>76</v>
      </c>
      <c r="I63" s="168">
        <f t="shared" ref="I63:AN63" ca="1" si="114">IF(I21-5&lt;I64*Iout_V5CAN,I21-I64*Iout_V5CAN,5)</f>
        <v>5</v>
      </c>
      <c r="J63" s="168">
        <f t="shared" ca="1" si="114"/>
        <v>5</v>
      </c>
      <c r="K63" s="168">
        <f t="shared" ca="1" si="114"/>
        <v>5</v>
      </c>
      <c r="L63" s="168">
        <f t="shared" ca="1" si="114"/>
        <v>5</v>
      </c>
      <c r="M63" s="168">
        <f t="shared" ca="1" si="114"/>
        <v>5</v>
      </c>
      <c r="N63" s="168">
        <f t="shared" ca="1" si="114"/>
        <v>5</v>
      </c>
      <c r="O63" s="168">
        <f t="shared" ca="1" si="114"/>
        <v>5</v>
      </c>
      <c r="P63" s="168">
        <f t="shared" ca="1" si="114"/>
        <v>5</v>
      </c>
      <c r="Q63" s="168">
        <f t="shared" ca="1" si="114"/>
        <v>5</v>
      </c>
      <c r="R63" s="168">
        <f t="shared" ca="1" si="114"/>
        <v>5</v>
      </c>
      <c r="S63" s="168">
        <f t="shared" ca="1" si="114"/>
        <v>5</v>
      </c>
      <c r="T63" s="168">
        <f t="shared" ca="1" si="114"/>
        <v>5</v>
      </c>
      <c r="U63" s="168">
        <f t="shared" ca="1" si="114"/>
        <v>5</v>
      </c>
      <c r="V63" s="168">
        <f t="shared" ca="1" si="114"/>
        <v>5</v>
      </c>
      <c r="W63" s="168">
        <f t="shared" ca="1" si="114"/>
        <v>5</v>
      </c>
      <c r="X63" s="168">
        <f t="shared" ca="1" si="114"/>
        <v>5</v>
      </c>
      <c r="Y63" s="168">
        <f t="shared" ca="1" si="114"/>
        <v>5</v>
      </c>
      <c r="Z63" s="168">
        <f t="shared" ca="1" si="114"/>
        <v>5</v>
      </c>
      <c r="AA63" s="168">
        <f t="shared" ca="1" si="114"/>
        <v>5</v>
      </c>
      <c r="AB63" s="168">
        <f t="shared" ca="1" si="114"/>
        <v>5</v>
      </c>
      <c r="AC63" s="168">
        <f t="shared" ca="1" si="114"/>
        <v>5</v>
      </c>
      <c r="AD63" s="168">
        <f t="shared" ca="1" si="114"/>
        <v>5</v>
      </c>
      <c r="AE63" s="168">
        <f t="shared" ca="1" si="114"/>
        <v>5</v>
      </c>
      <c r="AF63" s="168">
        <f t="shared" ca="1" si="114"/>
        <v>5</v>
      </c>
      <c r="AG63" s="168">
        <f t="shared" ca="1" si="114"/>
        <v>5</v>
      </c>
      <c r="AH63" s="168">
        <f t="shared" ca="1" si="114"/>
        <v>5</v>
      </c>
      <c r="AI63" s="168">
        <f t="shared" ca="1" si="114"/>
        <v>5</v>
      </c>
      <c r="AJ63" s="168">
        <f t="shared" ca="1" si="114"/>
        <v>5</v>
      </c>
      <c r="AK63" s="168">
        <f t="shared" ca="1" si="114"/>
        <v>5</v>
      </c>
      <c r="AL63" s="168">
        <f t="shared" ca="1" si="114"/>
        <v>5</v>
      </c>
      <c r="AM63" s="168">
        <f t="shared" ca="1" si="114"/>
        <v>5</v>
      </c>
      <c r="AN63" s="168">
        <f t="shared" ca="1" si="114"/>
        <v>5</v>
      </c>
      <c r="AO63" s="168">
        <f t="shared" ref="AO63:BH63" ca="1" si="115">IF(AO21-5&lt;AO64*Iout_V5CAN,AO21-AO64*Iout_V5CAN,5)</f>
        <v>5</v>
      </c>
      <c r="AP63" s="168">
        <f t="shared" ca="1" si="115"/>
        <v>5</v>
      </c>
      <c r="AQ63" s="168">
        <f t="shared" ca="1" si="115"/>
        <v>5</v>
      </c>
      <c r="AR63" s="168">
        <f t="shared" ca="1" si="115"/>
        <v>5</v>
      </c>
      <c r="AS63" s="168">
        <f t="shared" ca="1" si="115"/>
        <v>5</v>
      </c>
      <c r="AT63" s="168">
        <f t="shared" ca="1" si="115"/>
        <v>5</v>
      </c>
      <c r="AU63" s="168">
        <f t="shared" ca="1" si="115"/>
        <v>5</v>
      </c>
      <c r="AV63" s="168">
        <f t="shared" ca="1" si="115"/>
        <v>5</v>
      </c>
      <c r="AW63" s="168">
        <f t="shared" ca="1" si="115"/>
        <v>5</v>
      </c>
      <c r="AX63" s="168">
        <f t="shared" ca="1" si="115"/>
        <v>5</v>
      </c>
      <c r="AY63" s="168">
        <f t="shared" ca="1" si="115"/>
        <v>5</v>
      </c>
      <c r="AZ63" s="168">
        <f t="shared" ca="1" si="115"/>
        <v>5</v>
      </c>
      <c r="BA63" s="168">
        <f t="shared" ca="1" si="115"/>
        <v>5</v>
      </c>
      <c r="BB63" s="168">
        <f t="shared" ca="1" si="115"/>
        <v>5</v>
      </c>
      <c r="BC63" s="168">
        <f t="shared" ca="1" si="115"/>
        <v>5</v>
      </c>
      <c r="BD63" s="168">
        <f t="shared" ca="1" si="115"/>
        <v>5</v>
      </c>
      <c r="BE63" s="168">
        <f t="shared" ca="1" si="115"/>
        <v>5</v>
      </c>
      <c r="BF63" s="168">
        <f t="shared" ca="1" si="115"/>
        <v>5</v>
      </c>
      <c r="BG63" s="168">
        <f t="shared" ca="1" si="115"/>
        <v>5</v>
      </c>
      <c r="BH63" s="168">
        <f t="shared" ca="1" si="115"/>
        <v>5</v>
      </c>
      <c r="BI63" s="15" t="s">
        <v>76</v>
      </c>
      <c r="BJ63" s="169" t="s">
        <v>1</v>
      </c>
      <c r="BK63" s="99"/>
      <c r="BL63" s="99"/>
      <c r="BM63" s="99"/>
      <c r="BN63" s="99"/>
      <c r="BO63" s="99"/>
      <c r="BP63" s="230"/>
      <c r="BQ63" s="230"/>
      <c r="BR63" s="230"/>
      <c r="BS63" s="230"/>
      <c r="BT63" s="230"/>
      <c r="BU63" s="230"/>
      <c r="BV63" s="99"/>
      <c r="BW63" s="99"/>
      <c r="BX63" s="99"/>
      <c r="BY63" s="99"/>
    </row>
    <row r="64" spans="1:77" s="4" customFormat="1" ht="15" customHeight="1" x14ac:dyDescent="0.3">
      <c r="A64" s="6"/>
      <c r="B64" s="43" t="s">
        <v>40</v>
      </c>
      <c r="C64" s="122">
        <v>22</v>
      </c>
      <c r="D64" s="90" t="s">
        <v>194</v>
      </c>
      <c r="E64" s="6"/>
      <c r="F64" s="40"/>
      <c r="G64" s="170"/>
      <c r="H64" s="15" t="s">
        <v>74</v>
      </c>
      <c r="I64" s="190">
        <f t="shared" ref="I64:AN64" ca="1" si="116">(Rds_ON_V5CAN_150-Rds_ON_V5CAN_min40)/190*(I4-150)+Rds_ON_V5CAN_150</f>
        <v>0.49407920037119107</v>
      </c>
      <c r="J64" s="190">
        <f t="shared" ca="1" si="116"/>
        <v>0.50849913743298913</v>
      </c>
      <c r="K64" s="190">
        <f t="shared" ca="1" si="116"/>
        <v>0.50387210377091673</v>
      </c>
      <c r="L64" s="190">
        <f t="shared" ca="1" si="116"/>
        <v>0.50050211163306968</v>
      </c>
      <c r="M64" s="190">
        <f t="shared" ca="1" si="116"/>
        <v>0.49798815219491677</v>
      </c>
      <c r="N64" s="190">
        <f t="shared" ca="1" si="116"/>
        <v>0.49608116390424006</v>
      </c>
      <c r="O64" s="190">
        <f t="shared" ca="1" si="116"/>
        <v>0.49461906347056861</v>
      </c>
      <c r="P64" s="190">
        <f t="shared" ca="1" si="116"/>
        <v>0.493492254622931</v>
      </c>
      <c r="Q64" s="190">
        <f t="shared" ca="1" si="116"/>
        <v>0.49262426063504583</v>
      </c>
      <c r="R64" s="190">
        <f t="shared" ca="1" si="116"/>
        <v>0.4919602908983865</v>
      </c>
      <c r="S64" s="190">
        <f t="shared" ca="1" si="116"/>
        <v>0.49146020497303772</v>
      </c>
      <c r="T64" s="190">
        <f t="shared" ca="1" si="116"/>
        <v>0.49109399860721875</v>
      </c>
      <c r="U64" s="190">
        <f t="shared" ca="1" si="116"/>
        <v>0.4908380445544695</v>
      </c>
      <c r="V64" s="190">
        <f t="shared" ca="1" si="116"/>
        <v>0.49032507694288807</v>
      </c>
      <c r="W64" s="190">
        <f t="shared" ca="1" si="116"/>
        <v>0.49004983501713673</v>
      </c>
      <c r="X64" s="190">
        <f t="shared" ca="1" si="116"/>
        <v>0.49017153371171968</v>
      </c>
      <c r="Y64" s="190">
        <f t="shared" ca="1" si="116"/>
        <v>0.49031521727035898</v>
      </c>
      <c r="Z64" s="190">
        <f t="shared" ca="1" si="116"/>
        <v>0.49047971669468238</v>
      </c>
      <c r="AA64" s="190">
        <f t="shared" ca="1" si="116"/>
        <v>0.49066401976963248</v>
      </c>
      <c r="AB64" s="190">
        <f t="shared" ca="1" si="116"/>
        <v>0.49086724577683144</v>
      </c>
      <c r="AC64" s="190">
        <f t="shared" ca="1" si="116"/>
        <v>0.4910886249212893</v>
      </c>
      <c r="AD64" s="190">
        <f t="shared" ca="1" si="116"/>
        <v>0.49132748148338734</v>
      </c>
      <c r="AE64" s="190">
        <f t="shared" ca="1" si="116"/>
        <v>0.4915832199364466</v>
      </c>
      <c r="AF64" s="190">
        <f t="shared" ca="1" si="116"/>
        <v>0.49185531344124211</v>
      </c>
      <c r="AG64" s="190">
        <f t="shared" ca="1" si="116"/>
        <v>0.49214329425798481</v>
      </c>
      <c r="AH64" s="190">
        <f t="shared" ca="1" si="116"/>
        <v>0.4924467457145994</v>
      </c>
      <c r="AI64" s="190">
        <f t="shared" ca="1" si="116"/>
        <v>0.49276529544549541</v>
      </c>
      <c r="AJ64" s="190">
        <f t="shared" ca="1" si="116"/>
        <v>0.49309860967324171</v>
      </c>
      <c r="AK64" s="190">
        <f t="shared" ca="1" si="116"/>
        <v>0.4934463883508089</v>
      </c>
      <c r="AL64" s="190">
        <f t="shared" ca="1" si="116"/>
        <v>0.49380836101746334</v>
      </c>
      <c r="AM64" s="190">
        <f t="shared" ca="1" si="116"/>
        <v>0.49418428324928515</v>
      </c>
      <c r="AN64" s="190">
        <f t="shared" ca="1" si="116"/>
        <v>0.49457393360737406</v>
      </c>
      <c r="AO64" s="190">
        <f t="shared" ref="AO64:BH64" ca="1" si="117">(Rds_ON_V5CAN_150-Rds_ON_V5CAN_min40)/190*(AO4-150)+Rds_ON_V5CAN_150</f>
        <v>0.49497711100440417</v>
      </c>
      <c r="AP64" s="190">
        <f t="shared" ca="1" si="117"/>
        <v>0.49539363242428286</v>
      </c>
      <c r="AQ64" s="190">
        <f t="shared" ca="1" si="117"/>
        <v>0.49582333094101483</v>
      </c>
      <c r="AR64" s="190">
        <f t="shared" ca="1" si="117"/>
        <v>0.49626605399205231</v>
      </c>
      <c r="AS64" s="190">
        <f t="shared" ca="1" si="117"/>
        <v>0.49672166186887357</v>
      </c>
      <c r="AT64" s="190">
        <f t="shared" ca="1" si="117"/>
        <v>0.49719002639362447</v>
      </c>
      <c r="AU64" s="190">
        <f t="shared" ca="1" si="117"/>
        <v>0.49767102975565536</v>
      </c>
      <c r="AV64" s="190">
        <f t="shared" ca="1" si="117"/>
        <v>0.49816456348590032</v>
      </c>
      <c r="AW64" s="190">
        <f t="shared" ca="1" si="117"/>
        <v>0.49867052755044766</v>
      </c>
      <c r="AX64" s="190">
        <f t="shared" ca="1" si="117"/>
        <v>0.49918882954747573</v>
      </c>
      <c r="AY64" s="190">
        <f t="shared" ca="1" si="117"/>
        <v>0.49971938399408089</v>
      </c>
      <c r="AZ64" s="190">
        <f t="shared" ca="1" si="117"/>
        <v>0.50026211169149093</v>
      </c>
      <c r="BA64" s="190">
        <f t="shared" ca="1" si="117"/>
        <v>0.50081693915880821</v>
      </c>
      <c r="BB64" s="190">
        <f t="shared" ca="1" si="117"/>
        <v>0.50138379812681622</v>
      </c>
      <c r="BC64" s="190">
        <f t="shared" ca="1" si="117"/>
        <v>0.50196262508455536</v>
      </c>
      <c r="BD64" s="190">
        <f t="shared" ca="1" si="117"/>
        <v>0.50255336087236857</v>
      </c>
      <c r="BE64" s="190">
        <f t="shared" ca="1" si="117"/>
        <v>0.50315595031596039</v>
      </c>
      <c r="BF64" s="190">
        <f t="shared" ca="1" si="117"/>
        <v>0.50377034189673264</v>
      </c>
      <c r="BG64" s="190">
        <f t="shared" ca="1" si="117"/>
        <v>0.50439648745427457</v>
      </c>
      <c r="BH64" s="190">
        <f t="shared" ca="1" si="117"/>
        <v>0.52557799612128475</v>
      </c>
      <c r="BI64" s="15" t="s">
        <v>74</v>
      </c>
      <c r="BJ64" s="169"/>
      <c r="BK64" s="99"/>
      <c r="BL64" s="99"/>
      <c r="BM64" s="99"/>
      <c r="BN64" s="99"/>
      <c r="BO64" s="99"/>
      <c r="BP64" s="230"/>
      <c r="BQ64" s="230"/>
      <c r="BR64" s="230"/>
      <c r="BS64" s="230"/>
      <c r="BT64" s="230"/>
      <c r="BU64" s="230"/>
      <c r="BV64" s="99"/>
      <c r="BW64" s="99"/>
      <c r="BX64" s="99"/>
      <c r="BY64" s="99"/>
    </row>
    <row r="65" spans="1:77" s="4" customFormat="1" x14ac:dyDescent="0.3">
      <c r="A65" s="6"/>
      <c r="B65" s="32" t="s">
        <v>49</v>
      </c>
      <c r="C65" s="53">
        <f ca="1">IF(Topology="Buck","-",MAX(J22:BH22))</f>
        <v>2.0147495423065558</v>
      </c>
      <c r="D65" s="90" t="str">
        <f>IF(Topology="Buck","","Maximum peak MOSFET current")</f>
        <v>Maximum peak MOSFET current</v>
      </c>
      <c r="E65" s="6"/>
      <c r="F65" s="40"/>
      <c r="G65" s="170"/>
      <c r="H65" s="15" t="s">
        <v>75</v>
      </c>
      <c r="I65" s="172">
        <f t="shared" ref="I65:AN65" ca="1" si="118">(I21-I63)*Iout_V5CAN</f>
        <v>6.9999999999999937E-2</v>
      </c>
      <c r="J65" s="172">
        <f t="shared" ca="1" si="118"/>
        <v>6.9999999999999937E-2</v>
      </c>
      <c r="K65" s="172">
        <f t="shared" ca="1" si="118"/>
        <v>6.9999999999999937E-2</v>
      </c>
      <c r="L65" s="172">
        <f t="shared" ca="1" si="118"/>
        <v>6.9999999999999937E-2</v>
      </c>
      <c r="M65" s="172">
        <f t="shared" ca="1" si="118"/>
        <v>6.9999999999999937E-2</v>
      </c>
      <c r="N65" s="172">
        <f t="shared" ca="1" si="118"/>
        <v>6.9999999999999937E-2</v>
      </c>
      <c r="O65" s="172">
        <f t="shared" ca="1" si="118"/>
        <v>6.9999999999999937E-2</v>
      </c>
      <c r="P65" s="172">
        <f t="shared" ca="1" si="118"/>
        <v>6.9999999999999937E-2</v>
      </c>
      <c r="Q65" s="172">
        <f t="shared" ca="1" si="118"/>
        <v>6.9999999999999937E-2</v>
      </c>
      <c r="R65" s="172">
        <f t="shared" ca="1" si="118"/>
        <v>6.9999999999999937E-2</v>
      </c>
      <c r="S65" s="172">
        <f t="shared" ca="1" si="118"/>
        <v>6.9999999999999937E-2</v>
      </c>
      <c r="T65" s="172">
        <f t="shared" ca="1" si="118"/>
        <v>6.9999999999999937E-2</v>
      </c>
      <c r="U65" s="172">
        <f t="shared" ca="1" si="118"/>
        <v>6.9999999999999937E-2</v>
      </c>
      <c r="V65" s="172">
        <f t="shared" ca="1" si="118"/>
        <v>6.9999999999999937E-2</v>
      </c>
      <c r="W65" s="172">
        <f t="shared" ca="1" si="118"/>
        <v>6.9999999999999937E-2</v>
      </c>
      <c r="X65" s="172">
        <f t="shared" ca="1" si="118"/>
        <v>6.9999999999999937E-2</v>
      </c>
      <c r="Y65" s="172">
        <f t="shared" ca="1" si="118"/>
        <v>6.9999999999999937E-2</v>
      </c>
      <c r="Z65" s="172">
        <f t="shared" ca="1" si="118"/>
        <v>6.9999999999999937E-2</v>
      </c>
      <c r="AA65" s="172">
        <f t="shared" ca="1" si="118"/>
        <v>6.9999999999999937E-2</v>
      </c>
      <c r="AB65" s="172">
        <f t="shared" ca="1" si="118"/>
        <v>6.9999999999999937E-2</v>
      </c>
      <c r="AC65" s="172">
        <f t="shared" ca="1" si="118"/>
        <v>6.9999999999999937E-2</v>
      </c>
      <c r="AD65" s="172">
        <f t="shared" ca="1" si="118"/>
        <v>6.9999999999999937E-2</v>
      </c>
      <c r="AE65" s="172">
        <f t="shared" ca="1" si="118"/>
        <v>6.9999999999999937E-2</v>
      </c>
      <c r="AF65" s="172">
        <f t="shared" ca="1" si="118"/>
        <v>6.9999999999999937E-2</v>
      </c>
      <c r="AG65" s="172">
        <f t="shared" ca="1" si="118"/>
        <v>6.9999999999999937E-2</v>
      </c>
      <c r="AH65" s="172">
        <f t="shared" ca="1" si="118"/>
        <v>6.9999999999999937E-2</v>
      </c>
      <c r="AI65" s="172">
        <f t="shared" ca="1" si="118"/>
        <v>6.9999999999999937E-2</v>
      </c>
      <c r="AJ65" s="172">
        <f t="shared" ca="1" si="118"/>
        <v>6.9999999999999937E-2</v>
      </c>
      <c r="AK65" s="172">
        <f t="shared" ca="1" si="118"/>
        <v>6.9999999999999937E-2</v>
      </c>
      <c r="AL65" s="172">
        <f t="shared" ca="1" si="118"/>
        <v>6.9999999999999937E-2</v>
      </c>
      <c r="AM65" s="172">
        <f t="shared" ca="1" si="118"/>
        <v>6.9999999999999937E-2</v>
      </c>
      <c r="AN65" s="172">
        <f t="shared" ca="1" si="118"/>
        <v>6.9999999999999937E-2</v>
      </c>
      <c r="AO65" s="172">
        <f t="shared" ref="AO65:BH65" ca="1" si="119">(AO21-AO63)*Iout_V5CAN</f>
        <v>6.9999999999999937E-2</v>
      </c>
      <c r="AP65" s="172">
        <f t="shared" ca="1" si="119"/>
        <v>6.9999999999999937E-2</v>
      </c>
      <c r="AQ65" s="172">
        <f t="shared" ca="1" si="119"/>
        <v>6.9999999999999937E-2</v>
      </c>
      <c r="AR65" s="172">
        <f t="shared" ca="1" si="119"/>
        <v>6.9999999999999937E-2</v>
      </c>
      <c r="AS65" s="172">
        <f t="shared" ca="1" si="119"/>
        <v>6.9999999999999937E-2</v>
      </c>
      <c r="AT65" s="172">
        <f t="shared" ca="1" si="119"/>
        <v>6.9999999999999937E-2</v>
      </c>
      <c r="AU65" s="172">
        <f t="shared" ca="1" si="119"/>
        <v>6.9999999999999937E-2</v>
      </c>
      <c r="AV65" s="172">
        <f t="shared" ca="1" si="119"/>
        <v>6.9999999999999937E-2</v>
      </c>
      <c r="AW65" s="172">
        <f t="shared" ca="1" si="119"/>
        <v>6.9999999999999937E-2</v>
      </c>
      <c r="AX65" s="172">
        <f t="shared" ca="1" si="119"/>
        <v>6.9999999999999937E-2</v>
      </c>
      <c r="AY65" s="172">
        <f t="shared" ca="1" si="119"/>
        <v>6.9999999999999937E-2</v>
      </c>
      <c r="AZ65" s="172">
        <f t="shared" ca="1" si="119"/>
        <v>6.9999999999999937E-2</v>
      </c>
      <c r="BA65" s="172">
        <f t="shared" ca="1" si="119"/>
        <v>6.9999999999999937E-2</v>
      </c>
      <c r="BB65" s="172">
        <f t="shared" ca="1" si="119"/>
        <v>6.9999999999999937E-2</v>
      </c>
      <c r="BC65" s="172">
        <f t="shared" ca="1" si="119"/>
        <v>6.9999999999999937E-2</v>
      </c>
      <c r="BD65" s="172">
        <f t="shared" ca="1" si="119"/>
        <v>6.9999999999999937E-2</v>
      </c>
      <c r="BE65" s="172">
        <f t="shared" ca="1" si="119"/>
        <v>6.9999999999999937E-2</v>
      </c>
      <c r="BF65" s="172">
        <f t="shared" ca="1" si="119"/>
        <v>6.9999999999999937E-2</v>
      </c>
      <c r="BG65" s="172">
        <f t="shared" ca="1" si="119"/>
        <v>6.9999999999999937E-2</v>
      </c>
      <c r="BH65" s="172">
        <f t="shared" ca="1" si="119"/>
        <v>6.9999999999999937E-2</v>
      </c>
      <c r="BI65" s="15" t="s">
        <v>75</v>
      </c>
      <c r="BJ65" s="169"/>
      <c r="BK65" s="99"/>
      <c r="BL65" s="99"/>
      <c r="BM65" s="99"/>
      <c r="BN65" s="99"/>
      <c r="BO65" s="99"/>
      <c r="BP65" s="230"/>
      <c r="BQ65" s="230"/>
      <c r="BR65" s="230"/>
      <c r="BS65" s="230"/>
      <c r="BT65" s="230"/>
      <c r="BU65" s="230"/>
      <c r="BV65" s="99"/>
      <c r="BW65" s="99"/>
      <c r="BX65" s="99"/>
      <c r="BY65" s="99"/>
    </row>
    <row r="66" spans="1:77" s="4" customFormat="1" x14ac:dyDescent="0.3">
      <c r="A66" s="6"/>
      <c r="B66" s="32" t="s">
        <v>48</v>
      </c>
      <c r="C66" s="53">
        <f ca="1">IF(Topology="Buck","-",MAX(J27:BH27))</f>
        <v>1.4640114227903234</v>
      </c>
      <c r="D66" s="90" t="str">
        <f>IF(Topology="Buck","","Maximum RMS MOSFET current")</f>
        <v>Maximum RMS MOSFET current</v>
      </c>
      <c r="E66" s="6"/>
      <c r="F66" s="40"/>
      <c r="G66" s="170" t="s">
        <v>257</v>
      </c>
      <c r="H66" s="15" t="s">
        <v>76</v>
      </c>
      <c r="I66" s="168">
        <f t="shared" ref="I66:AN66" ca="1" si="120">IF(I21-5&lt;I67*Iout_V5P,I21-I67*Iout_V5P,5)</f>
        <v>5</v>
      </c>
      <c r="J66" s="168">
        <f t="shared" ca="1" si="120"/>
        <v>5</v>
      </c>
      <c r="K66" s="168">
        <f t="shared" ca="1" si="120"/>
        <v>5</v>
      </c>
      <c r="L66" s="168">
        <f t="shared" ca="1" si="120"/>
        <v>5</v>
      </c>
      <c r="M66" s="168">
        <f t="shared" ca="1" si="120"/>
        <v>5</v>
      </c>
      <c r="N66" s="168">
        <f t="shared" ca="1" si="120"/>
        <v>5</v>
      </c>
      <c r="O66" s="168">
        <f t="shared" ca="1" si="120"/>
        <v>5</v>
      </c>
      <c r="P66" s="168">
        <f t="shared" ca="1" si="120"/>
        <v>5</v>
      </c>
      <c r="Q66" s="168">
        <f t="shared" ca="1" si="120"/>
        <v>5</v>
      </c>
      <c r="R66" s="168">
        <f t="shared" ca="1" si="120"/>
        <v>5</v>
      </c>
      <c r="S66" s="168">
        <f t="shared" ca="1" si="120"/>
        <v>5</v>
      </c>
      <c r="T66" s="168">
        <f t="shared" ca="1" si="120"/>
        <v>5</v>
      </c>
      <c r="U66" s="168">
        <f t="shared" ca="1" si="120"/>
        <v>5</v>
      </c>
      <c r="V66" s="168">
        <f t="shared" ca="1" si="120"/>
        <v>5</v>
      </c>
      <c r="W66" s="168">
        <f t="shared" ca="1" si="120"/>
        <v>5</v>
      </c>
      <c r="X66" s="168">
        <f t="shared" ca="1" si="120"/>
        <v>5</v>
      </c>
      <c r="Y66" s="168">
        <f t="shared" ca="1" si="120"/>
        <v>5</v>
      </c>
      <c r="Z66" s="168">
        <f t="shared" ca="1" si="120"/>
        <v>5</v>
      </c>
      <c r="AA66" s="168">
        <f t="shared" ca="1" si="120"/>
        <v>5</v>
      </c>
      <c r="AB66" s="168">
        <f t="shared" ca="1" si="120"/>
        <v>5</v>
      </c>
      <c r="AC66" s="168">
        <f t="shared" ca="1" si="120"/>
        <v>5</v>
      </c>
      <c r="AD66" s="168">
        <f t="shared" ca="1" si="120"/>
        <v>5</v>
      </c>
      <c r="AE66" s="168">
        <f t="shared" ca="1" si="120"/>
        <v>5</v>
      </c>
      <c r="AF66" s="168">
        <f t="shared" ca="1" si="120"/>
        <v>5</v>
      </c>
      <c r="AG66" s="168">
        <f t="shared" ca="1" si="120"/>
        <v>5</v>
      </c>
      <c r="AH66" s="168">
        <f t="shared" ca="1" si="120"/>
        <v>5</v>
      </c>
      <c r="AI66" s="168">
        <f t="shared" ca="1" si="120"/>
        <v>5</v>
      </c>
      <c r="AJ66" s="168">
        <f t="shared" ca="1" si="120"/>
        <v>5</v>
      </c>
      <c r="AK66" s="168">
        <f t="shared" ca="1" si="120"/>
        <v>5</v>
      </c>
      <c r="AL66" s="168">
        <f t="shared" ca="1" si="120"/>
        <v>5</v>
      </c>
      <c r="AM66" s="168">
        <f t="shared" ca="1" si="120"/>
        <v>5</v>
      </c>
      <c r="AN66" s="168">
        <f t="shared" ca="1" si="120"/>
        <v>5</v>
      </c>
      <c r="AO66" s="168">
        <f t="shared" ref="AO66:BH66" ca="1" si="121">IF(AO21-5&lt;AO67*Iout_V5P,AO21-AO67*Iout_V5P,5)</f>
        <v>5</v>
      </c>
      <c r="AP66" s="168">
        <f t="shared" ca="1" si="121"/>
        <v>5</v>
      </c>
      <c r="AQ66" s="168">
        <f t="shared" ca="1" si="121"/>
        <v>5</v>
      </c>
      <c r="AR66" s="168">
        <f t="shared" ca="1" si="121"/>
        <v>5</v>
      </c>
      <c r="AS66" s="168">
        <f t="shared" ca="1" si="121"/>
        <v>5</v>
      </c>
      <c r="AT66" s="168">
        <f t="shared" ca="1" si="121"/>
        <v>5</v>
      </c>
      <c r="AU66" s="168">
        <f t="shared" ca="1" si="121"/>
        <v>5</v>
      </c>
      <c r="AV66" s="168">
        <f t="shared" ca="1" si="121"/>
        <v>5</v>
      </c>
      <c r="AW66" s="168">
        <f t="shared" ca="1" si="121"/>
        <v>5</v>
      </c>
      <c r="AX66" s="168">
        <f t="shared" ca="1" si="121"/>
        <v>5</v>
      </c>
      <c r="AY66" s="168">
        <f t="shared" ca="1" si="121"/>
        <v>5</v>
      </c>
      <c r="AZ66" s="168">
        <f t="shared" ca="1" si="121"/>
        <v>5</v>
      </c>
      <c r="BA66" s="168">
        <f t="shared" ca="1" si="121"/>
        <v>5</v>
      </c>
      <c r="BB66" s="168">
        <f t="shared" ca="1" si="121"/>
        <v>5</v>
      </c>
      <c r="BC66" s="168">
        <f t="shared" ca="1" si="121"/>
        <v>5</v>
      </c>
      <c r="BD66" s="168">
        <f t="shared" ca="1" si="121"/>
        <v>5</v>
      </c>
      <c r="BE66" s="168">
        <f t="shared" ca="1" si="121"/>
        <v>5</v>
      </c>
      <c r="BF66" s="168">
        <f t="shared" ca="1" si="121"/>
        <v>5</v>
      </c>
      <c r="BG66" s="168">
        <f t="shared" ca="1" si="121"/>
        <v>5</v>
      </c>
      <c r="BH66" s="168">
        <f t="shared" ca="1" si="121"/>
        <v>5</v>
      </c>
      <c r="BI66" s="15" t="s">
        <v>76</v>
      </c>
      <c r="BJ66" s="169" t="s">
        <v>1</v>
      </c>
      <c r="BK66" s="99"/>
      <c r="BL66" s="99"/>
      <c r="BM66" s="99"/>
      <c r="BN66" s="99"/>
      <c r="BO66" s="99"/>
      <c r="BP66" s="230"/>
      <c r="BQ66" s="230"/>
      <c r="BR66" s="230"/>
      <c r="BS66" s="230"/>
      <c r="BT66" s="230"/>
      <c r="BU66" s="230"/>
      <c r="BV66" s="99"/>
      <c r="BW66" s="99"/>
      <c r="BX66" s="99"/>
      <c r="BY66" s="99"/>
    </row>
    <row r="67" spans="1:77" s="4" customFormat="1" x14ac:dyDescent="0.3">
      <c r="A67" s="6"/>
      <c r="B67" s="32" t="s">
        <v>286</v>
      </c>
      <c r="C67" s="156">
        <v>6.5</v>
      </c>
      <c r="D67" s="90" t="s">
        <v>287</v>
      </c>
      <c r="E67" s="6"/>
      <c r="F67" s="40"/>
      <c r="G67" s="170"/>
      <c r="H67" s="15" t="s">
        <v>74</v>
      </c>
      <c r="I67" s="190">
        <f t="shared" ref="I67:AN67" ca="1" si="122">(Rds_ON_V5P_150-Rds_ON_V5P_min40)/190*(I4-150)+Rds_ON_V5P_150</f>
        <v>0.68342594037405802</v>
      </c>
      <c r="J67" s="190">
        <f t="shared" ca="1" si="122"/>
        <v>0.70860047280919103</v>
      </c>
      <c r="K67" s="190">
        <f t="shared" ca="1" si="122"/>
        <v>0.70052253124085451</v>
      </c>
      <c r="L67" s="190">
        <f t="shared" ca="1" si="122"/>
        <v>0.6946391507505798</v>
      </c>
      <c r="M67" s="190">
        <f t="shared" ca="1" si="122"/>
        <v>0.69025024439508298</v>
      </c>
      <c r="N67" s="190">
        <f t="shared" ca="1" si="122"/>
        <v>0.68692099695306441</v>
      </c>
      <c r="O67" s="190">
        <f t="shared" ca="1" si="122"/>
        <v>0.68436844109702</v>
      </c>
      <c r="P67" s="190">
        <f t="shared" ca="1" si="122"/>
        <v>0.68240124208904385</v>
      </c>
      <c r="Q67" s="190">
        <f t="shared" ca="1" si="122"/>
        <v>0.68088588576620623</v>
      </c>
      <c r="R67" s="190">
        <f t="shared" ca="1" si="122"/>
        <v>0.67972671790022721</v>
      </c>
      <c r="S67" s="190">
        <f t="shared" ca="1" si="122"/>
        <v>0.67885366073679487</v>
      </c>
      <c r="T67" s="190">
        <f t="shared" ca="1" si="122"/>
        <v>0.67821433242386586</v>
      </c>
      <c r="U67" s="190">
        <f t="shared" ca="1" si="122"/>
        <v>0.67776748417652433</v>
      </c>
      <c r="V67" s="190">
        <f t="shared" ca="1" si="122"/>
        <v>0.67687193798096279</v>
      </c>
      <c r="W67" s="190">
        <f t="shared" ca="1" si="122"/>
        <v>0.67639141668897385</v>
      </c>
      <c r="X67" s="190">
        <f t="shared" ca="1" si="122"/>
        <v>0.67660388001117566</v>
      </c>
      <c r="Y67" s="190">
        <f t="shared" ca="1" si="122"/>
        <v>0.67685472482359466</v>
      </c>
      <c r="Z67" s="190">
        <f t="shared" ca="1" si="122"/>
        <v>0.6771419102721471</v>
      </c>
      <c r="AA67" s="190">
        <f t="shared" ca="1" si="122"/>
        <v>0.67746366921730361</v>
      </c>
      <c r="AB67" s="190">
        <f t="shared" ca="1" si="122"/>
        <v>0.67781846408831914</v>
      </c>
      <c r="AC67" s="190">
        <f t="shared" ca="1" si="122"/>
        <v>0.67820495096608646</v>
      </c>
      <c r="AD67" s="190">
        <f t="shared" ca="1" si="122"/>
        <v>0.67862195016962745</v>
      </c>
      <c r="AE67" s="190">
        <f t="shared" ca="1" si="122"/>
        <v>0.67906842201994555</v>
      </c>
      <c r="AF67" s="190">
        <f t="shared" ca="1" si="122"/>
        <v>0.67954344675358391</v>
      </c>
      <c r="AG67" s="190">
        <f t="shared" ca="1" si="122"/>
        <v>0.68004620778372693</v>
      </c>
      <c r="AH67" s="190">
        <f t="shared" ca="1" si="122"/>
        <v>0.68057597767830369</v>
      </c>
      <c r="AI67" s="190">
        <f t="shared" ca="1" si="122"/>
        <v>0.68113210635613874</v>
      </c>
      <c r="AJ67" s="190">
        <f t="shared" ca="1" si="122"/>
        <v>0.68171401110381769</v>
      </c>
      <c r="AK67" s="190">
        <f t="shared" ca="1" si="122"/>
        <v>0.68232116809494336</v>
      </c>
      <c r="AL67" s="190">
        <f t="shared" ca="1" si="122"/>
        <v>0.6829531051552975</v>
      </c>
      <c r="AM67" s="190">
        <f t="shared" ca="1" si="122"/>
        <v>0.68360939556610356</v>
      </c>
      <c r="AN67" s="190">
        <f t="shared" ca="1" si="122"/>
        <v>0.68428965273616138</v>
      </c>
      <c r="AO67" s="190">
        <f t="shared" ref="AO67:BH67" ca="1" si="123">(Rds_ON_V5P_150-Rds_ON_V5P_min40)/190*(AO4-150)+Rds_ON_V5P_150</f>
        <v>0.68499352560434024</v>
      </c>
      <c r="AP67" s="190">
        <f t="shared" ca="1" si="123"/>
        <v>0.68572069465852725</v>
      </c>
      <c r="AQ67" s="190">
        <f t="shared" ca="1" si="123"/>
        <v>0.6864708684769314</v>
      </c>
      <c r="AR67" s="190">
        <f t="shared" ca="1" si="123"/>
        <v>0.6872437807136742</v>
      </c>
      <c r="AS67" s="190">
        <f t="shared" ca="1" si="123"/>
        <v>0.68803918746361936</v>
      </c>
      <c r="AT67" s="190">
        <f t="shared" ca="1" si="123"/>
        <v>0.68885686495203535</v>
      </c>
      <c r="AU67" s="190">
        <f t="shared" ca="1" si="123"/>
        <v>0.68969660750340434</v>
      </c>
      <c r="AV67" s="190">
        <f t="shared" ca="1" si="123"/>
        <v>0.69055822575087922</v>
      </c>
      <c r="AW67" s="190">
        <f t="shared" ca="1" si="123"/>
        <v>0.6914415450538256</v>
      </c>
      <c r="AX67" s="190">
        <f t="shared" ca="1" si="123"/>
        <v>0.69234640409582138</v>
      </c>
      <c r="AY67" s="190">
        <f t="shared" ca="1" si="123"/>
        <v>0.69327265363959012</v>
      </c>
      <c r="AZ67" s="190">
        <f t="shared" ca="1" si="123"/>
        <v>0.69422015541878246</v>
      </c>
      <c r="BA67" s="190">
        <f t="shared" ca="1" si="123"/>
        <v>0.69518878114939575</v>
      </c>
      <c r="BB67" s="190">
        <f t="shared" ca="1" si="123"/>
        <v>0.6961784116460551</v>
      </c>
      <c r="BC67" s="190">
        <f t="shared" ca="1" si="123"/>
        <v>0.69718893603041843</v>
      </c>
      <c r="BD67" s="190">
        <f t="shared" ca="1" si="123"/>
        <v>0.69822025102071039</v>
      </c>
      <c r="BE67" s="190">
        <f t="shared" ca="1" si="123"/>
        <v>0.69927226029285616</v>
      </c>
      <c r="BF67" s="190">
        <f t="shared" ca="1" si="123"/>
        <v>0.70034487390495026</v>
      </c>
      <c r="BG67" s="190">
        <f t="shared" ca="1" si="123"/>
        <v>0.70143800777785825</v>
      </c>
      <c r="BH67" s="190">
        <f t="shared" ca="1" si="123"/>
        <v>0.73841698866227334</v>
      </c>
      <c r="BI67" s="15" t="s">
        <v>74</v>
      </c>
      <c r="BJ67" s="169"/>
      <c r="BK67" s="99"/>
      <c r="BL67" s="99"/>
      <c r="BM67" s="99"/>
      <c r="BN67" s="99"/>
      <c r="BO67" s="99"/>
      <c r="BP67" s="230"/>
      <c r="BQ67" s="230"/>
      <c r="BR67" s="230"/>
      <c r="BS67" s="230"/>
      <c r="BT67" s="230"/>
      <c r="BU67" s="230"/>
      <c r="BV67" s="99"/>
      <c r="BW67" s="99"/>
      <c r="BX67" s="99"/>
      <c r="BY67" s="99"/>
    </row>
    <row r="68" spans="1:77" s="4" customFormat="1" x14ac:dyDescent="0.3">
      <c r="A68" s="6"/>
      <c r="B68" s="56" t="s">
        <v>179</v>
      </c>
      <c r="C68" s="54">
        <f ca="1">IF(Topology="Buck","-",MAX(J82:BH82))</f>
        <v>0.25666970013945994</v>
      </c>
      <c r="D68" s="90" t="str">
        <f>IF(Topology="Buck","","Maximum MOSFET power dissipation")</f>
        <v>Maximum MOSFET power dissipation</v>
      </c>
      <c r="E68" s="6"/>
      <c r="F68" s="40"/>
      <c r="G68" s="170"/>
      <c r="H68" s="15" t="s">
        <v>75</v>
      </c>
      <c r="I68" s="172">
        <f t="shared" ref="I68:AN68" ca="1" si="124">(I21-I66)*Iout_V5P</f>
        <v>2.6249999999999971E-2</v>
      </c>
      <c r="J68" s="172">
        <f t="shared" ca="1" si="124"/>
        <v>2.6249999999999971E-2</v>
      </c>
      <c r="K68" s="172">
        <f t="shared" ca="1" si="124"/>
        <v>2.6249999999999971E-2</v>
      </c>
      <c r="L68" s="172">
        <f t="shared" ca="1" si="124"/>
        <v>2.6249999999999971E-2</v>
      </c>
      <c r="M68" s="172">
        <f t="shared" ca="1" si="124"/>
        <v>2.6249999999999971E-2</v>
      </c>
      <c r="N68" s="172">
        <f t="shared" ca="1" si="124"/>
        <v>2.6249999999999971E-2</v>
      </c>
      <c r="O68" s="172">
        <f t="shared" ca="1" si="124"/>
        <v>2.6249999999999971E-2</v>
      </c>
      <c r="P68" s="172">
        <f t="shared" ca="1" si="124"/>
        <v>2.6249999999999971E-2</v>
      </c>
      <c r="Q68" s="172">
        <f t="shared" ca="1" si="124"/>
        <v>2.6249999999999971E-2</v>
      </c>
      <c r="R68" s="172">
        <f t="shared" ca="1" si="124"/>
        <v>2.6249999999999971E-2</v>
      </c>
      <c r="S68" s="172">
        <f t="shared" ca="1" si="124"/>
        <v>2.6249999999999971E-2</v>
      </c>
      <c r="T68" s="172">
        <f t="shared" ca="1" si="124"/>
        <v>2.6249999999999971E-2</v>
      </c>
      <c r="U68" s="172">
        <f t="shared" ca="1" si="124"/>
        <v>2.6249999999999971E-2</v>
      </c>
      <c r="V68" s="172">
        <f t="shared" ca="1" si="124"/>
        <v>2.6249999999999971E-2</v>
      </c>
      <c r="W68" s="172">
        <f t="shared" ca="1" si="124"/>
        <v>2.6249999999999971E-2</v>
      </c>
      <c r="X68" s="172">
        <f t="shared" ca="1" si="124"/>
        <v>2.6249999999999971E-2</v>
      </c>
      <c r="Y68" s="172">
        <f t="shared" ca="1" si="124"/>
        <v>2.6249999999999971E-2</v>
      </c>
      <c r="Z68" s="172">
        <f t="shared" ca="1" si="124"/>
        <v>2.6249999999999971E-2</v>
      </c>
      <c r="AA68" s="172">
        <f t="shared" ca="1" si="124"/>
        <v>2.6249999999999971E-2</v>
      </c>
      <c r="AB68" s="172">
        <f t="shared" ca="1" si="124"/>
        <v>2.6249999999999971E-2</v>
      </c>
      <c r="AC68" s="172">
        <f t="shared" ca="1" si="124"/>
        <v>2.6249999999999971E-2</v>
      </c>
      <c r="AD68" s="172">
        <f t="shared" ca="1" si="124"/>
        <v>2.6249999999999971E-2</v>
      </c>
      <c r="AE68" s="172">
        <f t="shared" ca="1" si="124"/>
        <v>2.6249999999999971E-2</v>
      </c>
      <c r="AF68" s="172">
        <f t="shared" ca="1" si="124"/>
        <v>2.6249999999999971E-2</v>
      </c>
      <c r="AG68" s="172">
        <f t="shared" ca="1" si="124"/>
        <v>2.6249999999999971E-2</v>
      </c>
      <c r="AH68" s="172">
        <f t="shared" ca="1" si="124"/>
        <v>2.6249999999999971E-2</v>
      </c>
      <c r="AI68" s="172">
        <f t="shared" ca="1" si="124"/>
        <v>2.6249999999999971E-2</v>
      </c>
      <c r="AJ68" s="172">
        <f t="shared" ca="1" si="124"/>
        <v>2.6249999999999971E-2</v>
      </c>
      <c r="AK68" s="172">
        <f t="shared" ca="1" si="124"/>
        <v>2.6249999999999971E-2</v>
      </c>
      <c r="AL68" s="172">
        <f t="shared" ca="1" si="124"/>
        <v>2.6249999999999971E-2</v>
      </c>
      <c r="AM68" s="172">
        <f t="shared" ca="1" si="124"/>
        <v>2.6249999999999971E-2</v>
      </c>
      <c r="AN68" s="172">
        <f t="shared" ca="1" si="124"/>
        <v>2.6249999999999971E-2</v>
      </c>
      <c r="AO68" s="172">
        <f t="shared" ref="AO68:BH68" ca="1" si="125">(AO21-AO66)*Iout_V5P</f>
        <v>2.6249999999999971E-2</v>
      </c>
      <c r="AP68" s="172">
        <f t="shared" ca="1" si="125"/>
        <v>2.6249999999999971E-2</v>
      </c>
      <c r="AQ68" s="172">
        <f t="shared" ca="1" si="125"/>
        <v>2.6249999999999971E-2</v>
      </c>
      <c r="AR68" s="172">
        <f t="shared" ca="1" si="125"/>
        <v>2.6249999999999971E-2</v>
      </c>
      <c r="AS68" s="172">
        <f t="shared" ca="1" si="125"/>
        <v>2.6249999999999971E-2</v>
      </c>
      <c r="AT68" s="172">
        <f t="shared" ca="1" si="125"/>
        <v>2.6249999999999971E-2</v>
      </c>
      <c r="AU68" s="172">
        <f t="shared" ca="1" si="125"/>
        <v>2.6249999999999971E-2</v>
      </c>
      <c r="AV68" s="172">
        <f t="shared" ca="1" si="125"/>
        <v>2.6249999999999971E-2</v>
      </c>
      <c r="AW68" s="172">
        <f t="shared" ca="1" si="125"/>
        <v>2.6249999999999971E-2</v>
      </c>
      <c r="AX68" s="172">
        <f t="shared" ca="1" si="125"/>
        <v>2.6249999999999971E-2</v>
      </c>
      <c r="AY68" s="172">
        <f t="shared" ca="1" si="125"/>
        <v>2.6249999999999971E-2</v>
      </c>
      <c r="AZ68" s="172">
        <f t="shared" ca="1" si="125"/>
        <v>2.6249999999999971E-2</v>
      </c>
      <c r="BA68" s="172">
        <f t="shared" ca="1" si="125"/>
        <v>2.6249999999999971E-2</v>
      </c>
      <c r="BB68" s="172">
        <f t="shared" ca="1" si="125"/>
        <v>2.6249999999999971E-2</v>
      </c>
      <c r="BC68" s="172">
        <f t="shared" ca="1" si="125"/>
        <v>2.6249999999999971E-2</v>
      </c>
      <c r="BD68" s="172">
        <f t="shared" ca="1" si="125"/>
        <v>2.6249999999999971E-2</v>
      </c>
      <c r="BE68" s="172">
        <f t="shared" ca="1" si="125"/>
        <v>2.6249999999999971E-2</v>
      </c>
      <c r="BF68" s="172">
        <f t="shared" ca="1" si="125"/>
        <v>2.6249999999999971E-2</v>
      </c>
      <c r="BG68" s="172">
        <f t="shared" ca="1" si="125"/>
        <v>2.6249999999999971E-2</v>
      </c>
      <c r="BH68" s="172">
        <f t="shared" ca="1" si="125"/>
        <v>2.6249999999999971E-2</v>
      </c>
      <c r="BI68" s="15" t="s">
        <v>75</v>
      </c>
      <c r="BJ68" s="169"/>
      <c r="BK68" s="99"/>
      <c r="BL68" s="99"/>
      <c r="BM68" s="99"/>
      <c r="BN68" s="99"/>
      <c r="BO68" s="99"/>
      <c r="BP68" s="230"/>
      <c r="BQ68" s="230"/>
      <c r="BR68" s="230"/>
      <c r="BS68" s="230"/>
      <c r="BT68" s="230"/>
      <c r="BU68" s="230"/>
      <c r="BV68" s="99"/>
      <c r="BW68" s="99"/>
      <c r="BX68" s="99"/>
      <c r="BY68" s="99"/>
    </row>
    <row r="69" spans="1:77" s="4" customFormat="1" x14ac:dyDescent="0.3">
      <c r="A69" s="6"/>
      <c r="B69" s="56" t="s">
        <v>180</v>
      </c>
      <c r="C69" s="55">
        <f>IF(Topology="Buck","-",Vreg+4)</f>
        <v>9.35</v>
      </c>
      <c r="D69" s="90" t="str">
        <f>IF(Topology="Buck","","Select MOSFET with higher VDS rating")</f>
        <v>Select MOSFET with higher VDS rating</v>
      </c>
      <c r="E69" s="6"/>
      <c r="F69" s="40"/>
      <c r="G69" s="170" t="s">
        <v>52</v>
      </c>
      <c r="H69" s="15" t="s">
        <v>67</v>
      </c>
      <c r="I69" s="191">
        <f t="shared" ref="I69" ca="1" si="126">I72*RTHavg_Vd+Ta</f>
        <v>142.41574710893795</v>
      </c>
      <c r="J69" s="191">
        <f t="shared" ref="J69:AM69" ca="1" si="127">J72*RTHavg_Vd+Ta</f>
        <v>142.38947686145497</v>
      </c>
      <c r="K69" s="191">
        <f t="shared" ca="1" si="127"/>
        <v>142.1985467655891</v>
      </c>
      <c r="L69" s="191">
        <f t="shared" ca="1" si="127"/>
        <v>141.64709532140989</v>
      </c>
      <c r="M69" s="191">
        <f t="shared" ca="1" si="127"/>
        <v>140.94085775232756</v>
      </c>
      <c r="N69" s="191">
        <f t="shared" ca="1" si="127"/>
        <v>140.18565169607223</v>
      </c>
      <c r="O69" s="191">
        <f t="shared" ca="1" si="127"/>
        <v>139.43646035536841</v>
      </c>
      <c r="P69" s="191">
        <f t="shared" ca="1" si="127"/>
        <v>138.72163276323153</v>
      </c>
      <c r="Q69" s="191">
        <f t="shared" ca="1" si="127"/>
        <v>138.05513869396196</v>
      </c>
      <c r="R69" s="191">
        <f t="shared" ca="1" si="127"/>
        <v>137.4430490518302</v>
      </c>
      <c r="S69" s="191">
        <f t="shared" ca="1" si="127"/>
        <v>136.88707781793718</v>
      </c>
      <c r="T69" s="191">
        <f t="shared" ca="1" si="127"/>
        <v>136.3856903150317</v>
      </c>
      <c r="U69" s="191">
        <f t="shared" ca="1" si="127"/>
        <v>135.90987184642353</v>
      </c>
      <c r="V69" s="191">
        <f t="shared" ca="1" si="127"/>
        <v>135.53985531891183</v>
      </c>
      <c r="W69" s="191">
        <f t="shared" ca="1" si="127"/>
        <v>131.96659945254495</v>
      </c>
      <c r="X69" s="191">
        <f t="shared" ca="1" si="127"/>
        <v>133.03127343721277</v>
      </c>
      <c r="Y69" s="191">
        <f t="shared" ca="1" si="127"/>
        <v>134.01243916828375</v>
      </c>
      <c r="Z69" s="191">
        <f t="shared" ca="1" si="127"/>
        <v>134.91950593588916</v>
      </c>
      <c r="AA69" s="191">
        <f t="shared" ca="1" si="127"/>
        <v>135.7605266276523</v>
      </c>
      <c r="AB69" s="191">
        <f t="shared" ca="1" si="127"/>
        <v>136.54243266404265</v>
      </c>
      <c r="AC69" s="191">
        <f t="shared" ca="1" si="127"/>
        <v>137.27122192426154</v>
      </c>
      <c r="AD69" s="191">
        <f t="shared" ca="1" si="127"/>
        <v>137.9521102425106</v>
      </c>
      <c r="AE69" s="191">
        <f t="shared" ca="1" si="127"/>
        <v>138.58965442763841</v>
      </c>
      <c r="AF69" s="191">
        <f t="shared" ca="1" si="127"/>
        <v>139.18785284143956</v>
      </c>
      <c r="AG69" s="191">
        <f t="shared" ca="1" si="127"/>
        <v>139.75022815649913</v>
      </c>
      <c r="AH69" s="191">
        <f t="shared" ca="1" si="127"/>
        <v>140.27989586126466</v>
      </c>
      <c r="AI69" s="191">
        <f t="shared" ca="1" si="127"/>
        <v>140.77962128863942</v>
      </c>
      <c r="AJ69" s="191">
        <f t="shared" ca="1" si="127"/>
        <v>141.25186734464626</v>
      </c>
      <c r="AK69" s="191">
        <f t="shared" ca="1" si="127"/>
        <v>141.69883465552937</v>
      </c>
      <c r="AL69" s="191">
        <f t="shared" ca="1" si="127"/>
        <v>142.12249549895108</v>
      </c>
      <c r="AM69" s="191">
        <f t="shared" ca="1" si="127"/>
        <v>142.52462261146229</v>
      </c>
      <c r="AN69" s="191">
        <f t="shared" ref="AN69:AT69" ca="1" si="128">AN72*RTHavg_Vd+Ta</f>
        <v>142.90681375092365</v>
      </c>
      <c r="AO69" s="191">
        <f t="shared" ca="1" si="128"/>
        <v>143.2705127247936</v>
      </c>
      <c r="AP69" s="191">
        <f t="shared" ca="1" si="128"/>
        <v>143.61702746256435</v>
      </c>
      <c r="AQ69" s="191">
        <f t="shared" ca="1" si="128"/>
        <v>143.94754560514673</v>
      </c>
      <c r="AR69" s="191">
        <f t="shared" ca="1" si="128"/>
        <v>144.26314799964996</v>
      </c>
      <c r="AS69" s="191">
        <f t="shared" ca="1" si="128"/>
        <v>144.56482042018223</v>
      </c>
      <c r="AT69" s="191">
        <f t="shared" ca="1" si="128"/>
        <v>144.85346378049431</v>
      </c>
      <c r="AU69" s="191">
        <f t="shared" ref="AU69:BG69" ca="1" si="129">AU72*RTHavg_Vd+Ta</f>
        <v>145.12990305978633</v>
      </c>
      <c r="AV69" s="191">
        <f t="shared" ca="1" si="129"/>
        <v>145.3948951266938</v>
      </c>
      <c r="AW69" s="191">
        <f t="shared" ca="1" si="129"/>
        <v>145.6491356167212</v>
      </c>
      <c r="AX69" s="191">
        <f t="shared" ca="1" si="129"/>
        <v>145.89326499391072</v>
      </c>
      <c r="AY69" s="191">
        <f t="shared" ca="1" si="129"/>
        <v>146.12787390730639</v>
      </c>
      <c r="AZ69" s="191">
        <f t="shared" ca="1" si="129"/>
        <v>146.35350793599522</v>
      </c>
      <c r="BA69" s="191">
        <f t="shared" ca="1" si="129"/>
        <v>146.57067180253523</v>
      </c>
      <c r="BB69" s="191">
        <f t="shared" ca="1" si="129"/>
        <v>146.7798331229059</v>
      </c>
      <c r="BC69" s="191">
        <f t="shared" ca="1" si="129"/>
        <v>146.9814257513267</v>
      </c>
      <c r="BD69" s="191">
        <f t="shared" ca="1" si="129"/>
        <v>147.17585277005094</v>
      </c>
      <c r="BE69" s="191">
        <f t="shared" ca="1" si="129"/>
        <v>147.36348916729133</v>
      </c>
      <c r="BF69" s="191">
        <f t="shared" ca="1" si="129"/>
        <v>147.54468424054443</v>
      </c>
      <c r="BG69" s="191">
        <f t="shared" ca="1" si="129"/>
        <v>147.719763757583</v>
      </c>
      <c r="BH69" s="191">
        <f t="shared" ref="BH69" ca="1" si="130">BH72*RTHavg_Vd+Ta</f>
        <v>152.88414688458022</v>
      </c>
      <c r="BI69" s="15" t="s">
        <v>67</v>
      </c>
      <c r="BJ69" s="169" t="s">
        <v>52</v>
      </c>
      <c r="BK69" s="99"/>
      <c r="BL69" s="99"/>
      <c r="BM69" s="99"/>
      <c r="BN69" s="99"/>
      <c r="BO69" s="99"/>
      <c r="BP69" s="230"/>
      <c r="BQ69" s="230"/>
      <c r="BR69" s="230"/>
      <c r="BS69" s="230"/>
      <c r="BT69" s="230"/>
      <c r="BU69" s="230"/>
      <c r="BV69" s="99"/>
      <c r="BW69" s="99"/>
      <c r="BX69" s="99"/>
      <c r="BY69" s="99"/>
    </row>
    <row r="70" spans="1:77" s="4" customFormat="1" ht="15.75" customHeight="1" thickBot="1" x14ac:dyDescent="0.35">
      <c r="A70" s="6"/>
      <c r="B70" s="57" t="s">
        <v>66</v>
      </c>
      <c r="C70" s="89">
        <f ca="1">IF(Topology="Buck","-",IF(ROUNDUP(MAX(J77:BH77),0)&gt;175,"Too High",ROUNDUP(MAX(J77:BH77),0)))</f>
        <v>141</v>
      </c>
      <c r="D70" s="91" t="str">
        <f ca="1">IF(Topology="Buck","",IF(C70&gt;175,"Boost MOSFET temperature too high","Estimated worse case boost MOSFET temperature, 175C max rated"))</f>
        <v>Estimated worse case boost MOSFET temperature, 175C max rated</v>
      </c>
      <c r="E70" s="6"/>
      <c r="F70" s="39"/>
      <c r="G70" s="170"/>
      <c r="H70" s="15" t="s">
        <v>91</v>
      </c>
      <c r="I70" s="180">
        <f t="shared" ref="I70:AN70" ca="1" si="131">I22-I23/2</f>
        <v>0.83065420560747671</v>
      </c>
      <c r="J70" s="180">
        <f t="shared" ca="1" si="131"/>
        <v>1.9215885634889072</v>
      </c>
      <c r="K70" s="180">
        <f t="shared" ca="1" si="131"/>
        <v>1.7582320119096151</v>
      </c>
      <c r="L70" s="180">
        <f t="shared" ca="1" si="131"/>
        <v>1.6193421402309234</v>
      </c>
      <c r="M70" s="180">
        <f t="shared" ca="1" si="131"/>
        <v>1.5000868909476119</v>
      </c>
      <c r="N70" s="180">
        <f t="shared" ca="1" si="131"/>
        <v>1.3968912208316897</v>
      </c>
      <c r="O70" s="180">
        <f t="shared" ca="1" si="131"/>
        <v>1.3070503510815656</v>
      </c>
      <c r="P70" s="180">
        <f t="shared" ca="1" si="131"/>
        <v>1.2284793770799738</v>
      </c>
      <c r="Q70" s="180">
        <f t="shared" ca="1" si="131"/>
        <v>1.1595448516517906</v>
      </c>
      <c r="R70" s="180">
        <f t="shared" ca="1" si="131"/>
        <v>1.0989485682817566</v>
      </c>
      <c r="S70" s="180">
        <f t="shared" ca="1" si="131"/>
        <v>1.045645553987133</v>
      </c>
      <c r="T70" s="180">
        <f t="shared" ca="1" si="131"/>
        <v>0.99878541132960896</v>
      </c>
      <c r="U70" s="180">
        <f t="shared" ca="1" si="131"/>
        <v>0.95767760939581437</v>
      </c>
      <c r="V70" s="180">
        <f t="shared" ca="1" si="131"/>
        <v>0.92173654725847298</v>
      </c>
      <c r="W70" s="180">
        <f t="shared" ca="1" si="131"/>
        <v>0.83065420560747671</v>
      </c>
      <c r="X70" s="180">
        <f t="shared" ca="1" si="131"/>
        <v>0.83065420560747671</v>
      </c>
      <c r="Y70" s="180">
        <f t="shared" ca="1" si="131"/>
        <v>0.83065420560747683</v>
      </c>
      <c r="Z70" s="180">
        <f t="shared" ca="1" si="131"/>
        <v>0.83065420560747683</v>
      </c>
      <c r="AA70" s="180">
        <f t="shared" ca="1" si="131"/>
        <v>0.83065420560747671</v>
      </c>
      <c r="AB70" s="180">
        <f t="shared" ca="1" si="131"/>
        <v>0.83065420560747671</v>
      </c>
      <c r="AC70" s="180">
        <f t="shared" ca="1" si="131"/>
        <v>0.83065420560747671</v>
      </c>
      <c r="AD70" s="180">
        <f t="shared" ca="1" si="131"/>
        <v>0.83065420560747671</v>
      </c>
      <c r="AE70" s="180">
        <f t="shared" ca="1" si="131"/>
        <v>0.83065420560747671</v>
      </c>
      <c r="AF70" s="180">
        <f t="shared" ca="1" si="131"/>
        <v>0.83065420560747671</v>
      </c>
      <c r="AG70" s="180">
        <f t="shared" ca="1" si="131"/>
        <v>0.83065420560747671</v>
      </c>
      <c r="AH70" s="180">
        <f t="shared" ca="1" si="131"/>
        <v>0.8306542056074766</v>
      </c>
      <c r="AI70" s="180">
        <f t="shared" ca="1" si="131"/>
        <v>0.8306542056074766</v>
      </c>
      <c r="AJ70" s="180">
        <f t="shared" ca="1" si="131"/>
        <v>0.83065420560747671</v>
      </c>
      <c r="AK70" s="180">
        <f t="shared" ca="1" si="131"/>
        <v>0.83065420560747671</v>
      </c>
      <c r="AL70" s="180">
        <f t="shared" ca="1" si="131"/>
        <v>0.83065420560747671</v>
      </c>
      <c r="AM70" s="180">
        <f t="shared" ca="1" si="131"/>
        <v>0.83065420560747683</v>
      </c>
      <c r="AN70" s="180">
        <f t="shared" ca="1" si="131"/>
        <v>0.83065420560747671</v>
      </c>
      <c r="AO70" s="180">
        <f t="shared" ref="AO70:BH70" ca="1" si="132">AO22-AO23/2</f>
        <v>0.83065420560747683</v>
      </c>
      <c r="AP70" s="180">
        <f t="shared" ca="1" si="132"/>
        <v>0.8306542056074766</v>
      </c>
      <c r="AQ70" s="180">
        <f t="shared" ca="1" si="132"/>
        <v>0.83065420560747671</v>
      </c>
      <c r="AR70" s="180">
        <f t="shared" ca="1" si="132"/>
        <v>0.8306542056074766</v>
      </c>
      <c r="AS70" s="180">
        <f t="shared" ca="1" si="132"/>
        <v>0.83065420560747683</v>
      </c>
      <c r="AT70" s="180">
        <f t="shared" ca="1" si="132"/>
        <v>0.83065420560747671</v>
      </c>
      <c r="AU70" s="180">
        <f t="shared" ca="1" si="132"/>
        <v>0.83065420560747671</v>
      </c>
      <c r="AV70" s="180">
        <f t="shared" ca="1" si="132"/>
        <v>0.8306542056074766</v>
      </c>
      <c r="AW70" s="180">
        <f t="shared" ca="1" si="132"/>
        <v>0.83065420560747671</v>
      </c>
      <c r="AX70" s="180">
        <f t="shared" ca="1" si="132"/>
        <v>0.8306542056074766</v>
      </c>
      <c r="AY70" s="180">
        <f t="shared" ca="1" si="132"/>
        <v>0.83065420560747671</v>
      </c>
      <c r="AZ70" s="180">
        <f t="shared" ca="1" si="132"/>
        <v>0.8306542056074766</v>
      </c>
      <c r="BA70" s="180">
        <f t="shared" ca="1" si="132"/>
        <v>0.83065420560747671</v>
      </c>
      <c r="BB70" s="180">
        <f t="shared" ca="1" si="132"/>
        <v>0.83065420560747671</v>
      </c>
      <c r="BC70" s="180">
        <f t="shared" ca="1" si="132"/>
        <v>0.83065420560747683</v>
      </c>
      <c r="BD70" s="180">
        <f t="shared" ca="1" si="132"/>
        <v>0.83065420560747683</v>
      </c>
      <c r="BE70" s="180">
        <f t="shared" ca="1" si="132"/>
        <v>0.83065420560747671</v>
      </c>
      <c r="BF70" s="180">
        <f t="shared" ca="1" si="132"/>
        <v>0.83065420560747683</v>
      </c>
      <c r="BG70" s="180">
        <f t="shared" ca="1" si="132"/>
        <v>0.83065420560747671</v>
      </c>
      <c r="BH70" s="180">
        <f t="shared" ca="1" si="132"/>
        <v>0.83065420560747671</v>
      </c>
      <c r="BI70" s="15" t="s">
        <v>91</v>
      </c>
      <c r="BJ70" s="169"/>
      <c r="BK70" s="99"/>
      <c r="BL70" s="99"/>
      <c r="BM70" s="99"/>
      <c r="BN70" s="99"/>
      <c r="BO70" s="99"/>
      <c r="BP70" s="230"/>
      <c r="BQ70" s="230"/>
      <c r="BR70" s="230"/>
      <c r="BS70" s="230"/>
      <c r="BT70" s="230"/>
      <c r="BU70" s="230"/>
      <c r="BV70" s="99"/>
      <c r="BW70" s="99"/>
      <c r="BX70" s="99"/>
      <c r="BY70" s="99"/>
    </row>
    <row r="71" spans="1:77" s="4" customFormat="1" ht="15.75" customHeight="1" thickBot="1" x14ac:dyDescent="0.35">
      <c r="A71" s="6"/>
      <c r="B71" s="6"/>
      <c r="C71" s="6"/>
      <c r="D71" s="6"/>
      <c r="E71" s="6"/>
      <c r="F71" s="40"/>
      <c r="G71" s="170"/>
      <c r="H71" s="15" t="s">
        <v>68</v>
      </c>
      <c r="I71" s="171">
        <f ca="1">IF(Reset=1,0.45,FORECAST(I70, OFFSET(Vd_1:Vd_3,MATCH(I70,I_Vd1:I_Vd3,1)-1,0,2), OFFSET(I_Vd1:I_Vd3,MATCH(I70,I_Vd1:I_Vd3,1)-1,0,2))+(I69-25)*vd_temp_coeff/1000)</f>
        <v>0.34877960814217168</v>
      </c>
      <c r="J71" s="171">
        <f ca="1">IF(Reset=1,0.45,FORECAST(J70, OFFSET(Vd_1:Vd_3,MATCH(J70,I_Vd1:I_Vd3,1)-1,0,2), OFFSET(I_Vd1:I_Vd3,MATCH(J70,I_Vd1:I_Vd3,1)-1,0,2))+(J69-25)*vd_temp_coeff/1000)</f>
        <v>0.45207559848025564</v>
      </c>
      <c r="K71" s="171">
        <f ca="1">IF(Reset=1,0.45,FORECAST(K70, OFFSET(Vd_1:Vd_3,MATCH(K70,I_Vd1:I_Vd3,1)-1,0,2), OFFSET(I_Vd1:I_Vd3,MATCH(K70,I_Vd1:I_Vd3,1)-1,0,2))+(K69-25)*vd_temp_coeff/1000)</f>
        <v>0.43760262495315838</v>
      </c>
      <c r="L71" s="171">
        <f ca="1">IF(Reset=1,0.45,FORECAST(L70, OFFSET(Vd_1:Vd_3,MATCH(L70,I_Vd1:I_Vd3,1)-1,0,2), OFFSET(I_Vd1:I_Vd3,MATCH(L70,I_Vd1:I_Vd3,1)-1,0,2))+(L69-25)*vd_temp_coeff/1000)</f>
        <v>0.42576427823509116</v>
      </c>
      <c r="M71" s="171">
        <f ca="1">IF(Reset=1,0.45,FORECAST(M70, OFFSET(Vd_1:Vd_3,MATCH(M70,I_Vd1:I_Vd3,1)-1,0,2), OFFSET(I_Vd1:I_Vd3,MATCH(M70,I_Vd1:I_Vd3,1)-1,0,2))+(M69-25)*vd_temp_coeff/1000)</f>
        <v>0.41587879088249197</v>
      </c>
      <c r="N71" s="171">
        <f ca="1">IF(Reset=1,0.45,FORECAST(N70, OFFSET(Vd_1:Vd_3,MATCH(N70,I_Vd1:I_Vd3,1)-1,0,2), OFFSET(I_Vd1:I_Vd3,MATCH(N70,I_Vd1:I_Vd3,1)-1,0,2))+(N69-25)*vd_temp_coeff/1000)</f>
        <v>0.40749742783956538</v>
      </c>
      <c r="O71" s="171">
        <f ca="1">IF(Reset=1,0.45,FORECAST(O70, OFFSET(Vd_1:Vd_3,MATCH(O70,I_Vd1:I_Vd3,1)-1,0,2), OFFSET(I_Vd1:I_Vd3,MATCH(O70,I_Vd1:I_Vd3,1)-1,0,2))+(O69-25)*vd_temp_coeff/1000)</f>
        <v>0.40031077917089875</v>
      </c>
      <c r="P71" s="171">
        <f ca="1">IF(Reset=1,0.45,FORECAST(P70, OFFSET(Vd_1:Vd_3,MATCH(P70,I_Vd1:I_Vd3,1)-1,0,2), OFFSET(I_Vd1:I_Vd3,MATCH(P70,I_Vd1:I_Vd3,1)-1,0,2))+(P69-25)*vd_temp_coeff/1000)</f>
        <v>0.39409718462131982</v>
      </c>
      <c r="Q71" s="171">
        <f ca="1">IF(Reset=1,0.45,FORECAST(Q70, OFFSET(Vd_1:Vd_3,MATCH(Q70,I_Vd1:I_Vd3,1)-1,0,2), OFFSET(I_Vd1:I_Vd3,MATCH(Q70,I_Vd1:I_Vd3,1)-1,0,2))+(Q69-25)*vd_temp_coeff/1000)</f>
        <v>0.38869287021590676</v>
      </c>
      <c r="R71" s="171">
        <f ca="1">IF(Reset=1,0.45,FORECAST(R70, OFFSET(Vd_1:Vd_3,MATCH(R70,I_Vd1:I_Vd3,1)-1,0,2), OFFSET(I_Vd1:I_Vd3,MATCH(R70,I_Vd1:I_Vd3,1)-1,0,2))+(R69-25)*vd_temp_coeff/1000)</f>
        <v>0.38397371228316179</v>
      </c>
      <c r="S71" s="171">
        <f ca="1">IF(Reset=1,0.45,FORECAST(S70, OFFSET(Vd_1:Vd_3,MATCH(S70,I_Vd1:I_Vd3,1)-1,0,2), OFFSET(I_Vd1:I_Vd3,MATCH(S70,I_Vd1:I_Vd3,1)-1,0,2))+(S69-25)*vd_temp_coeff/1000)</f>
        <v>0.3798436064773173</v>
      </c>
      <c r="T71" s="171">
        <f ca="1">IF(Reset=1,0.45,FORECAST(T70, OFFSET(Vd_1:Vd_3,MATCH(T70,I_Vd1:I_Vd3,1)-1,0,2), OFFSET(I_Vd1:I_Vd3,MATCH(T70,I_Vd1:I_Vd3,1)-1,0,2))+(T69-25)*vd_temp_coeff/1000)</f>
        <v>0.37619142098151503</v>
      </c>
      <c r="U71" s="171">
        <f ca="1">IF(Reset=1,0.45,FORECAST(U70, OFFSET(Vd_1:Vd_3,MATCH(U70,I_Vd1:I_Vd3,1)-1,0,2), OFFSET(I_Vd1:I_Vd3,MATCH(U70,I_Vd1:I_Vd3,1)-1,0,2))+(U69-25)*vd_temp_coeff/1000)</f>
        <v>0.37182946691178953</v>
      </c>
      <c r="V71" s="171">
        <f ca="1">IF(Reset=1,0.45,FORECAST(V70, OFFSET(Vd_1:Vd_3,MATCH(V70,I_Vd1:I_Vd3,1)-1,0,2), OFFSET(I_Vd1:I_Vd3,MATCH(V70,I_Vd1:I_Vd3,1)-1,0,2))+(V69-25)*vd_temp_coeff/1000)</f>
        <v>0.3679605592883225</v>
      </c>
      <c r="W71" s="171">
        <f ca="1">IF(Reset=1,0.45,FORECAST(W70, OFFSET(Vd_1:Vd_3,MATCH(W70,I_Vd1:I_Vd3,1)-1,0,2), OFFSET(I_Vd1:I_Vd3,MATCH(W70,I_Vd1:I_Vd3,1)-1,0,2))+(W69-25)*vd_temp_coeff/1000)</f>
        <v>0.36131858532984329</v>
      </c>
      <c r="X71" s="171">
        <f ca="1">IF(Reset=1,0.45,FORECAST(X70, OFFSET(Vd_1:Vd_3,MATCH(X70,I_Vd1:I_Vd3,1)-1,0,2), OFFSET(I_Vd1:I_Vd3,MATCH(X70,I_Vd1:I_Vd3,1)-1,0,2))+(X69-25)*vd_temp_coeff/1000)</f>
        <v>0.36004097654824185</v>
      </c>
      <c r="Y71" s="171">
        <f ca="1">IF(Reset=1,0.45,FORECAST(Y70, OFFSET(Vd_1:Vd_3,MATCH(Y70,I_Vd1:I_Vd3,1)-1,0,2), OFFSET(I_Vd1:I_Vd3,MATCH(Y70,I_Vd1:I_Vd3,1)-1,0,2))+(Y69-25)*vd_temp_coeff/1000)</f>
        <v>0.35886357767095667</v>
      </c>
      <c r="Z71" s="171">
        <f ca="1">IF(Reset=1,0.45,FORECAST(Z70, OFFSET(Vd_1:Vd_3,MATCH(Z70,I_Vd1:I_Vd3,1)-1,0,2), OFFSET(I_Vd1:I_Vd3,MATCH(Z70,I_Vd1:I_Vd3,1)-1,0,2))+(Z69-25)*vd_temp_coeff/1000)</f>
        <v>0.35777509754983022</v>
      </c>
      <c r="AA71" s="171">
        <f ca="1">IF(Reset=1,0.45,FORECAST(AA70, OFFSET(Vd_1:Vd_3,MATCH(AA70,I_Vd1:I_Vd3,1)-1,0,2), OFFSET(I_Vd1:I_Vd3,MATCH(AA70,I_Vd1:I_Vd3,1)-1,0,2))+(AA69-25)*vd_temp_coeff/1000)</f>
        <v>0.35676587271971449</v>
      </c>
      <c r="AB71" s="171">
        <f ca="1">IF(Reset=1,0.45,FORECAST(AB70, OFFSET(Vd_1:Vd_3,MATCH(AB70,I_Vd1:I_Vd3,1)-1,0,2), OFFSET(I_Vd1:I_Vd3,MATCH(AB70,I_Vd1:I_Vd3,1)-1,0,2))+(AB69-25)*vd_temp_coeff/1000)</f>
        <v>0.35582758547604598</v>
      </c>
      <c r="AC71" s="171">
        <f ca="1">IF(Reset=1,0.45,FORECAST(AC70, OFFSET(Vd_1:Vd_3,MATCH(AC70,I_Vd1:I_Vd3,1)-1,0,2), OFFSET(I_Vd1:I_Vd3,MATCH(AC70,I_Vd1:I_Vd3,1)-1,0,2))+(AC69-25)*vd_temp_coeff/1000)</f>
        <v>0.35495303836378334</v>
      </c>
      <c r="AD71" s="171">
        <f ca="1">IF(Reset=1,0.45,FORECAST(AD70, OFFSET(Vd_1:Vd_3,MATCH(AD70,I_Vd1:I_Vd3,1)-1,0,2), OFFSET(I_Vd1:I_Vd3,MATCH(AD70,I_Vd1:I_Vd3,1)-1,0,2))+(AD69-25)*vd_temp_coeff/1000)</f>
        <v>0.35413597238188449</v>
      </c>
      <c r="AE71" s="171">
        <f ca="1">IF(Reset=1,0.45,FORECAST(AE70, OFFSET(Vd_1:Vd_3,MATCH(AE70,I_Vd1:I_Vd3,1)-1,0,2), OFFSET(I_Vd1:I_Vd3,MATCH(AE70,I_Vd1:I_Vd3,1)-1,0,2))+(AE69-25)*vd_temp_coeff/1000)</f>
        <v>0.35337091935973108</v>
      </c>
      <c r="AF71" s="171">
        <f ca="1">IF(Reset=1,0.45,FORECAST(AF70, OFFSET(Vd_1:Vd_3,MATCH(AF70,I_Vd1:I_Vd3,1)-1,0,2), OFFSET(I_Vd1:I_Vd3,MATCH(AF70,I_Vd1:I_Vd3,1)-1,0,2))+(AF69-25)*vd_temp_coeff/1000)</f>
        <v>0.35265308126316974</v>
      </c>
      <c r="AG71" s="171">
        <f ca="1">IF(Reset=1,0.45,FORECAST(AG70, OFFSET(Vd_1:Vd_3,MATCH(AG70,I_Vd1:I_Vd3,1)-1,0,2), OFFSET(I_Vd1:I_Vd3,MATCH(AG70,I_Vd1:I_Vd3,1)-1,0,2))+(AG69-25)*vd_temp_coeff/1000)</f>
        <v>0.35197823088509828</v>
      </c>
      <c r="AH71" s="171">
        <f ca="1">IF(Reset=1,0.45,FORECAST(AH70, OFFSET(Vd_1:Vd_3,MATCH(AH70,I_Vd1:I_Vd3,1)-1,0,2), OFFSET(I_Vd1:I_Vd3,MATCH(AH70,I_Vd1:I_Vd3,1)-1,0,2))+(AH69-25)*vd_temp_coeff/1000)</f>
        <v>0.35134262963937957</v>
      </c>
      <c r="AI71" s="171">
        <f ca="1">IF(Reset=1,0.45,FORECAST(AI70, OFFSET(Vd_1:Vd_3,MATCH(AI70,I_Vd1:I_Vd3,1)-1,0,2), OFFSET(I_Vd1:I_Vd3,MATCH(AI70,I_Vd1:I_Vd3,1)-1,0,2))+(AI69-25)*vd_temp_coeff/1000)</f>
        <v>0.35074295912652986</v>
      </c>
      <c r="AJ71" s="171">
        <f ca="1">IF(Reset=1,0.45,FORECAST(AJ70, OFFSET(Vd_1:Vd_3,MATCH(AJ70,I_Vd1:I_Vd3,1)-1,0,2), OFFSET(I_Vd1:I_Vd3,MATCH(AJ70,I_Vd1:I_Vd3,1)-1,0,2))+(AJ69-25)*vd_temp_coeff/1000)</f>
        <v>0.35017626385932171</v>
      </c>
      <c r="AK71" s="171">
        <f ca="1">IF(Reset=1,0.45,FORECAST(AK70, OFFSET(Vd_1:Vd_3,MATCH(AK70,I_Vd1:I_Vd3,1)-1,0,2), OFFSET(I_Vd1:I_Vd3,MATCH(AK70,I_Vd1:I_Vd3,1)-1,0,2))+(AK69-25)*vd_temp_coeff/1000)</f>
        <v>0.34963990308626197</v>
      </c>
      <c r="AL71" s="171">
        <f ca="1">IF(Reset=1,0.45,FORECAST(AL70, OFFSET(Vd_1:Vd_3,MATCH(AL70,I_Vd1:I_Vd3,1)-1,0,2), OFFSET(I_Vd1:I_Vd3,MATCH(AL70,I_Vd1:I_Vd3,1)-1,0,2))+(AL69-25)*vd_temp_coeff/1000)</f>
        <v>0.34913151007415588</v>
      </c>
      <c r="AM71" s="171">
        <f ca="1">IF(Reset=1,0.45,FORECAST(AM70, OFFSET(Vd_1:Vd_3,MATCH(AM70,I_Vd1:I_Vd3,1)-1,0,2), OFFSET(I_Vd1:I_Vd3,MATCH(AM70,I_Vd1:I_Vd3,1)-1,0,2))+(AM69-25)*vd_temp_coeff/1000)</f>
        <v>0.34864895753914249</v>
      </c>
      <c r="AN71" s="171">
        <f ca="1">IF(Reset=1,0.45,FORECAST(AN70, OFFSET(Vd_1:Vd_3,MATCH(AN70,I_Vd1:I_Vd3,1)-1,0,2), OFFSET(I_Vd1:I_Vd3,MATCH(AN70,I_Vd1:I_Vd3,1)-1,0,2))+(AN69-25)*vd_temp_coeff/1000)</f>
        <v>0.34819032817178885</v>
      </c>
      <c r="AO71" s="171">
        <f ca="1">IF(Reset=1,0.45,FORECAST(AO70, OFFSET(Vd_1:Vd_3,MATCH(AO70,I_Vd1:I_Vd3,1)-1,0,2), OFFSET(I_Vd1:I_Vd3,MATCH(AO70,I_Vd1:I_Vd3,1)-1,0,2))+(AO69-25)*vd_temp_coeff/1000)</f>
        <v>0.34775388940314489</v>
      </c>
      <c r="AP71" s="171">
        <f ca="1">IF(Reset=1,0.45,FORECAST(AP70, OFFSET(Vd_1:Vd_3,MATCH(AP70,I_Vd1:I_Vd3,1)-1,0,2), OFFSET(I_Vd1:I_Vd3,MATCH(AP70,I_Vd1:I_Vd3,1)-1,0,2))+(AP69-25)*vd_temp_coeff/1000)</f>
        <v>0.34733807171782</v>
      </c>
      <c r="AQ71" s="171">
        <f ca="1">IF(Reset=1,0.45,FORECAST(AQ70, OFFSET(Vd_1:Vd_3,MATCH(AQ70,I_Vd1:I_Vd3,1)-1,0,2), OFFSET(I_Vd1:I_Vd3,MATCH(AQ70,I_Vd1:I_Vd3,1)-1,0,2))+(AQ69-25)*vd_temp_coeff/1000)</f>
        <v>0.34694144994672116</v>
      </c>
      <c r="AR71" s="171">
        <f ca="1">IF(Reset=1,0.45,FORECAST(AR70, OFFSET(Vd_1:Vd_3,MATCH(AR70,I_Vd1:I_Vd3,1)-1,0,2), OFFSET(I_Vd1:I_Vd3,MATCH(AR70,I_Vd1:I_Vd3,1)-1,0,2))+(AR69-25)*vd_temp_coeff/1000)</f>
        <v>0.34656272707331726</v>
      </c>
      <c r="AS71" s="171">
        <f ca="1">IF(Reset=1,0.45,FORECAST(AS70, OFFSET(Vd_1:Vd_3,MATCH(AS70,I_Vd1:I_Vd3,1)-1,0,2), OFFSET(I_Vd1:I_Vd3,MATCH(AS70,I_Vd1:I_Vd3,1)-1,0,2))+(AS69-25)*vd_temp_coeff/1000)</f>
        <v>0.34620072016867853</v>
      </c>
      <c r="AT71" s="171">
        <f ca="1">IF(Reset=1,0.45,FORECAST(AT70, OFFSET(Vd_1:Vd_3,MATCH(AT70,I_Vd1:I_Vd3,1)-1,0,2), OFFSET(I_Vd1:I_Vd3,MATCH(AT70,I_Vd1:I_Vd3,1)-1,0,2))+(AT69-25)*vd_temp_coeff/1000)</f>
        <v>0.345854348136304</v>
      </c>
      <c r="AU71" s="171">
        <f ca="1">IF(Reset=1,0.45,FORECAST(AU70, OFFSET(Vd_1:Vd_3,MATCH(AU70,I_Vd1:I_Vd3,1)-1,0,2), OFFSET(I_Vd1:I_Vd3,MATCH(AU70,I_Vd1:I_Vd3,1)-1,0,2))+(AU69-25)*vd_temp_coeff/1000)</f>
        <v>0.34552262100115361</v>
      </c>
      <c r="AV71" s="171">
        <f ca="1">IF(Reset=1,0.45,FORECAST(AV70, OFFSET(Vd_1:Vd_3,MATCH(AV70,I_Vd1:I_Vd3,1)-1,0,2), OFFSET(I_Vd1:I_Vd3,MATCH(AV70,I_Vd1:I_Vd3,1)-1,0,2))+(AV69-25)*vd_temp_coeff/1000)</f>
        <v>0.34520463052086464</v>
      </c>
      <c r="AW71" s="171">
        <f ca="1">IF(Reset=1,0.45,FORECAST(AW70, OFFSET(Vd_1:Vd_3,MATCH(AW70,I_Vd1:I_Vd3,1)-1,0,2), OFFSET(I_Vd1:I_Vd3,MATCH(AW70,I_Vd1:I_Vd3,1)-1,0,2))+(AW69-25)*vd_temp_coeff/1000)</f>
        <v>0.34489954193283179</v>
      </c>
      <c r="AX71" s="171">
        <f ca="1">IF(Reset=1,0.45,FORECAST(AX70, OFFSET(Vd_1:Vd_3,MATCH(AX70,I_Vd1:I_Vd3,1)-1,0,2), OFFSET(I_Vd1:I_Vd3,MATCH(AX70,I_Vd1:I_Vd3,1)-1,0,2))+(AX69-25)*vd_temp_coeff/1000)</f>
        <v>0.34460658668020439</v>
      </c>
      <c r="AY71" s="171">
        <f ca="1">IF(Reset=1,0.45,FORECAST(AY70, OFFSET(Vd_1:Vd_3,MATCH(AY70,I_Vd1:I_Vd3,1)-1,0,2), OFFSET(I_Vd1:I_Vd3,MATCH(AY70,I_Vd1:I_Vd3,1)-1,0,2))+(AY69-25)*vd_temp_coeff/1000)</f>
        <v>0.34432505598412955</v>
      </c>
      <c r="AZ71" s="171">
        <f ca="1">IF(Reset=1,0.45,FORECAST(AZ70, OFFSET(Vd_1:Vd_3,MATCH(AZ70,I_Vd1:I_Vd3,1)-1,0,2), OFFSET(I_Vd1:I_Vd3,MATCH(AZ70,I_Vd1:I_Vd3,1)-1,0,2))+(AZ69-25)*vd_temp_coeff/1000)</f>
        <v>0.34405429514970298</v>
      </c>
      <c r="BA71" s="171">
        <f ca="1">IF(Reset=1,0.45,FORECAST(BA70, OFFSET(Vd_1:Vd_3,MATCH(BA70,I_Vd1:I_Vd3,1)-1,0,2), OFFSET(I_Vd1:I_Vd3,MATCH(BA70,I_Vd1:I_Vd3,1)-1,0,2))+(BA69-25)*vd_temp_coeff/1000)</f>
        <v>0.34379369850985492</v>
      </c>
      <c r="BB71" s="171">
        <f ca="1">IF(Reset=1,0.45,FORECAST(BB70, OFFSET(Vd_1:Vd_3,MATCH(BB70,I_Vd1:I_Vd3,1)-1,0,2), OFFSET(I_Vd1:I_Vd3,MATCH(BB70,I_Vd1:I_Vd3,1)-1,0,2))+(BB69-25)*vd_temp_coeff/1000)</f>
        <v>0.34354270492541011</v>
      </c>
      <c r="BC71" s="171">
        <f ca="1">IF(Reset=1,0.45,FORECAST(BC70, OFFSET(Vd_1:Vd_3,MATCH(BC70,I_Vd1:I_Vd3,1)-1,0,2), OFFSET(I_Vd1:I_Vd3,MATCH(BC70,I_Vd1:I_Vd3,1)-1,0,2))+(BC69-25)*vd_temp_coeff/1000)</f>
        <v>0.34330079377130518</v>
      </c>
      <c r="BD71" s="171">
        <f ca="1">IF(Reset=1,0.45,FORECAST(BD70, OFFSET(Vd_1:Vd_3,MATCH(BD70,I_Vd1:I_Vd3,1)-1,0,2), OFFSET(I_Vd1:I_Vd3,MATCH(BD70,I_Vd1:I_Vd3,1)-1,0,2))+(BD69-25)*vd_temp_coeff/1000)</f>
        <v>0.34306748134883608</v>
      </c>
      <c r="BE71" s="171">
        <f ca="1">IF(Reset=1,0.45,FORECAST(BE70, OFFSET(Vd_1:Vd_3,MATCH(BE70,I_Vd1:I_Vd3,1)-1,0,2), OFFSET(I_Vd1:I_Vd3,MATCH(BE70,I_Vd1:I_Vd3,1)-1,0,2))+(BE69-25)*vd_temp_coeff/1000)</f>
        <v>0.34284231767214757</v>
      </c>
      <c r="BF71" s="171">
        <f ca="1">IF(Reset=1,0.45,FORECAST(BF70, OFFSET(Vd_1:Vd_3,MATCH(BF70,I_Vd1:I_Vd3,1)-1,0,2), OFFSET(I_Vd1:I_Vd3,MATCH(BF70,I_Vd1:I_Vd3,1)-1,0,2))+(BF69-25)*vd_temp_coeff/1000)</f>
        <v>0.34262488358424392</v>
      </c>
      <c r="BG71" s="171">
        <f ca="1">IF(Reset=1,0.45,FORECAST(BG70, OFFSET(Vd_1:Vd_3,MATCH(BG70,I_Vd1:I_Vd3,1)-1,0,2), OFFSET(I_Vd1:I_Vd3,MATCH(BG70,I_Vd1:I_Vd3,1)-1,0,2))+(BG69-25)*vd_temp_coeff/1000)</f>
        <v>0.34241478816379761</v>
      </c>
      <c r="BH71" s="171">
        <f ca="1">IF(Reset=1,0.45,FORECAST(BH70, OFFSET(Vd_1:Vd_3,MATCH(BH70,I_Vd1:I_Vd3,1)-1,0,2), OFFSET(I_Vd1:I_Vd3,MATCH(BH70,I_Vd1:I_Vd3,1)-1,0,2))+(BH69-25)*vd_temp_coeff/1000)</f>
        <v>0.33621752841140096</v>
      </c>
      <c r="BI71" s="15" t="s">
        <v>68</v>
      </c>
      <c r="BJ71" s="169"/>
      <c r="BK71" s="99"/>
      <c r="BL71" s="99"/>
      <c r="BM71" s="99"/>
      <c r="BN71" s="99"/>
      <c r="BO71" s="99"/>
      <c r="BP71" s="230"/>
      <c r="BQ71" s="230"/>
      <c r="BR71" s="230"/>
      <c r="BS71" s="230"/>
      <c r="BT71" s="230"/>
      <c r="BU71" s="230"/>
      <c r="BV71" s="99"/>
      <c r="BW71" s="99"/>
      <c r="BX71" s="99"/>
      <c r="BY71" s="99"/>
    </row>
    <row r="72" spans="1:77" s="4" customFormat="1" x14ac:dyDescent="0.3">
      <c r="A72" s="6"/>
      <c r="B72" s="297" t="s">
        <v>285</v>
      </c>
      <c r="C72" s="298"/>
      <c r="D72" s="299"/>
      <c r="E72" s="34"/>
      <c r="F72" s="21"/>
      <c r="G72" s="170"/>
      <c r="H72" s="15" t="s">
        <v>73</v>
      </c>
      <c r="I72" s="172">
        <f t="shared" ref="I72:AN72" ca="1" si="133">I71*I26</f>
        <v>0.1451312259078163</v>
      </c>
      <c r="J72" s="172">
        <f t="shared" ca="1" si="133"/>
        <v>0.14491230717879131</v>
      </c>
      <c r="K72" s="172">
        <f t="shared" ca="1" si="133"/>
        <v>0.14332122304657591</v>
      </c>
      <c r="L72" s="172">
        <f t="shared" ca="1" si="133"/>
        <v>0.13872579434508248</v>
      </c>
      <c r="M72" s="172">
        <f t="shared" ca="1" si="133"/>
        <v>0.13284048126939627</v>
      </c>
      <c r="N72" s="172">
        <f t="shared" ca="1" si="133"/>
        <v>0.12654709746726861</v>
      </c>
      <c r="O72" s="172">
        <f t="shared" ca="1" si="133"/>
        <v>0.12030383629473673</v>
      </c>
      <c r="P72" s="172">
        <f t="shared" ca="1" si="133"/>
        <v>0.11434693969359598</v>
      </c>
      <c r="Q72" s="172">
        <f t="shared" ca="1" si="133"/>
        <v>0.10879282244968309</v>
      </c>
      <c r="R72" s="172">
        <f t="shared" ca="1" si="133"/>
        <v>0.10369207543191841</v>
      </c>
      <c r="S72" s="172">
        <f t="shared" ca="1" si="133"/>
        <v>9.9058981816143254E-2</v>
      </c>
      <c r="T72" s="172">
        <f t="shared" ca="1" si="133"/>
        <v>9.4880752625264089E-2</v>
      </c>
      <c r="U72" s="172">
        <f t="shared" ca="1" si="133"/>
        <v>9.0915598720195986E-2</v>
      </c>
      <c r="V72" s="172">
        <f t="shared" ca="1" si="133"/>
        <v>8.7832127657598694E-2</v>
      </c>
      <c r="W72" s="172">
        <f t="shared" ca="1" si="133"/>
        <v>5.8054995437874526E-2</v>
      </c>
      <c r="X72" s="172">
        <f t="shared" ca="1" si="133"/>
        <v>6.6927278643439822E-2</v>
      </c>
      <c r="Y72" s="172">
        <f t="shared" ca="1" si="133"/>
        <v>7.5103659735697867E-2</v>
      </c>
      <c r="Z72" s="172">
        <f t="shared" ca="1" si="133"/>
        <v>8.2662549465742904E-2</v>
      </c>
      <c r="AA72" s="172">
        <f t="shared" ca="1" si="133"/>
        <v>8.9671055230435906E-2</v>
      </c>
      <c r="AB72" s="172">
        <f t="shared" ca="1" si="133"/>
        <v>9.6186938867022106E-2</v>
      </c>
      <c r="AC72" s="172">
        <f t="shared" ca="1" si="133"/>
        <v>0.10226018270217957</v>
      </c>
      <c r="AD72" s="172">
        <f t="shared" ca="1" si="133"/>
        <v>0.10793425202092173</v>
      </c>
      <c r="AE72" s="172">
        <f t="shared" ca="1" si="133"/>
        <v>0.11324712023032009</v>
      </c>
      <c r="AF72" s="172">
        <f t="shared" ca="1" si="133"/>
        <v>0.11823210701199628</v>
      </c>
      <c r="AG72" s="172">
        <f t="shared" ca="1" si="133"/>
        <v>0.12291856797082604</v>
      </c>
      <c r="AH72" s="172">
        <f t="shared" ca="1" si="133"/>
        <v>0.12733246551053884</v>
      </c>
      <c r="AI72" s="172">
        <f t="shared" ca="1" si="133"/>
        <v>0.13149684407199505</v>
      </c>
      <c r="AJ72" s="172">
        <f t="shared" ca="1" si="133"/>
        <v>0.13543222787205214</v>
      </c>
      <c r="AK72" s="172">
        <f t="shared" ca="1" si="133"/>
        <v>0.13915695546274479</v>
      </c>
      <c r="AL72" s="172">
        <f t="shared" ca="1" si="133"/>
        <v>0.14268746249125899</v>
      </c>
      <c r="AM72" s="172">
        <f t="shared" ca="1" si="133"/>
        <v>0.14603852176218582</v>
      </c>
      <c r="AN72" s="172">
        <f t="shared" ca="1" si="133"/>
        <v>0.14922344792436376</v>
      </c>
      <c r="AO72" s="172">
        <f t="shared" ref="AO72:BH72" ca="1" si="134">AO71*AO26</f>
        <v>0.15225427270661326</v>
      </c>
      <c r="AP72" s="172">
        <f t="shared" ca="1" si="134"/>
        <v>0.15514189552136945</v>
      </c>
      <c r="AQ72" s="172">
        <f t="shared" ca="1" si="134"/>
        <v>0.15789621337622287</v>
      </c>
      <c r="AR72" s="172">
        <f t="shared" ca="1" si="134"/>
        <v>0.16052623333041643</v>
      </c>
      <c r="AS72" s="172">
        <f t="shared" ca="1" si="134"/>
        <v>0.16304017016818528</v>
      </c>
      <c r="AT72" s="172">
        <f t="shared" ca="1" si="134"/>
        <v>0.16544553150411925</v>
      </c>
      <c r="AU72" s="172">
        <f t="shared" ca="1" si="134"/>
        <v>0.16774919216488601</v>
      </c>
      <c r="AV72" s="172">
        <f t="shared" ca="1" si="134"/>
        <v>0.16995745938911491</v>
      </c>
      <c r="AW72" s="172">
        <f t="shared" ca="1" si="134"/>
        <v>0.17207613013934339</v>
      </c>
      <c r="AX72" s="172">
        <f t="shared" ca="1" si="134"/>
        <v>0.17411054161592268</v>
      </c>
      <c r="AY72" s="172">
        <f t="shared" ca="1" si="134"/>
        <v>0.17606561589421996</v>
      </c>
      <c r="AZ72" s="172">
        <f t="shared" ca="1" si="134"/>
        <v>0.17794589946662695</v>
      </c>
      <c r="BA72" s="172">
        <f t="shared" ca="1" si="134"/>
        <v>0.1797555983544602</v>
      </c>
      <c r="BB72" s="172">
        <f t="shared" ca="1" si="134"/>
        <v>0.18149860935754922</v>
      </c>
      <c r="BC72" s="172">
        <f t="shared" ca="1" si="134"/>
        <v>0.18317854792772234</v>
      </c>
      <c r="BD72" s="172">
        <f t="shared" ca="1" si="134"/>
        <v>0.18479877308375783</v>
      </c>
      <c r="BE72" s="172">
        <f t="shared" ca="1" si="134"/>
        <v>0.1863624097274279</v>
      </c>
      <c r="BF72" s="172">
        <f t="shared" ca="1" si="134"/>
        <v>0.18787236867120369</v>
      </c>
      <c r="BG72" s="172">
        <f t="shared" ca="1" si="134"/>
        <v>0.18933136464652497</v>
      </c>
      <c r="BH72" s="172">
        <f t="shared" ca="1" si="134"/>
        <v>0.23236789070483518</v>
      </c>
      <c r="BI72" s="15" t="s">
        <v>73</v>
      </c>
      <c r="BJ72" s="169"/>
      <c r="BK72" s="99"/>
      <c r="BL72" s="99"/>
      <c r="BM72" s="99"/>
      <c r="BN72" s="99"/>
      <c r="BO72" s="99"/>
      <c r="BP72" s="230"/>
      <c r="BQ72" s="230"/>
      <c r="BR72" s="230"/>
      <c r="BS72" s="230"/>
      <c r="BT72" s="230"/>
      <c r="BU72" s="230"/>
      <c r="BV72" s="99"/>
      <c r="BW72" s="99"/>
      <c r="BX72" s="99"/>
      <c r="BY72" s="99"/>
    </row>
    <row r="73" spans="1:77" s="4" customFormat="1" x14ac:dyDescent="0.3">
      <c r="A73" s="6"/>
      <c r="B73" s="32" t="s">
        <v>49</v>
      </c>
      <c r="C73" s="53">
        <f ca="1">IF(Topology="Buck",MAX(J102:BH102),MAX(J22:BH22))</f>
        <v>2.0147495423065558</v>
      </c>
      <c r="D73" s="90" t="s">
        <v>184</v>
      </c>
      <c r="E73" s="6"/>
      <c r="F73" s="21"/>
      <c r="G73" s="170" t="s">
        <v>51</v>
      </c>
      <c r="H73" s="15" t="s">
        <v>70</v>
      </c>
      <c r="I73" s="191">
        <f t="shared" ref="I73" ca="1" si="135">I76*RTHavg_Vd_boost+Ta</f>
        <v>164.38380001168841</v>
      </c>
      <c r="J73" s="191">
        <f t="shared" ref="J73:AL73" ca="1" si="136">J76*RTHavg_Vd_boost+Ta</f>
        <v>170.41078713372178</v>
      </c>
      <c r="K73" s="191">
        <f t="shared" ca="1" si="136"/>
        <v>169.14022703738004</v>
      </c>
      <c r="L73" s="191">
        <f t="shared" ca="1" si="136"/>
        <v>168.02539507168262</v>
      </c>
      <c r="M73" s="191">
        <f t="shared" ca="1" si="136"/>
        <v>167.05877490126903</v>
      </c>
      <c r="N73" s="191">
        <f t="shared" ca="1" si="136"/>
        <v>166.21169907483369</v>
      </c>
      <c r="O73" s="191">
        <f t="shared" ca="1" si="136"/>
        <v>165.46246588942418</v>
      </c>
      <c r="P73" s="191">
        <f t="shared" ca="1" si="136"/>
        <v>164.79434124219421</v>
      </c>
      <c r="Q73" s="191">
        <f t="shared" ca="1" si="136"/>
        <v>164.19421215538247</v>
      </c>
      <c r="R73" s="191">
        <f t="shared" ca="1" si="136"/>
        <v>163.65165639533359</v>
      </c>
      <c r="S73" s="191">
        <f t="shared" ca="1" si="136"/>
        <v>163.15828530563107</v>
      </c>
      <c r="T73" s="191">
        <f t="shared" ca="1" si="136"/>
        <v>162.70727343346934</v>
      </c>
      <c r="U73" s="191">
        <f t="shared" ca="1" si="136"/>
        <v>162.29308102203555</v>
      </c>
      <c r="V73" s="191">
        <f t="shared" ca="1" si="136"/>
        <v>161.82766386980975</v>
      </c>
      <c r="W73" s="191">
        <f t="shared" ca="1" si="136"/>
        <v>162.84943871911241</v>
      </c>
      <c r="X73" s="191">
        <f t="shared" ca="1" si="136"/>
        <v>163.13807533788227</v>
      </c>
      <c r="Y73" s="191">
        <f t="shared" ca="1" si="136"/>
        <v>163.37926077565146</v>
      </c>
      <c r="Z73" s="191">
        <f t="shared" ca="1" si="136"/>
        <v>163.58053041725395</v>
      </c>
      <c r="AA73" s="191">
        <f t="shared" ca="1" si="136"/>
        <v>163.74809641326431</v>
      </c>
      <c r="AB73" s="191">
        <f t="shared" ca="1" si="136"/>
        <v>163.88710571066693</v>
      </c>
      <c r="AC73" s="191">
        <f t="shared" ca="1" si="136"/>
        <v>164.00184287638706</v>
      </c>
      <c r="AD73" s="191">
        <f t="shared" ca="1" si="136"/>
        <v>164.09589049742181</v>
      </c>
      <c r="AE73" s="191">
        <f t="shared" ca="1" si="136"/>
        <v>164.17225677883164</v>
      </c>
      <c r="AF73" s="191">
        <f t="shared" ca="1" si="136"/>
        <v>164.23347762403273</v>
      </c>
      <c r="AG73" s="191">
        <f t="shared" ca="1" si="136"/>
        <v>164.28169874591669</v>
      </c>
      <c r="AH73" s="191">
        <f t="shared" ca="1" si="136"/>
        <v>164.31874206051498</v>
      </c>
      <c r="AI73" s="191">
        <f t="shared" ca="1" si="136"/>
        <v>164.34615964051659</v>
      </c>
      <c r="AJ73" s="191">
        <f t="shared" ca="1" si="136"/>
        <v>164.36527776949657</v>
      </c>
      <c r="AK73" s="191">
        <f t="shared" ca="1" si="136"/>
        <v>164.37723307786933</v>
      </c>
      <c r="AL73" s="191">
        <f t="shared" ca="1" si="136"/>
        <v>164.38300231354063</v>
      </c>
      <c r="AM73" s="191">
        <f t="shared" ref="AM73:AT73" ca="1" si="137">AM76*RTHavg_Vd_boost+Ta</f>
        <v>164.38342697112859</v>
      </c>
      <c r="AN73" s="191">
        <f t="shared" ca="1" si="137"/>
        <v>164.3792337491937</v>
      </c>
      <c r="AO73" s="191">
        <f t="shared" ca="1" si="137"/>
        <v>164.37105160717118</v>
      </c>
      <c r="AP73" s="191">
        <f t="shared" ca="1" si="137"/>
        <v>164.35942603920728</v>
      </c>
      <c r="AQ73" s="191">
        <f t="shared" ca="1" si="137"/>
        <v>164.34483106080216</v>
      </c>
      <c r="AR73" s="191">
        <f t="shared" ca="1" si="137"/>
        <v>164.32767930845623</v>
      </c>
      <c r="AS73" s="191">
        <f t="shared" ca="1" si="137"/>
        <v>164.30833057665521</v>
      </c>
      <c r="AT73" s="191">
        <f t="shared" ca="1" si="137"/>
        <v>164.28709905612183</v>
      </c>
      <c r="AU73" s="191">
        <f t="shared" ref="AU73:BG73" ca="1" si="138">AU76*RTHavg_Vd_boost+Ta</f>
        <v>164.26425948895081</v>
      </c>
      <c r="AV73" s="191">
        <f t="shared" ca="1" si="138"/>
        <v>164.24005241744388</v>
      </c>
      <c r="AW73" s="191">
        <f t="shared" ca="1" si="138"/>
        <v>164.21468867217331</v>
      </c>
      <c r="AX73" s="191">
        <f t="shared" ca="1" si="138"/>
        <v>164.18835321947103</v>
      </c>
      <c r="AY73" s="191">
        <f t="shared" ca="1" si="138"/>
        <v>164.16120846795638</v>
      </c>
      <c r="AZ73" s="191">
        <f t="shared" ca="1" si="138"/>
        <v>164.13339711692515</v>
      </c>
      <c r="BA73" s="191">
        <f t="shared" ca="1" si="138"/>
        <v>164.10504461567967</v>
      </c>
      <c r="BB73" s="191">
        <f t="shared" ca="1" si="138"/>
        <v>164.07626129159286</v>
      </c>
      <c r="BC73" s="191">
        <f t="shared" ca="1" si="138"/>
        <v>164.04714419539735</v>
      </c>
      <c r="BD73" s="191">
        <f t="shared" ca="1" si="138"/>
        <v>164.01777870450246</v>
      </c>
      <c r="BE73" s="191">
        <f t="shared" ca="1" si="138"/>
        <v>163.98823991876486</v>
      </c>
      <c r="BF73" s="191">
        <f t="shared" ca="1" si="138"/>
        <v>163.95859387783702</v>
      </c>
      <c r="BG73" s="191">
        <f t="shared" ca="1" si="138"/>
        <v>163.92889862479362</v>
      </c>
      <c r="BH73" s="191">
        <f t="shared" ref="BH73" ca="1" si="139">BH76*RTHavg_Vd_boost+Ta</f>
        <v>164.64244088885289</v>
      </c>
      <c r="BI73" s="15" t="s">
        <v>70</v>
      </c>
      <c r="BJ73" s="169" t="s">
        <v>51</v>
      </c>
      <c r="BK73" s="99"/>
      <c r="BL73" s="99"/>
      <c r="BM73" s="99"/>
      <c r="BN73" s="99"/>
      <c r="BO73" s="99"/>
      <c r="BP73" s="230"/>
      <c r="BQ73" s="230"/>
      <c r="BR73" s="230"/>
      <c r="BS73" s="230"/>
      <c r="BT73" s="230"/>
      <c r="BU73" s="230"/>
      <c r="BV73" s="99"/>
      <c r="BW73" s="99"/>
      <c r="BX73" s="99"/>
      <c r="BY73" s="99"/>
    </row>
    <row r="74" spans="1:77" s="4" customFormat="1" x14ac:dyDescent="0.3">
      <c r="A74" s="6"/>
      <c r="B74" s="32" t="s">
        <v>155</v>
      </c>
      <c r="C74" s="53">
        <f ca="1">IF(Topology="Buck",MAX(J106:BH106),MAX(J26:BH26))</f>
        <v>0.69112366568975026</v>
      </c>
      <c r="D74" s="90" t="s">
        <v>185</v>
      </c>
      <c r="E74" s="6"/>
      <c r="F74" s="21"/>
      <c r="G74" s="170"/>
      <c r="H74" s="15" t="s">
        <v>92</v>
      </c>
      <c r="I74" s="180">
        <f t="shared" ref="I74:AN74" ca="1" si="140">IF(I17=0,I28,IF(I$12&gt;I$14,I22,I22-I23/2))</f>
        <v>0.91163165358932174</v>
      </c>
      <c r="J74" s="180">
        <f t="shared" ca="1" si="140"/>
        <v>2.0147495423065558</v>
      </c>
      <c r="K74" s="180">
        <f t="shared" ca="1" si="140"/>
        <v>1.8551795788844998</v>
      </c>
      <c r="L74" s="180">
        <f t="shared" ca="1" si="140"/>
        <v>1.7185228172260774</v>
      </c>
      <c r="M74" s="180">
        <f t="shared" ca="1" si="140"/>
        <v>1.6000339450848877</v>
      </c>
      <c r="N74" s="180">
        <f t="shared" ca="1" si="140"/>
        <v>1.496198889326172</v>
      </c>
      <c r="O74" s="180">
        <f t="shared" ca="1" si="140"/>
        <v>1.4043574423678096</v>
      </c>
      <c r="P74" s="180">
        <f t="shared" ca="1" si="140"/>
        <v>1.3224583279864699</v>
      </c>
      <c r="Q74" s="180">
        <f t="shared" ca="1" si="140"/>
        <v>1.2488941496132671</v>
      </c>
      <c r="R74" s="180">
        <f t="shared" ca="1" si="140"/>
        <v>1.1823873436830823</v>
      </c>
      <c r="S74" s="180">
        <f t="shared" ca="1" si="140"/>
        <v>1.1219096237313966</v>
      </c>
      <c r="T74" s="180">
        <f t="shared" ca="1" si="140"/>
        <v>1.0666243217167866</v>
      </c>
      <c r="U74" s="180">
        <f t="shared" ca="1" si="140"/>
        <v>1.0158523709729561</v>
      </c>
      <c r="V74" s="180">
        <f t="shared" ca="1" si="140"/>
        <v>0.96910094590668883</v>
      </c>
      <c r="W74" s="180">
        <f t="shared" ca="1" si="140"/>
        <v>0.88127613954597184</v>
      </c>
      <c r="X74" s="180">
        <f t="shared" ca="1" si="140"/>
        <v>0.88700750373510984</v>
      </c>
      <c r="Y74" s="180">
        <f t="shared" ca="1" si="140"/>
        <v>0.89178911007356176</v>
      </c>
      <c r="Z74" s="180">
        <f t="shared" ca="1" si="140"/>
        <v>0.89577414817296452</v>
      </c>
      <c r="AA74" s="180">
        <f t="shared" ca="1" si="140"/>
        <v>0.89908826581115986</v>
      </c>
      <c r="AB74" s="180">
        <f t="shared" ca="1" si="140"/>
        <v>0.90183511371352965</v>
      </c>
      <c r="AC74" s="180">
        <f t="shared" ca="1" si="140"/>
        <v>0.90410065440041065</v>
      </c>
      <c r="AD74" s="180">
        <f t="shared" ca="1" si="140"/>
        <v>0.90595653632212125</v>
      </c>
      <c r="AE74" s="180">
        <f t="shared" ca="1" si="140"/>
        <v>0.90746275512281505</v>
      </c>
      <c r="AF74" s="180">
        <f t="shared" ca="1" si="140"/>
        <v>0.90866976689973056</v>
      </c>
      <c r="AG74" s="180">
        <f t="shared" ca="1" si="140"/>
        <v>0.90962017703574594</v>
      </c>
      <c r="AH74" s="180">
        <f t="shared" ca="1" si="140"/>
        <v>0.91035009798767663</v>
      </c>
      <c r="AI74" s="180">
        <f t="shared" ca="1" si="140"/>
        <v>0.9108902471382081</v>
      </c>
      <c r="AJ74" s="180">
        <f t="shared" ca="1" si="140"/>
        <v>0.91126683925250695</v>
      </c>
      <c r="AK74" s="180">
        <f t="shared" ca="1" si="140"/>
        <v>0.91150231566251549</v>
      </c>
      <c r="AL74" s="180">
        <f t="shared" ca="1" si="140"/>
        <v>0.9116159429245595</v>
      </c>
      <c r="AM74" s="180">
        <f t="shared" ca="1" si="140"/>
        <v>0.91162430656467841</v>
      </c>
      <c r="AN74" s="180">
        <f t="shared" ca="1" si="140"/>
        <v>0.91154172006654577</v>
      </c>
      <c r="AO74" s="180">
        <f t="shared" ref="AO74:BH74" ca="1" si="141">IF(AO17=0,AO28,IF(AO$12&gt;AO$14,AO22,AO22-AO23/2))</f>
        <v>0.91138056505038345</v>
      </c>
      <c r="AP74" s="180">
        <f t="shared" ca="1" si="141"/>
        <v>0.91115157533051416</v>
      </c>
      <c r="AQ74" s="180">
        <f t="shared" ca="1" si="141"/>
        <v>0.91086407499681932</v>
      </c>
      <c r="AR74" s="180">
        <f t="shared" ca="1" si="141"/>
        <v>0.91052617867209407</v>
      </c>
      <c r="AS74" s="180">
        <f t="shared" ca="1" si="141"/>
        <v>0.91014496052624438</v>
      </c>
      <c r="AT74" s="180">
        <f t="shared" ca="1" si="141"/>
        <v>0.90972659738369732</v>
      </c>
      <c r="AU74" s="180">
        <f t="shared" ca="1" si="141"/>
        <v>0.90927649026970048</v>
      </c>
      <c r="AV74" s="180">
        <f t="shared" ca="1" si="141"/>
        <v>0.9087993679488735</v>
      </c>
      <c r="AW74" s="180">
        <f t="shared" ca="1" si="141"/>
        <v>0.90829937537292482</v>
      </c>
      <c r="AX74" s="180">
        <f t="shared" ca="1" si="141"/>
        <v>0.90778014944098229</v>
      </c>
      <c r="AY74" s="180">
        <f t="shared" ca="1" si="141"/>
        <v>0.90724488406006842</v>
      </c>
      <c r="AZ74" s="180">
        <f t="shared" ca="1" si="141"/>
        <v>0.90669638615498538</v>
      </c>
      <c r="BA74" s="180">
        <f t="shared" ca="1" si="141"/>
        <v>0.90613712400075874</v>
      </c>
      <c r="BB74" s="180">
        <f t="shared" ca="1" si="141"/>
        <v>0.90556926902454005</v>
      </c>
      <c r="BC74" s="180">
        <f t="shared" ca="1" si="141"/>
        <v>0.90499473203786518</v>
      </c>
      <c r="BD74" s="180">
        <f t="shared" ca="1" si="141"/>
        <v>0.90441519470670695</v>
      </c>
      <c r="BE74" s="180">
        <f t="shared" ca="1" si="141"/>
        <v>0.90383213693975151</v>
      </c>
      <c r="BF74" s="180">
        <f t="shared" ca="1" si="141"/>
        <v>0.90324686076987515</v>
      </c>
      <c r="BG74" s="180">
        <f t="shared" ca="1" si="141"/>
        <v>0.90266051121598123</v>
      </c>
      <c r="BH74" s="180">
        <f t="shared" ca="1" si="141"/>
        <v>0.91672175495121577</v>
      </c>
      <c r="BI74" s="15" t="s">
        <v>92</v>
      </c>
      <c r="BJ74" s="169"/>
      <c r="BK74" s="99"/>
      <c r="BL74" s="99"/>
      <c r="BM74" s="99"/>
      <c r="BN74" s="99"/>
      <c r="BO74" s="99"/>
      <c r="BP74" s="230"/>
      <c r="BQ74" s="230"/>
      <c r="BR74" s="230"/>
      <c r="BS74" s="230"/>
      <c r="BT74" s="230"/>
      <c r="BU74" s="230"/>
      <c r="BV74" s="99"/>
      <c r="BW74" s="99"/>
      <c r="BX74" s="99"/>
      <c r="BY74" s="99"/>
    </row>
    <row r="75" spans="1:77" s="4" customFormat="1" ht="15.75" customHeight="1" x14ac:dyDescent="0.3">
      <c r="A75" s="6"/>
      <c r="B75" s="78" t="s">
        <v>50</v>
      </c>
      <c r="C75" s="94">
        <f ca="1">MAX(J72:BH72)</f>
        <v>0.23236789070483518</v>
      </c>
      <c r="D75" s="90" t="s">
        <v>186</v>
      </c>
      <c r="E75" s="6"/>
      <c r="F75" s="21"/>
      <c r="G75" s="170"/>
      <c r="H75" s="15" t="s">
        <v>69</v>
      </c>
      <c r="I75" s="171">
        <f ca="1">IF(Reset=1,0.45,FORECAST(I74, OFFSET(Vd_1_boost:Vd_3_boost,MATCH(I74,I_Vd1_boost:I_Vd3_boost,1)-1,0,2), OFFSET(I_Vd1_boost:I_Vd3_boost,MATCH(I74,I_Vd1_boost:I_Vd3_boost,1)-1,0,2))+(I73-25)*vd_boost_temp_coeff/1000)</f>
        <v>0.3600119984190302</v>
      </c>
      <c r="J75" s="171">
        <f ca="1">IF(Reset=1,0.45,FORECAST(J74, OFFSET(Vd_1_boost:Vd_3_boost,MATCH(J74,I_Vd1_boost:I_Vd3_boost,1)-1,0,2), OFFSET(I_Vd1_boost:I_Vd3_boost,MATCH(J74,I_Vd1_boost:I_Vd3_boost,1)-1,0,2))+(J73-25)*vd_boost_temp_coeff/1000)</f>
        <v>0.4555725156867152</v>
      </c>
      <c r="K75" s="171">
        <f ca="1">IF(Reset=1,0.45,FORECAST(K74, OFFSET(Vd_1_boost:Vd_3_boost,MATCH(K74,I_Vd1_boost:I_Vd3_boost,1)-1,0,2), OFFSET(I_Vd1_boost:I_Vd3_boost,MATCH(K74,I_Vd1_boost:I_Vd3_boost,1)-1,0,2))+(K73-25)*vd_boost_temp_coeff/1000)</f>
        <v>0.4428259350622249</v>
      </c>
      <c r="L75" s="171">
        <f ca="1">IF(Reset=1,0.45,FORECAST(L74, OFFSET(Vd_1_boost:Vd_3_boost,MATCH(L74,I_Vd1_boost:I_Vd3_boost,1)-1,0,2), OFFSET(I_Vd1_boost:I_Vd3_boost,MATCH(L74,I_Vd1_boost:I_Vd3_boost,1)-1,0,2))+(L73-25)*vd_boost_temp_coeff/1000)</f>
        <v>0.4316416584786642</v>
      </c>
      <c r="M75" s="171">
        <f ca="1">IF(Reset=1,0.45,FORECAST(M74, OFFSET(Vd_1_boost:Vd_3_boost,MATCH(M74,I_Vd1_boost:I_Vd3_boost,1)-1,0,2), OFFSET(I_Vd1_boost:I_Vd3_boost,MATCH(M74,I_Vd1_boost:I_Vd3_boost,1)-1,0,2))+(M73-25)*vd_boost_temp_coeff/1000)</f>
        <v>0.42194428015637075</v>
      </c>
      <c r="N75" s="171">
        <f ca="1">IF(Reset=1,0.45,FORECAST(N74, OFFSET(Vd_1_boost:Vd_3_boost,MATCH(N74,I_Vd1_boost:I_Vd3_boost,1)-1,0,2), OFFSET(I_Vd1_boost:I_Vd3_boost,MATCH(N74,I_Vd1_boost:I_Vd3_boost,1)-1,0,2))+(N73-25)*vd_boost_temp_coeff/1000)</f>
        <v>0.41344620096452178</v>
      </c>
      <c r="O75" s="171">
        <f ca="1">IF(Reset=1,0.45,FORECAST(O74, OFFSET(Vd_1_boost:Vd_3_boost,MATCH(O74,I_Vd1_boost:I_Vd3_boost,1)-1,0,2), OFFSET(I_Vd1_boost:I_Vd3_boost,MATCH(O74,I_Vd1_boost:I_Vd3_boost,1)-1,0,2))+(O73-25)*vd_boost_temp_coeff/1000)</f>
        <v>0.40592970392367861</v>
      </c>
      <c r="P75" s="171">
        <f ca="1">IF(Reset=1,0.45,FORECAST(P74, OFFSET(Vd_1_boost:Vd_3_boost,MATCH(P74,I_Vd1_boost:I_Vd3_boost,1)-1,0,2), OFFSET(I_Vd1_boost:I_Vd3_boost,MATCH(P74,I_Vd1_boost:I_Vd3_boost,1)-1,0,2))+(P73-25)*vd_boost_temp_coeff/1000)</f>
        <v>0.39922690827658808</v>
      </c>
      <c r="Q75" s="171">
        <f ca="1">IF(Reset=1,0.45,FORECAST(Q74, OFFSET(Vd_1_boost:Vd_3_boost,MATCH(Q74,I_Vd1_boost:I_Vd3_boost,1)-1,0,2), OFFSET(I_Vd1_boost:I_Vd3_boost,MATCH(Q74,I_Vd1_boost:I_Vd3_boost,1)-1,0,2))+(Q73-25)*vd_boost_temp_coeff/1000)</f>
        <v>0.39320626130981146</v>
      </c>
      <c r="R75" s="171">
        <f ca="1">IF(Reset=1,0.45,FORECAST(R74, OFFSET(Vd_1_boost:Vd_3_boost,MATCH(R74,I_Vd1_boost:I_Vd3_boost,1)-1,0,2), OFFSET(I_Vd1_boost:I_Vd3_boost,MATCH(R74,I_Vd1_boost:I_Vd3_boost,1)-1,0,2))+(R73-25)*vd_boost_temp_coeff/1000)</f>
        <v>0.38776320453614377</v>
      </c>
      <c r="S75" s="171">
        <f ca="1">IF(Reset=1,0.45,FORECAST(S74, OFFSET(Vd_1_boost:Vd_3_boost,MATCH(S74,I_Vd1_boost:I_Vd3_boost,1)-1,0,2), OFFSET(I_Vd1_boost:I_Vd3_boost,MATCH(S74,I_Vd1_boost:I_Vd3_boost,1)-1,0,2))+(S73-25)*vd_boost_temp_coeff/1000)</f>
        <v>0.38281358083019462</v>
      </c>
      <c r="T75" s="171">
        <f ca="1">IF(Reset=1,0.45,FORECAST(T74, OFFSET(Vd_1_boost:Vd_3_boost,MATCH(T74,I_Vd1_boost:I_Vd3_boost,1)-1,0,2), OFFSET(I_Vd1_boost:I_Vd3_boost,MATCH(T74,I_Vd1_boost:I_Vd3_boost,1)-1,0,2))+(T73-25)*vd_boost_temp_coeff/1000)</f>
        <v>0.37828891552104138</v>
      </c>
      <c r="U75" s="171">
        <f ca="1">IF(Reset=1,0.45,FORECAST(U74, OFFSET(Vd_1_boost:Vd_3_boost,MATCH(U74,I_Vd1_boost:I_Vd3_boost,1)-1,0,2), OFFSET(I_Vd1_boost:I_Vd3_boost,MATCH(U74,I_Vd1_boost:I_Vd3_boost,1)-1,0,2))+(U73-25)*vd_boost_temp_coeff/1000)</f>
        <v>0.37413363236553043</v>
      </c>
      <c r="V75" s="171">
        <f ca="1">IF(Reset=1,0.45,FORECAST(V74, OFFSET(Vd_1_boost:Vd_3_boost,MATCH(V74,I_Vd1_boost:I_Vd3_boost,1)-1,0,2), OFFSET(I_Vd1_boost:I_Vd3_boost,MATCH(V74,I_Vd1_boost:I_Vd3_boost,1)-1,0,2))+(V73-25)*vd_boost_temp_coeff/1000)</f>
        <v>0.36946444963899289</v>
      </c>
      <c r="W75" s="171">
        <f ca="1">IF(Reset=1,0.45,FORECAST(W74, OFFSET(Vd_1_boost:Vd_3_boost,MATCH(W74,I_Vd1_boost:I_Vd3_boost,1)-1,0,2), OFFSET(I_Vd1_boost:I_Vd3_boost,MATCH(W74,I_Vd1_boost:I_Vd3_boost,1)-1,0,2))+(W73-25)*vd_boost_temp_coeff/1000)</f>
        <v>0.3579036980264042</v>
      </c>
      <c r="X75" s="171">
        <f ca="1">IF(Reset=1,0.45,FORECAST(X74, OFFSET(Vd_1_boost:Vd_3_boost,MATCH(X74,I_Vd1_boost:I_Vd3_boost,1)-1,0,2), OFFSET(I_Vd1_boost:I_Vd3_boost,MATCH(X74,I_Vd1_boost:I_Vd3_boost,1)-1,0,2))+(X73-25)*vd_boost_temp_coeff/1000)</f>
        <v>0.35830282511033096</v>
      </c>
      <c r="Y75" s="171">
        <f ca="1">IF(Reset=1,0.45,FORECAST(Y74, OFFSET(Vd_1_boost:Vd_3_boost,MATCH(Y74,I_Vd1_boost:I_Vd3_boost,1)-1,0,2), OFFSET(I_Vd1_boost:I_Vd3_boost,MATCH(Y74,I_Vd1_boost:I_Vd3_boost,1)-1,0,2))+(Y73-25)*vd_boost_temp_coeff/1000)</f>
        <v>0.35863543243317597</v>
      </c>
      <c r="Z75" s="171">
        <f ca="1">IF(Reset=1,0.45,FORECAST(Z74, OFFSET(Vd_1_boost:Vd_3_boost,MATCH(Z74,I_Vd1_boost:I_Vd3_boost,1)-1,0,2), OFFSET(I_Vd1_boost:I_Vd3_boost,MATCH(Z74,I_Vd1_boost:I_Vd3_boost,1)-1,0,2))+(Z73-25)*vd_boost_temp_coeff/1000)</f>
        <v>0.35891236736350185</v>
      </c>
      <c r="AA75" s="171">
        <f ca="1">IF(Reset=1,0.45,FORECAST(AA74, OFFSET(Vd_1_boost:Vd_3_boost,MATCH(AA74,I_Vd1_boost:I_Vd3_boost,1)-1,0,2), OFFSET(I_Vd1_boost:I_Vd3_boost,MATCH(AA74,I_Vd1_boost:I_Vd3_boost,1)-1,0,2))+(AA73-25)*vd_boost_temp_coeff/1000)</f>
        <v>0.3591424954840749</v>
      </c>
      <c r="AB75" s="171">
        <f ca="1">IF(Reset=1,0.45,FORECAST(AB74, OFFSET(Vd_1_boost:Vd_3_boost,MATCH(AB74,I_Vd1_boost:I_Vd3_boost,1)-1,0,2), OFFSET(I_Vd1_boost:I_Vd3_boost,MATCH(AB74,I_Vd1_boost:I_Vd3_boost,1)-1,0,2))+(AB73-25)*vd_boost_temp_coeff/1000)</f>
        <v>0.35933310793495665</v>
      </c>
      <c r="AC75" s="171">
        <f ca="1">IF(Reset=1,0.45,FORECAST(AC74, OFFSET(Vd_1_boost:Vd_3_boost,MATCH(AC74,I_Vd1_boost:I_Vd3_boost,1)-1,0,2), OFFSET(I_Vd1_boost:I_Vd3_boost,MATCH(AC74,I_Vd1_boost:I_Vd3_boost,1)-1,0,2))+(AC73-25)*vd_boost_temp_coeff/1000)</f>
        <v>0.35949023565166222</v>
      </c>
      <c r="AD75" s="171">
        <f ca="1">IF(Reset=1,0.45,FORECAST(AD74, OFFSET(Vd_1_boost:Vd_3_boost,MATCH(AD74,I_Vd1_boost:I_Vd3_boost,1)-1,0,2), OFFSET(I_Vd1_boost:I_Vd3_boost,MATCH(AD74,I_Vd1_boost:I_Vd3_boost,1)-1,0,2))+(AD73-25)*vd_boost_temp_coeff/1000)</f>
        <v>0.3596188938612328</v>
      </c>
      <c r="AE75" s="171">
        <f ca="1">IF(Reset=1,0.45,FORECAST(AE74, OFFSET(Vd_1_boost:Vd_3_boost,MATCH(AE74,I_Vd1_boost:I_Vd3_boost,1)-1,0,2), OFFSET(I_Vd1_boost:I_Vd3_boost,MATCH(AE74,I_Vd1_boost:I_Vd3_boost,1)-1,0,2))+(AE73-25)*vd_boost_temp_coeff/1000)</f>
        <v>0.35972327383590619</v>
      </c>
      <c r="AF75" s="171">
        <f ca="1">IF(Reset=1,0.45,FORECAST(AF74, OFFSET(Vd_1_boost:Vd_3_boost,MATCH(AF74,I_Vd1_boost:I_Vd3_boost,1)-1,0,2), OFFSET(I_Vd1_boost:I_Vd3_boost,MATCH(AF74,I_Vd1_boost:I_Vd3_boost,1)-1,0,2))+(AF73-25)*vd_boost_temp_coeff/1000)</f>
        <v>0.35980689440393498</v>
      </c>
      <c r="AG75" s="171">
        <f ca="1">IF(Reset=1,0.45,FORECAST(AG74, OFFSET(Vd_1_boost:Vd_3_boost,MATCH(AG74,I_Vd1_boost:I_Vd3_boost,1)-1,0,2), OFFSET(I_Vd1_boost:I_Vd3_boost,MATCH(AG74,I_Vd1_boost:I_Vd3_boost,1)-1,0,2))+(AG73-25)*vd_boost_temp_coeff/1000)</f>
        <v>0.35987272249837288</v>
      </c>
      <c r="AH75" s="171">
        <f ca="1">IF(Reset=1,0.45,FORECAST(AH74, OFFSET(Vd_1_boost:Vd_3_boost,MATCH(AH74,I_Vd1_boost:I_Vd3_boost,1)-1,0,2), OFFSET(I_Vd1_boost:I_Vd3_boost,MATCH(AH74,I_Vd1_boost:I_Vd3_boost,1)-1,0,2))+(AH73-25)*vd_boost_temp_coeff/1000)</f>
        <v>0.35992326969800625</v>
      </c>
      <c r="AI75" s="171">
        <f ca="1">IF(Reset=1,0.45,FORECAST(AI74, OFFSET(Vd_1_boost:Vd_3_boost,MATCH(AI74,I_Vd1_boost:I_Vd3_boost,1)-1,0,2), OFFSET(I_Vd1_boost:I_Vd3_boost,MATCH(AI74,I_Vd1_boost:I_Vd3_boost,1)-1,0,2))+(AI73-25)*vd_boost_temp_coeff/1000)</f>
        <v>0.35996067001606835</v>
      </c>
      <c r="AJ75" s="171">
        <f ca="1">IF(Reset=1,0.45,FORECAST(AJ74, OFFSET(Vd_1_boost:Vd_3_boost,MATCH(AJ74,I_Vd1_boost:I_Vd3_boost,1)-1,0,2), OFFSET(I_Vd1_boost:I_Vd3_boost,MATCH(AJ74,I_Vd1_boost:I_Vd3_boost,1)-1,0,2))+(AJ73-25)*vd_boost_temp_coeff/1000)</f>
        <v>0.35998674294080424</v>
      </c>
      <c r="AK75" s="171">
        <f ca="1">IF(Reset=1,0.45,FORECAST(AK74, OFFSET(Vd_1_boost:Vd_3_boost,MATCH(AK74,I_Vd1_boost:I_Vd3_boost,1)-1,0,2), OFFSET(I_Vd1_boost:I_Vd3_boost,MATCH(AK74,I_Vd1_boost:I_Vd3_boost,1)-1,0,2))+(AK73-25)*vd_boost_temp_coeff/1000)</f>
        <v>0.36000304480163259</v>
      </c>
      <c r="AL75" s="171">
        <f ca="1">IF(Reset=1,0.45,FORECAST(AL74, OFFSET(Vd_1_boost:Vd_3_boost,MATCH(AL74,I_Vd1_boost:I_Vd3_boost,1)-1,0,2), OFFSET(I_Vd1_boost:I_Vd3_boost,MATCH(AL74,I_Vd1_boost:I_Vd3_boost,1)-1,0,2))+(AL73-25)*vd_boost_temp_coeff/1000)</f>
        <v>0.36001091083740655</v>
      </c>
      <c r="AM75" s="171">
        <f ca="1">IF(Reset=1,0.45,FORECAST(AM74, OFFSET(Vd_1_boost:Vd_3_boost,MATCH(AM74,I_Vd1_boost:I_Vd3_boost,1)-1,0,2), OFFSET(I_Vd1_boost:I_Vd3_boost,MATCH(AM74,I_Vd1_boost:I_Vd3_boost,1)-1,0,2))+(AM73-25)*vd_boost_temp_coeff/1000)</f>
        <v>0.36001148981663283</v>
      </c>
      <c r="AN75" s="171">
        <f ca="1">IF(Reset=1,0.45,FORECAST(AN74, OFFSET(Vd_1_boost:Vd_3_boost,MATCH(AN74,I_Vd1_boost:I_Vd3_boost,1)-1,0,2), OFFSET(I_Vd1_boost:I_Vd3_boost,MATCH(AN74,I_Vd1_boost:I_Vd3_boost,1)-1,0,2))+(AN73-25)*vd_boost_temp_coeff/1000)</f>
        <v>0.3600057726587918</v>
      </c>
      <c r="AO75" s="171">
        <f ca="1">IF(Reset=1,0.45,FORECAST(AO74, OFFSET(Vd_1_boost:Vd_3_boost,MATCH(AO74,I_Vd1_boost:I_Vd3_boost,1)-1,0,2), OFFSET(I_Vd1_boost:I_Vd3_boost,MATCH(AO74,I_Vd1_boost:I_Vd3_boost,1)-1,0,2))+(AO73-25)*vd_boost_temp_coeff/1000)</f>
        <v>0.35999461619887485</v>
      </c>
      <c r="AP75" s="171">
        <f ca="1">IF(Reset=1,0.45,FORECAST(AP74, OFFSET(Vd_1_boost:Vd_3_boost,MATCH(AP74,I_Vd1_boost:I_Vd3_boost,1)-1,0,2), OFFSET(I_Vd1_boost:I_Vd3_boost,MATCH(AP74,I_Vd1_boost:I_Vd3_boost,1)-1,0,2))+(AP73-25)*vd_boost_temp_coeff/1000)</f>
        <v>0.35997876300045439</v>
      </c>
      <c r="AQ75" s="171">
        <f ca="1">IF(Reset=1,0.45,FORECAST(AQ74, OFFSET(Vd_1_boost:Vd_3_boost,MATCH(AQ74,I_Vd1_boost:I_Vd3_boost,1)-1,0,2), OFFSET(I_Vd1_boost:I_Vd3_boost,MATCH(AQ74,I_Vd1_boost:I_Vd3_boost,1)-1,0,2))+(AQ73-25)*vd_boost_temp_coeff/1000)</f>
        <v>0.3599588579388161</v>
      </c>
      <c r="AR75" s="171">
        <f ca="1">IF(Reset=1,0.45,FORECAST(AR74, OFFSET(Vd_1_boost:Vd_3_boost,MATCH(AR74,I_Vd1_boost:I_Vd3_boost,1)-1,0,2), OFFSET(I_Vd1_boost:I_Vd3_boost,MATCH(AR74,I_Vd1_boost:I_Vd3_boost,1)-1,0,2))+(AR73-25)*vd_boost_temp_coeff/1000)</f>
        <v>0.35993546213219507</v>
      </c>
      <c r="AS75" s="171">
        <f ca="1">IF(Reset=1,0.45,FORECAST(AS74, OFFSET(Vd_1_boost:Vd_3_boost,MATCH(AS74,I_Vd1_boost:I_Vd3_boost,1)-1,0,2), OFFSET(I_Vd1_boost:I_Vd3_boost,MATCH(AS74,I_Vd1_boost:I_Vd3_boost,1)-1,0,2))+(AS73-25)*vd_boost_temp_coeff/1000)</f>
        <v>0.35990906468649414</v>
      </c>
      <c r="AT75" s="171">
        <f ca="1">IF(Reset=1,0.45,FORECAST(AT74, OFFSET(Vd_1_boost:Vd_3_boost,MATCH(AT74,I_Vd1_boost:I_Vd3_boost,1)-1,0,2), OFFSET(I_Vd1_boost:I_Vd3_boost,MATCH(AT74,I_Vd1_boost:I_Vd3_boost,1)-1,0,2))+(AT73-25)*vd_boost_temp_coeff/1000)</f>
        <v>0.35988009262992182</v>
      </c>
      <c r="AU75" s="171">
        <f ca="1">IF(Reset=1,0.45,FORECAST(AU74, OFFSET(Vd_1_boost:Vd_3_boost,MATCH(AU74,I_Vd1_boost:I_Vd3_boost,1)-1,0,2), OFFSET(I_Vd1_boost:I_Vd3_boost,MATCH(AU74,I_Vd1_boost:I_Vd3_boost,1)-1,0,2))+(AU73-25)*vd_boost_temp_coeff/1000)</f>
        <v>0.35984891934341323</v>
      </c>
      <c r="AV75" s="171">
        <f ca="1">IF(Reset=1,0.45,FORECAST(AV74, OFFSET(Vd_1_boost:Vd_3_boost,MATCH(AV74,I_Vd1_boost:I_Vd3_boost,1)-1,0,2), OFFSET(I_Vd1_boost:I_Vd3_boost,MATCH(AV74,I_Vd1_boost:I_Vd3_boost,1)-1,0,2))+(AV73-25)*vd_boost_temp_coeff/1000)</f>
        <v>0.35981587173642093</v>
      </c>
      <c r="AW75" s="171">
        <f ca="1">IF(Reset=1,0.45,FORECAST(AW74, OFFSET(Vd_1_boost:Vd_3_boost,MATCH(AW74,I_Vd1_boost:I_Vd3_boost,1)-1,0,2), OFFSET(I_Vd1_boost:I_Vd3_boost,MATCH(AW74,I_Vd1_boost:I_Vd3_boost,1)-1,0,2))+(AW73-25)*vd_boost_temp_coeff/1000)</f>
        <v>0.35978123637257764</v>
      </c>
      <c r="AX75" s="171">
        <f ca="1">IF(Reset=1,0.45,FORECAST(AX74, OFFSET(Vd_1_boost:Vd_3_boost,MATCH(AX74,I_Vd1_boost:I_Vd3_boost,1)-1,0,2), OFFSET(I_Vd1_boost:I_Vd3_boost,MATCH(AX74,I_Vd1_boost:I_Vd3_boost,1)-1,0,2))+(AX73-25)*vd_boost_temp_coeff/1000)</f>
        <v>0.35974526471344687</v>
      </c>
      <c r="AY75" s="171">
        <f ca="1">IF(Reset=1,0.45,FORECAST(AY74, OFFSET(Vd_1_boost:Vd_3_boost,MATCH(AY74,I_Vd1_boost:I_Vd3_boost,1)-1,0,2), OFFSET(I_Vd1_boost:I_Vd3_boost,MATCH(AY74,I_Vd1_boost:I_Vd3_boost,1)-1,0,2))+(AY73-25)*vd_boost_temp_coeff/1000)</f>
        <v>0.35970817761925183</v>
      </c>
      <c r="AZ75" s="171">
        <f ca="1">IF(Reset=1,0.45,FORECAST(AZ74, OFFSET(Vd_1_boost:Vd_3_boost,MATCH(AZ74,I_Vd1_boost:I_Vd3_boost,1)-1,0,2), OFFSET(I_Vd1_boost:I_Vd3_boost,MATCH(AZ74,I_Vd1_boost:I_Vd3_boost,1)-1,0,2))+(AZ73-25)*vd_boost_temp_coeff/1000)</f>
        <v>0.35967016922167305</v>
      </c>
      <c r="BA75" s="171">
        <f ca="1">IF(Reset=1,0.45,FORECAST(BA74, OFFSET(Vd_1_boost:Vd_3_boost,MATCH(BA74,I_Vd1_boost:I_Vd3_boost,1)-1,0,2), OFFSET(I_Vd1_boost:I_Vd3_boost,MATCH(BA74,I_Vd1_boost:I_Vd3_boost,1)-1,0,2))+(BA73-25)*vd_boost_temp_coeff/1000)</f>
        <v>0.35963141026441137</v>
      </c>
      <c r="BB75" s="171">
        <f ca="1">IF(Reset=1,0.45,FORECAST(BB74, OFFSET(Vd_1_boost:Vd_3_boost,MATCH(BB74,I_Vd1_boost:I_Vd3_boost,1)-1,0,2), OFFSET(I_Vd1_boost:I_Vd3_boost,MATCH(BB74,I_Vd1_boost:I_Vd3_boost,1)-1,0,2))+(BB73-25)*vd_boost_temp_coeff/1000)</f>
        <v>0.35959205099135194</v>
      </c>
      <c r="BC75" s="171">
        <f ca="1">IF(Reset=1,0.45,FORECAST(BC74, OFFSET(Vd_1_boost:Vd_3_boost,MATCH(BC74,I_Vd1_boost:I_Vd3_boost,1)-1,0,2), OFFSET(I_Vd1_boost:I_Vd3_boost,MATCH(BC74,I_Vd1_boost:I_Vd3_boost,1)-1,0,2))+(BC73-25)*vd_boost_temp_coeff/1000)</f>
        <v>0.35955222364914652</v>
      </c>
      <c r="BD75" s="171">
        <f ca="1">IF(Reset=1,0.45,FORECAST(BD74, OFFSET(Vd_1_boost:Vd_3_boost,MATCH(BD74,I_Vd1_boost:I_Vd3_boost,1)-1,0,2), OFFSET(I_Vd1_boost:I_Vd3_boost,MATCH(BD74,I_Vd1_boost:I_Vd3_boost,1)-1,0,2))+(BD73-25)*vd_boost_temp_coeff/1000)</f>
        <v>0.3595120446603024</v>
      </c>
      <c r="BE75" s="171">
        <f ca="1">IF(Reset=1,0.45,FORECAST(BE74, OFFSET(Vd_1_boost:Vd_3_boost,MATCH(BE74,I_Vd1_boost:I_Vd3_boost,1)-1,0,2), OFFSET(I_Vd1_boost:I_Vd3_boost,MATCH(BE74,I_Vd1_boost:I_Vd3_boost,1)-1,0,2))+(BE73-25)*vd_boost_temp_coeff/1000)</f>
        <v>0.35947161651400533</v>
      </c>
      <c r="BF75" s="171">
        <f ca="1">IF(Reset=1,0.45,FORECAST(BF74, OFFSET(Vd_1_boost:Vd_3_boost,MATCH(BF74,I_Vd1_boost:I_Vd3_boost,1)-1,0,2), OFFSET(I_Vd1_boost:I_Vd3_boost,MATCH(BF74,I_Vd1_boost:I_Vd3_boost,1)-1,0,2))+(BF73-25)*vd_boost_temp_coeff/1000)</f>
        <v>0.35943102941454796</v>
      </c>
      <c r="BG75" s="171">
        <f ca="1">IF(Reset=1,0.45,FORECAST(BG74, OFFSET(Vd_1_boost:Vd_3_boost,MATCH(BG74,I_Vd1_boost:I_Vd3_boost,1)-1,0,2), OFFSET(I_Vd1_boost:I_Vd3_boost,MATCH(BG74,I_Vd1_boost:I_Vd3_boost,1)-1,0,2))+(BG73-25)*vd_boost_temp_coeff/1000)</f>
        <v>0.35939036272112412</v>
      </c>
      <c r="BH75" s="171">
        <f ca="1">IF(Reset=1,0.45,FORECAST(BH74, OFFSET(Vd_1_boost:Vd_3_boost,MATCH(BH74,I_Vd1_boost:I_Vd3_boost,1)-1,0,2), OFFSET(I_Vd1_boost:I_Vd3_boost,MATCH(BH74,I_Vd1_boost:I_Vd3_boost,1)-1,0,2))+(BH73-25)*vd_boost_temp_coeff/1000)</f>
        <v>0.36036416970529295</v>
      </c>
      <c r="BI75" s="15" t="s">
        <v>69</v>
      </c>
      <c r="BJ75" s="169"/>
      <c r="BK75" s="99"/>
      <c r="BL75" s="99"/>
      <c r="BM75" s="99"/>
      <c r="BN75" s="99"/>
      <c r="BO75" s="99"/>
      <c r="BP75" s="230"/>
      <c r="BQ75" s="230"/>
      <c r="BR75" s="230"/>
      <c r="BS75" s="230"/>
      <c r="BT75" s="230"/>
      <c r="BU75" s="230"/>
      <c r="BV75" s="99"/>
      <c r="BW75" s="99"/>
      <c r="BX75" s="99"/>
      <c r="BY75" s="99"/>
    </row>
    <row r="76" spans="1:77" s="4" customFormat="1" ht="15.75" customHeight="1" x14ac:dyDescent="0.3">
      <c r="A76" s="6"/>
      <c r="B76" s="78" t="s">
        <v>183</v>
      </c>
      <c r="C76" s="95">
        <f>V_AbsMax+4</f>
        <v>40</v>
      </c>
      <c r="D76" s="90" t="s">
        <v>187</v>
      </c>
      <c r="E76" s="116"/>
      <c r="F76" s="21"/>
      <c r="G76" s="170"/>
      <c r="H76" s="15" t="s">
        <v>71</v>
      </c>
      <c r="I76" s="172">
        <f t="shared" ref="I76:AN76" ca="1" si="142">I75*I28</f>
        <v>0.32819833343073679</v>
      </c>
      <c r="J76" s="172">
        <f t="shared" ca="1" si="142"/>
        <v>0.3784232261143482</v>
      </c>
      <c r="K76" s="172">
        <f t="shared" ca="1" si="142"/>
        <v>0.36783522531150048</v>
      </c>
      <c r="L76" s="172">
        <f t="shared" ca="1" si="142"/>
        <v>0.35854495893068861</v>
      </c>
      <c r="M76" s="172">
        <f t="shared" ca="1" si="142"/>
        <v>0.35048979084390874</v>
      </c>
      <c r="N76" s="172">
        <f t="shared" ca="1" si="142"/>
        <v>0.34343082562361399</v>
      </c>
      <c r="O76" s="172">
        <f t="shared" ca="1" si="142"/>
        <v>0.33718721574520144</v>
      </c>
      <c r="P76" s="172">
        <f t="shared" ca="1" si="142"/>
        <v>0.33161951035161824</v>
      </c>
      <c r="Q76" s="172">
        <f t="shared" ca="1" si="142"/>
        <v>0.32661843462818729</v>
      </c>
      <c r="R76" s="172">
        <f t="shared" ca="1" si="142"/>
        <v>0.32209713662778</v>
      </c>
      <c r="S76" s="172">
        <f t="shared" ca="1" si="142"/>
        <v>0.3179857108802589</v>
      </c>
      <c r="T76" s="172">
        <f t="shared" ca="1" si="142"/>
        <v>0.31422727861224448</v>
      </c>
      <c r="U76" s="172">
        <f t="shared" ca="1" si="142"/>
        <v>0.31077567518362947</v>
      </c>
      <c r="V76" s="172">
        <f t="shared" ca="1" si="142"/>
        <v>0.30689719891508127</v>
      </c>
      <c r="W76" s="172">
        <f t="shared" ca="1" si="142"/>
        <v>0.31541198932593678</v>
      </c>
      <c r="X76" s="172">
        <f t="shared" ca="1" si="142"/>
        <v>0.3178172944823523</v>
      </c>
      <c r="Y76" s="172">
        <f t="shared" ca="1" si="142"/>
        <v>0.31982717313042897</v>
      </c>
      <c r="Z76" s="172">
        <f t="shared" ca="1" si="142"/>
        <v>0.321504420143783</v>
      </c>
      <c r="AA76" s="172">
        <f t="shared" ca="1" si="142"/>
        <v>0.32290080344386923</v>
      </c>
      <c r="AB76" s="172">
        <f t="shared" ca="1" si="142"/>
        <v>0.32405921425555767</v>
      </c>
      <c r="AC76" s="172">
        <f t="shared" ca="1" si="142"/>
        <v>0.32501535730322567</v>
      </c>
      <c r="AD76" s="172">
        <f t="shared" ca="1" si="142"/>
        <v>0.32579908747851505</v>
      </c>
      <c r="AE76" s="172">
        <f t="shared" ca="1" si="142"/>
        <v>0.32643547315693028</v>
      </c>
      <c r="AF76" s="172">
        <f t="shared" ca="1" si="142"/>
        <v>0.32694564686693955</v>
      </c>
      <c r="AG76" s="172">
        <f t="shared" ca="1" si="142"/>
        <v>0.32734748954930581</v>
      </c>
      <c r="AH76" s="172">
        <f t="shared" ca="1" si="142"/>
        <v>0.32765618383762496</v>
      </c>
      <c r="AI76" s="172">
        <f t="shared" ca="1" si="142"/>
        <v>0.32788466367097147</v>
      </c>
      <c r="AJ76" s="172">
        <f t="shared" ca="1" si="142"/>
        <v>0.32804398141247137</v>
      </c>
      <c r="AK76" s="172">
        <f t="shared" ca="1" si="142"/>
        <v>0.32814360898224443</v>
      </c>
      <c r="AL76" s="172">
        <f t="shared" ca="1" si="142"/>
        <v>0.32819168594617187</v>
      </c>
      <c r="AM76" s="172">
        <f t="shared" ca="1" si="142"/>
        <v>0.32819522475940471</v>
      </c>
      <c r="AN76" s="172">
        <f t="shared" ca="1" si="142"/>
        <v>0.32816028124328089</v>
      </c>
      <c r="AO76" s="172">
        <f t="shared" ref="AO76:BH76" ca="1" si="143">AO75*AO28</f>
        <v>0.32809209672642647</v>
      </c>
      <c r="AP76" s="172">
        <f t="shared" ca="1" si="143"/>
        <v>0.32799521699339385</v>
      </c>
      <c r="AQ76" s="172">
        <f t="shared" ca="1" si="143"/>
        <v>0.32787359217335121</v>
      </c>
      <c r="AR76" s="172">
        <f t="shared" ca="1" si="143"/>
        <v>0.32773066090380182</v>
      </c>
      <c r="AS76" s="172">
        <f t="shared" ca="1" si="143"/>
        <v>0.32756942147212675</v>
      </c>
      <c r="AT76" s="172">
        <f t="shared" ca="1" si="143"/>
        <v>0.32739249213434857</v>
      </c>
      <c r="AU76" s="172">
        <f t="shared" ca="1" si="143"/>
        <v>0.32720216240792332</v>
      </c>
      <c r="AV76" s="172">
        <f t="shared" ca="1" si="143"/>
        <v>0.32700043681203228</v>
      </c>
      <c r="AW76" s="172">
        <f t="shared" ca="1" si="143"/>
        <v>0.32678907226811088</v>
      </c>
      <c r="AX76" s="172">
        <f t="shared" ca="1" si="143"/>
        <v>0.32656961016225855</v>
      </c>
      <c r="AY76" s="172">
        <f t="shared" ca="1" si="143"/>
        <v>0.32634340389963662</v>
      </c>
      <c r="AZ76" s="172">
        <f t="shared" ca="1" si="143"/>
        <v>0.32611164264104303</v>
      </c>
      <c r="BA76" s="172">
        <f t="shared" ca="1" si="143"/>
        <v>0.32587537179733067</v>
      </c>
      <c r="BB76" s="172">
        <f t="shared" ca="1" si="143"/>
        <v>0.32563551076327368</v>
      </c>
      <c r="BC76" s="172">
        <f t="shared" ca="1" si="143"/>
        <v>0.32539286829497793</v>
      </c>
      <c r="BD76" s="172">
        <f t="shared" ca="1" si="143"/>
        <v>0.32514815587085372</v>
      </c>
      <c r="BE76" s="172">
        <f t="shared" ca="1" si="143"/>
        <v>0.32490199932304031</v>
      </c>
      <c r="BF76" s="172">
        <f t="shared" ca="1" si="143"/>
        <v>0.32465494898197511</v>
      </c>
      <c r="BG76" s="172">
        <f t="shared" ca="1" si="143"/>
        <v>0.32440748853994683</v>
      </c>
      <c r="BH76" s="172">
        <f t="shared" ca="1" si="143"/>
        <v>0.33035367407377392</v>
      </c>
      <c r="BI76" s="15" t="s">
        <v>71</v>
      </c>
      <c r="BJ76" s="169"/>
      <c r="BK76" s="99"/>
      <c r="BL76" s="99"/>
      <c r="BM76" s="99"/>
      <c r="BN76" s="99"/>
      <c r="BO76" s="99"/>
      <c r="BP76" s="230"/>
      <c r="BQ76" s="230"/>
      <c r="BR76" s="230"/>
      <c r="BS76" s="230"/>
      <c r="BT76" s="230"/>
      <c r="BU76" s="230"/>
      <c r="BV76" s="99"/>
      <c r="BW76" s="99"/>
      <c r="BX76" s="99"/>
      <c r="BY76" s="99"/>
    </row>
    <row r="77" spans="1:77" s="4" customFormat="1" ht="15.75" customHeight="1" thickBot="1" x14ac:dyDescent="0.35">
      <c r="A77" s="6"/>
      <c r="B77" s="57" t="s">
        <v>66</v>
      </c>
      <c r="C77" s="89">
        <f ca="1">IF(Topology="Buck",ROUNDUP(MAX(J152:BH152),0),ROUNDUP(MAX(J69:BH69),0))</f>
        <v>153</v>
      </c>
      <c r="D77" s="91" t="str">
        <f ca="1">IF(C77&gt;150,"Buck diode temperature too high","Estimated worse case buck diode temperature")</f>
        <v>Buck diode temperature too high</v>
      </c>
      <c r="E77" s="6"/>
      <c r="F77" s="21"/>
      <c r="G77" s="170" t="s">
        <v>37</v>
      </c>
      <c r="H77" s="15" t="s">
        <v>62</v>
      </c>
      <c r="I77" s="191">
        <f t="shared" ref="I77:AN77" ca="1" si="144">IF(Reset=1,150,IF(Ta+Rthj_a_boost_FET*I82&gt;190,190,Ta+Rthj_a_boost_FET*I82))</f>
        <v>125</v>
      </c>
      <c r="J77" s="191">
        <f t="shared" ca="1" si="144"/>
        <v>140.40018200836761</v>
      </c>
      <c r="K77" s="191">
        <f t="shared" ca="1" si="144"/>
        <v>139.59897573346063</v>
      </c>
      <c r="L77" s="191">
        <f t="shared" ca="1" si="144"/>
        <v>138.99271644883589</v>
      </c>
      <c r="M77" s="191">
        <f t="shared" ca="1" si="144"/>
        <v>138.52616806089657</v>
      </c>
      <c r="N77" s="191">
        <f t="shared" ca="1" si="144"/>
        <v>138.16197709769244</v>
      </c>
      <c r="O77" s="191">
        <f t="shared" ca="1" si="144"/>
        <v>137.87415551021806</v>
      </c>
      <c r="P77" s="191">
        <f t="shared" ca="1" si="144"/>
        <v>137.64418273689506</v>
      </c>
      <c r="Q77" s="191">
        <f t="shared" ca="1" si="144"/>
        <v>137.45858275269813</v>
      </c>
      <c r="R77" s="191">
        <f t="shared" ca="1" si="144"/>
        <v>137.3073697071201</v>
      </c>
      <c r="S77" s="191">
        <f t="shared" ca="1" si="144"/>
        <v>137.18302291419181</v>
      </c>
      <c r="T77" s="191">
        <f t="shared" ca="1" si="144"/>
        <v>137.07979448741517</v>
      </c>
      <c r="U77" s="191">
        <f t="shared" ca="1" si="144"/>
        <v>136.99323537358913</v>
      </c>
      <c r="V77" s="191">
        <f t="shared" ca="1" si="144"/>
        <v>136.91984365407467</v>
      </c>
      <c r="W77" s="191">
        <f t="shared" ca="1" si="144"/>
        <v>125</v>
      </c>
      <c r="X77" s="191">
        <f t="shared" ca="1" si="144"/>
        <v>125</v>
      </c>
      <c r="Y77" s="191">
        <f t="shared" ca="1" si="144"/>
        <v>125</v>
      </c>
      <c r="Z77" s="191">
        <f t="shared" ca="1" si="144"/>
        <v>125</v>
      </c>
      <c r="AA77" s="191">
        <f t="shared" ca="1" si="144"/>
        <v>125</v>
      </c>
      <c r="AB77" s="191">
        <f t="shared" ca="1" si="144"/>
        <v>125</v>
      </c>
      <c r="AC77" s="191">
        <f t="shared" ca="1" si="144"/>
        <v>125</v>
      </c>
      <c r="AD77" s="191">
        <f t="shared" ca="1" si="144"/>
        <v>125</v>
      </c>
      <c r="AE77" s="191">
        <f t="shared" ca="1" si="144"/>
        <v>125</v>
      </c>
      <c r="AF77" s="191">
        <f t="shared" ca="1" si="144"/>
        <v>125</v>
      </c>
      <c r="AG77" s="191">
        <f t="shared" ca="1" si="144"/>
        <v>125</v>
      </c>
      <c r="AH77" s="191">
        <f t="shared" ca="1" si="144"/>
        <v>125</v>
      </c>
      <c r="AI77" s="191">
        <f t="shared" ca="1" si="144"/>
        <v>125</v>
      </c>
      <c r="AJ77" s="191">
        <f t="shared" ca="1" si="144"/>
        <v>125</v>
      </c>
      <c r="AK77" s="191">
        <f t="shared" ca="1" si="144"/>
        <v>125</v>
      </c>
      <c r="AL77" s="191">
        <f t="shared" ca="1" si="144"/>
        <v>125</v>
      </c>
      <c r="AM77" s="191">
        <f t="shared" ca="1" si="144"/>
        <v>125</v>
      </c>
      <c r="AN77" s="191">
        <f t="shared" ca="1" si="144"/>
        <v>125</v>
      </c>
      <c r="AO77" s="191">
        <f t="shared" ref="AO77:BH77" ca="1" si="145">IF(Reset=1,150,IF(Ta+Rthj_a_boost_FET*AO82&gt;190,190,Ta+Rthj_a_boost_FET*AO82))</f>
        <v>125</v>
      </c>
      <c r="AP77" s="191">
        <f t="shared" ca="1" si="145"/>
        <v>125</v>
      </c>
      <c r="AQ77" s="191">
        <f t="shared" ca="1" si="145"/>
        <v>125</v>
      </c>
      <c r="AR77" s="191">
        <f t="shared" ca="1" si="145"/>
        <v>125</v>
      </c>
      <c r="AS77" s="191">
        <f t="shared" ca="1" si="145"/>
        <v>125</v>
      </c>
      <c r="AT77" s="191">
        <f t="shared" ca="1" si="145"/>
        <v>125</v>
      </c>
      <c r="AU77" s="191">
        <f t="shared" ca="1" si="145"/>
        <v>125</v>
      </c>
      <c r="AV77" s="191">
        <f t="shared" ca="1" si="145"/>
        <v>125</v>
      </c>
      <c r="AW77" s="191">
        <f t="shared" ca="1" si="145"/>
        <v>125</v>
      </c>
      <c r="AX77" s="191">
        <f t="shared" ca="1" si="145"/>
        <v>125</v>
      </c>
      <c r="AY77" s="191">
        <f t="shared" ca="1" si="145"/>
        <v>125</v>
      </c>
      <c r="AZ77" s="191">
        <f t="shared" ca="1" si="145"/>
        <v>125</v>
      </c>
      <c r="BA77" s="191">
        <f t="shared" ca="1" si="145"/>
        <v>125</v>
      </c>
      <c r="BB77" s="191">
        <f t="shared" ca="1" si="145"/>
        <v>125</v>
      </c>
      <c r="BC77" s="191">
        <f t="shared" ca="1" si="145"/>
        <v>125</v>
      </c>
      <c r="BD77" s="191">
        <f t="shared" ca="1" si="145"/>
        <v>125</v>
      </c>
      <c r="BE77" s="191">
        <f t="shared" ca="1" si="145"/>
        <v>125</v>
      </c>
      <c r="BF77" s="191">
        <f t="shared" ca="1" si="145"/>
        <v>125</v>
      </c>
      <c r="BG77" s="191">
        <f t="shared" ca="1" si="145"/>
        <v>125</v>
      </c>
      <c r="BH77" s="191">
        <f t="shared" ca="1" si="145"/>
        <v>125</v>
      </c>
      <c r="BI77" s="15" t="s">
        <v>62</v>
      </c>
      <c r="BJ77" s="169" t="s">
        <v>37</v>
      </c>
      <c r="BK77" s="99"/>
      <c r="BL77" s="99"/>
      <c r="BM77" s="99"/>
      <c r="BN77" s="99"/>
      <c r="BO77" s="99"/>
      <c r="BP77" s="230"/>
      <c r="BQ77" s="230"/>
      <c r="BR77" s="230"/>
      <c r="BS77" s="230"/>
      <c r="BT77" s="230"/>
      <c r="BU77" s="230"/>
      <c r="BV77" s="99"/>
      <c r="BW77" s="99"/>
      <c r="BX77" s="99"/>
      <c r="BY77" s="99"/>
    </row>
    <row r="78" spans="1:77" s="4" customFormat="1" ht="15.75" customHeight="1" thickBot="1" x14ac:dyDescent="0.35">
      <c r="A78" s="6"/>
      <c r="B78" s="6"/>
      <c r="C78" s="6"/>
      <c r="D78" s="6"/>
      <c r="E78" s="6"/>
      <c r="F78" s="21"/>
      <c r="G78" s="170"/>
      <c r="H78" s="166" t="s">
        <v>18</v>
      </c>
      <c r="I78" s="192">
        <f ca="1">(I77+40)*(1.34655999666222-0.667409045393858)/0.828125/(190)+0.667409045393858/0.828125</f>
        <v>1.5181259222823451</v>
      </c>
      <c r="J78" s="192">
        <f ca="1">(J77+40)*(1.34655999666222-0.667409045393858)/0.828125/(190)+0.667409045393858/0.828125</f>
        <v>1.584598522946107</v>
      </c>
      <c r="K78" s="192">
        <f t="shared" ref="K78:BG78" ca="1" si="146">(K77+40)*(1.34655999666222-0.667409045393858)/0.828125/(190)+0.667409045393858/0.828125</f>
        <v>1.5811402349380657</v>
      </c>
      <c r="L78" s="192">
        <f t="shared" ca="1" si="146"/>
        <v>1.5785234066886553</v>
      </c>
      <c r="M78" s="192">
        <f t="shared" ca="1" si="146"/>
        <v>1.5765096197954249</v>
      </c>
      <c r="N78" s="192">
        <f t="shared" ca="1" si="146"/>
        <v>1.5749376435389582</v>
      </c>
      <c r="O78" s="192">
        <f t="shared" ca="1" si="146"/>
        <v>1.5736953043616548</v>
      </c>
      <c r="P78" s="192">
        <f t="shared" ca="1" si="146"/>
        <v>1.5727026610074186</v>
      </c>
      <c r="Q78" s="192">
        <f t="shared" ca="1" si="146"/>
        <v>1.5719015462137091</v>
      </c>
      <c r="R78" s="192">
        <f t="shared" ca="1" si="146"/>
        <v>1.5712488575384453</v>
      </c>
      <c r="S78" s="192">
        <f t="shared" ca="1" si="146"/>
        <v>1.5707121330565106</v>
      </c>
      <c r="T78" s="192">
        <f t="shared" ca="1" si="146"/>
        <v>1.5702665628686685</v>
      </c>
      <c r="U78" s="192">
        <f t="shared" ca="1" si="146"/>
        <v>1.5698929432968971</v>
      </c>
      <c r="V78" s="192">
        <f t="shared" ca="1" si="146"/>
        <v>1.5695761588289823</v>
      </c>
      <c r="W78" s="192">
        <f t="shared" ca="1" si="146"/>
        <v>1.5181259222823451</v>
      </c>
      <c r="X78" s="192">
        <f t="shared" ca="1" si="146"/>
        <v>1.5181259222823451</v>
      </c>
      <c r="Y78" s="192">
        <f t="shared" ca="1" si="146"/>
        <v>1.5181259222823451</v>
      </c>
      <c r="Z78" s="192">
        <f t="shared" ca="1" si="146"/>
        <v>1.5181259222823451</v>
      </c>
      <c r="AA78" s="192">
        <f t="shared" ca="1" si="146"/>
        <v>1.5181259222823451</v>
      </c>
      <c r="AB78" s="192">
        <f t="shared" ca="1" si="146"/>
        <v>1.5181259222823451</v>
      </c>
      <c r="AC78" s="192">
        <f t="shared" ca="1" si="146"/>
        <v>1.5181259222823451</v>
      </c>
      <c r="AD78" s="192">
        <f t="shared" ca="1" si="146"/>
        <v>1.5181259222823451</v>
      </c>
      <c r="AE78" s="192">
        <f t="shared" ca="1" si="146"/>
        <v>1.5181259222823451</v>
      </c>
      <c r="AF78" s="192">
        <f t="shared" ca="1" si="146"/>
        <v>1.5181259222823451</v>
      </c>
      <c r="AG78" s="192">
        <f t="shared" ca="1" si="146"/>
        <v>1.5181259222823451</v>
      </c>
      <c r="AH78" s="192">
        <f t="shared" ca="1" si="146"/>
        <v>1.5181259222823451</v>
      </c>
      <c r="AI78" s="192">
        <f t="shared" ca="1" si="146"/>
        <v>1.5181259222823451</v>
      </c>
      <c r="AJ78" s="192">
        <f t="shared" ca="1" si="146"/>
        <v>1.5181259222823451</v>
      </c>
      <c r="AK78" s="192">
        <f t="shared" ca="1" si="146"/>
        <v>1.5181259222823451</v>
      </c>
      <c r="AL78" s="192">
        <f t="shared" ca="1" si="146"/>
        <v>1.5181259222823451</v>
      </c>
      <c r="AM78" s="192">
        <f t="shared" ca="1" si="146"/>
        <v>1.5181259222823451</v>
      </c>
      <c r="AN78" s="192">
        <f t="shared" ca="1" si="146"/>
        <v>1.5181259222823451</v>
      </c>
      <c r="AO78" s="192">
        <f t="shared" ca="1" si="146"/>
        <v>1.5181259222823451</v>
      </c>
      <c r="AP78" s="192">
        <f t="shared" ca="1" si="146"/>
        <v>1.5181259222823451</v>
      </c>
      <c r="AQ78" s="192">
        <f t="shared" ca="1" si="146"/>
        <v>1.5181259222823451</v>
      </c>
      <c r="AR78" s="192">
        <f t="shared" ca="1" si="146"/>
        <v>1.5181259222823451</v>
      </c>
      <c r="AS78" s="192">
        <f t="shared" ca="1" si="146"/>
        <v>1.5181259222823451</v>
      </c>
      <c r="AT78" s="192">
        <f t="shared" ca="1" si="146"/>
        <v>1.5181259222823451</v>
      </c>
      <c r="AU78" s="192">
        <f t="shared" ca="1" si="146"/>
        <v>1.5181259222823451</v>
      </c>
      <c r="AV78" s="192">
        <f t="shared" ca="1" si="146"/>
        <v>1.5181259222823451</v>
      </c>
      <c r="AW78" s="192">
        <f t="shared" ca="1" si="146"/>
        <v>1.5181259222823451</v>
      </c>
      <c r="AX78" s="192">
        <f t="shared" ca="1" si="146"/>
        <v>1.5181259222823451</v>
      </c>
      <c r="AY78" s="192">
        <f t="shared" ca="1" si="146"/>
        <v>1.5181259222823451</v>
      </c>
      <c r="AZ78" s="192">
        <f t="shared" ca="1" si="146"/>
        <v>1.5181259222823451</v>
      </c>
      <c r="BA78" s="192">
        <f t="shared" ca="1" si="146"/>
        <v>1.5181259222823451</v>
      </c>
      <c r="BB78" s="192">
        <f t="shared" ca="1" si="146"/>
        <v>1.5181259222823451</v>
      </c>
      <c r="BC78" s="192">
        <f t="shared" ca="1" si="146"/>
        <v>1.5181259222823451</v>
      </c>
      <c r="BD78" s="192">
        <f t="shared" ca="1" si="146"/>
        <v>1.5181259222823451</v>
      </c>
      <c r="BE78" s="192">
        <f t="shared" ca="1" si="146"/>
        <v>1.5181259222823451</v>
      </c>
      <c r="BF78" s="192">
        <f t="shared" ca="1" si="146"/>
        <v>1.5181259222823451</v>
      </c>
      <c r="BG78" s="192">
        <f t="shared" ca="1" si="146"/>
        <v>1.5181259222823451</v>
      </c>
      <c r="BH78" s="192">
        <f t="shared" ref="BH78" ca="1" si="147">(BH77+40)*(1.34655999666222-0.667409045393858)/0.828125/(190)+0.667409045393858/0.828125</f>
        <v>1.5181259222823451</v>
      </c>
      <c r="BI78" s="166" t="s">
        <v>18</v>
      </c>
      <c r="BJ78" s="169"/>
      <c r="BK78" s="99"/>
      <c r="BL78" s="99"/>
      <c r="BM78" s="99"/>
      <c r="BN78" s="99"/>
      <c r="BO78" s="99"/>
      <c r="BP78" s="230"/>
      <c r="BQ78" s="230"/>
      <c r="BR78" s="230"/>
      <c r="BS78" s="230"/>
      <c r="BT78" s="230"/>
      <c r="BU78" s="230"/>
      <c r="BV78" s="99"/>
      <c r="BW78" s="99"/>
      <c r="BX78" s="99"/>
      <c r="BY78" s="99"/>
    </row>
    <row r="79" spans="1:77" s="4" customFormat="1" x14ac:dyDescent="0.3">
      <c r="A79" s="6"/>
      <c r="B79" s="297" t="s">
        <v>284</v>
      </c>
      <c r="C79" s="298"/>
      <c r="D79" s="299"/>
      <c r="E79" s="6"/>
      <c r="F79" s="21"/>
      <c r="G79" s="170"/>
      <c r="H79" s="15" t="s">
        <v>64</v>
      </c>
      <c r="I79" s="186">
        <f ca="1">R_ds_ON_boost*I78</f>
        <v>2.732626660108221E-2</v>
      </c>
      <c r="J79" s="186">
        <f t="shared" ref="J79:AL79" ca="1" si="148">R_ds_ON_boost*J78</f>
        <v>2.8522773413029924E-2</v>
      </c>
      <c r="K79" s="186">
        <f t="shared" ca="1" si="148"/>
        <v>2.8460524228885179E-2</v>
      </c>
      <c r="L79" s="186">
        <f t="shared" ca="1" si="148"/>
        <v>2.8413421320395794E-2</v>
      </c>
      <c r="M79" s="186">
        <f t="shared" ca="1" si="148"/>
        <v>2.8377173156317645E-2</v>
      </c>
      <c r="N79" s="186">
        <f t="shared" ca="1" si="148"/>
        <v>2.8348877583701245E-2</v>
      </c>
      <c r="O79" s="186">
        <f t="shared" ca="1" si="148"/>
        <v>2.8326515478509784E-2</v>
      </c>
      <c r="P79" s="186">
        <f t="shared" ca="1" si="148"/>
        <v>2.8308647898133532E-2</v>
      </c>
      <c r="Q79" s="186">
        <f t="shared" ca="1" si="148"/>
        <v>2.8294227831846763E-2</v>
      </c>
      <c r="R79" s="186">
        <f t="shared" ca="1" si="148"/>
        <v>2.8282479435692013E-2</v>
      </c>
      <c r="S79" s="186">
        <f t="shared" ca="1" si="148"/>
        <v>2.8272818395017187E-2</v>
      </c>
      <c r="T79" s="186">
        <f t="shared" ca="1" si="148"/>
        <v>2.8264798131636033E-2</v>
      </c>
      <c r="U79" s="186">
        <f t="shared" ca="1" si="148"/>
        <v>2.8258072979344146E-2</v>
      </c>
      <c r="V79" s="186">
        <f t="shared" ca="1" si="148"/>
        <v>2.8252370858921679E-2</v>
      </c>
      <c r="W79" s="186">
        <f t="shared" ca="1" si="148"/>
        <v>2.732626660108221E-2</v>
      </c>
      <c r="X79" s="186">
        <f t="shared" ca="1" si="148"/>
        <v>2.732626660108221E-2</v>
      </c>
      <c r="Y79" s="186">
        <f t="shared" ca="1" si="148"/>
        <v>2.732626660108221E-2</v>
      </c>
      <c r="Z79" s="186">
        <f t="shared" ca="1" si="148"/>
        <v>2.732626660108221E-2</v>
      </c>
      <c r="AA79" s="186">
        <f t="shared" ca="1" si="148"/>
        <v>2.732626660108221E-2</v>
      </c>
      <c r="AB79" s="186">
        <f t="shared" ca="1" si="148"/>
        <v>2.732626660108221E-2</v>
      </c>
      <c r="AC79" s="186">
        <f t="shared" ca="1" si="148"/>
        <v>2.732626660108221E-2</v>
      </c>
      <c r="AD79" s="186">
        <f t="shared" ca="1" si="148"/>
        <v>2.732626660108221E-2</v>
      </c>
      <c r="AE79" s="186">
        <f t="shared" ca="1" si="148"/>
        <v>2.732626660108221E-2</v>
      </c>
      <c r="AF79" s="186">
        <f t="shared" ca="1" si="148"/>
        <v>2.732626660108221E-2</v>
      </c>
      <c r="AG79" s="186">
        <f t="shared" ca="1" si="148"/>
        <v>2.732626660108221E-2</v>
      </c>
      <c r="AH79" s="186">
        <f t="shared" ca="1" si="148"/>
        <v>2.732626660108221E-2</v>
      </c>
      <c r="AI79" s="186">
        <f t="shared" ca="1" si="148"/>
        <v>2.732626660108221E-2</v>
      </c>
      <c r="AJ79" s="186">
        <f t="shared" ca="1" si="148"/>
        <v>2.732626660108221E-2</v>
      </c>
      <c r="AK79" s="186">
        <f t="shared" ca="1" si="148"/>
        <v>2.732626660108221E-2</v>
      </c>
      <c r="AL79" s="186">
        <f t="shared" ca="1" si="148"/>
        <v>2.732626660108221E-2</v>
      </c>
      <c r="AM79" s="186">
        <f t="shared" ref="AM79:AT79" ca="1" si="149">R_ds_ON_boost*AM78</f>
        <v>2.732626660108221E-2</v>
      </c>
      <c r="AN79" s="186">
        <f t="shared" ca="1" si="149"/>
        <v>2.732626660108221E-2</v>
      </c>
      <c r="AO79" s="186">
        <f t="shared" ca="1" si="149"/>
        <v>2.732626660108221E-2</v>
      </c>
      <c r="AP79" s="186">
        <f t="shared" ca="1" si="149"/>
        <v>2.732626660108221E-2</v>
      </c>
      <c r="AQ79" s="186">
        <f t="shared" ca="1" si="149"/>
        <v>2.732626660108221E-2</v>
      </c>
      <c r="AR79" s="186">
        <f t="shared" ca="1" si="149"/>
        <v>2.732626660108221E-2</v>
      </c>
      <c r="AS79" s="186">
        <f t="shared" ca="1" si="149"/>
        <v>2.732626660108221E-2</v>
      </c>
      <c r="AT79" s="186">
        <f t="shared" ca="1" si="149"/>
        <v>2.732626660108221E-2</v>
      </c>
      <c r="AU79" s="186">
        <f t="shared" ref="AU79:BG79" ca="1" si="150">R_ds_ON_boost*AU78</f>
        <v>2.732626660108221E-2</v>
      </c>
      <c r="AV79" s="186">
        <f t="shared" ca="1" si="150"/>
        <v>2.732626660108221E-2</v>
      </c>
      <c r="AW79" s="186">
        <f t="shared" ca="1" si="150"/>
        <v>2.732626660108221E-2</v>
      </c>
      <c r="AX79" s="186">
        <f t="shared" ca="1" si="150"/>
        <v>2.732626660108221E-2</v>
      </c>
      <c r="AY79" s="186">
        <f t="shared" ca="1" si="150"/>
        <v>2.732626660108221E-2</v>
      </c>
      <c r="AZ79" s="186">
        <f t="shared" ca="1" si="150"/>
        <v>2.732626660108221E-2</v>
      </c>
      <c r="BA79" s="186">
        <f t="shared" ca="1" si="150"/>
        <v>2.732626660108221E-2</v>
      </c>
      <c r="BB79" s="186">
        <f t="shared" ca="1" si="150"/>
        <v>2.732626660108221E-2</v>
      </c>
      <c r="BC79" s="186">
        <f t="shared" ca="1" si="150"/>
        <v>2.732626660108221E-2</v>
      </c>
      <c r="BD79" s="186">
        <f t="shared" ca="1" si="150"/>
        <v>2.732626660108221E-2</v>
      </c>
      <c r="BE79" s="186">
        <f t="shared" ca="1" si="150"/>
        <v>2.732626660108221E-2</v>
      </c>
      <c r="BF79" s="186">
        <f t="shared" ca="1" si="150"/>
        <v>2.732626660108221E-2</v>
      </c>
      <c r="BG79" s="186">
        <f t="shared" ca="1" si="150"/>
        <v>2.732626660108221E-2</v>
      </c>
      <c r="BH79" s="186">
        <f t="shared" ref="BH79" ca="1" si="151">R_ds_ON_boost*BH78</f>
        <v>2.732626660108221E-2</v>
      </c>
      <c r="BI79" s="15" t="s">
        <v>64</v>
      </c>
      <c r="BJ79" s="169"/>
      <c r="BK79" s="99"/>
      <c r="BL79" s="99"/>
      <c r="BM79" s="99"/>
      <c r="BN79" s="99"/>
      <c r="BO79" s="99"/>
      <c r="BP79" s="230"/>
      <c r="BQ79" s="230"/>
      <c r="BR79" s="230"/>
      <c r="BS79" s="230"/>
      <c r="BT79" s="230"/>
      <c r="BU79" s="230"/>
      <c r="BV79" s="99"/>
      <c r="BW79" s="99"/>
      <c r="BX79" s="99"/>
      <c r="BY79" s="99"/>
    </row>
    <row r="80" spans="1:77" s="4" customFormat="1" x14ac:dyDescent="0.3">
      <c r="A80" s="6"/>
      <c r="B80" s="32" t="s">
        <v>49</v>
      </c>
      <c r="C80" s="53">
        <f ca="1">IF(Topology="Buck","-",MAX(J22:BH22))</f>
        <v>2.0147495423065558</v>
      </c>
      <c r="D80" s="90" t="str">
        <f>IF(Topology="Buck","","Maximum peak diode current")</f>
        <v>Maximum peak diode current</v>
      </c>
      <c r="E80" s="6"/>
      <c r="F80" s="21"/>
      <c r="G80" s="170"/>
      <c r="H80" s="187" t="s">
        <v>5</v>
      </c>
      <c r="I80" s="188">
        <f t="shared" ref="I80:AN80" ca="1" si="152">I27^2*I79</f>
        <v>0</v>
      </c>
      <c r="J80" s="188">
        <f t="shared" ca="1" si="152"/>
        <v>6.1133700139459915E-2</v>
      </c>
      <c r="K80" s="188">
        <f t="shared" ca="1" si="152"/>
        <v>4.778026222434377E-2</v>
      </c>
      <c r="L80" s="188">
        <f t="shared" ca="1" si="152"/>
        <v>3.7675940813931476E-2</v>
      </c>
      <c r="M80" s="188">
        <f t="shared" ca="1" si="152"/>
        <v>2.9900134348276295E-2</v>
      </c>
      <c r="N80" s="188">
        <f t="shared" ca="1" si="152"/>
        <v>2.383028496154058E-2</v>
      </c>
      <c r="O80" s="188">
        <f t="shared" ca="1" si="152"/>
        <v>1.9033258503634326E-2</v>
      </c>
      <c r="P80" s="188">
        <f t="shared" ca="1" si="152"/>
        <v>1.520037894825085E-2</v>
      </c>
      <c r="Q80" s="188">
        <f t="shared" ca="1" si="152"/>
        <v>1.2107045878302344E-2</v>
      </c>
      <c r="R80" s="188">
        <f t="shared" ca="1" si="152"/>
        <v>9.5868284520014956E-3</v>
      </c>
      <c r="S80" s="188">
        <f t="shared" ca="1" si="152"/>
        <v>7.5143819031966265E-3</v>
      </c>
      <c r="T80" s="188">
        <f t="shared" ca="1" si="152"/>
        <v>5.7939081235863351E-3</v>
      </c>
      <c r="U80" s="188">
        <f t="shared" ca="1" si="152"/>
        <v>4.3512562264856579E-3</v>
      </c>
      <c r="V80" s="188">
        <f t="shared" ca="1" si="152"/>
        <v>3.1280609012442656E-3</v>
      </c>
      <c r="W80" s="188">
        <f t="shared" ca="1" si="152"/>
        <v>0</v>
      </c>
      <c r="X80" s="188">
        <f t="shared" ca="1" si="152"/>
        <v>0</v>
      </c>
      <c r="Y80" s="188">
        <f t="shared" ca="1" si="152"/>
        <v>0</v>
      </c>
      <c r="Z80" s="188">
        <f t="shared" ca="1" si="152"/>
        <v>0</v>
      </c>
      <c r="AA80" s="188">
        <f t="shared" ca="1" si="152"/>
        <v>0</v>
      </c>
      <c r="AB80" s="188">
        <f t="shared" ca="1" si="152"/>
        <v>0</v>
      </c>
      <c r="AC80" s="188">
        <f t="shared" ca="1" si="152"/>
        <v>0</v>
      </c>
      <c r="AD80" s="188">
        <f t="shared" ca="1" si="152"/>
        <v>0</v>
      </c>
      <c r="AE80" s="188">
        <f t="shared" ca="1" si="152"/>
        <v>0</v>
      </c>
      <c r="AF80" s="188">
        <f t="shared" ca="1" si="152"/>
        <v>0</v>
      </c>
      <c r="AG80" s="188">
        <f t="shared" ca="1" si="152"/>
        <v>0</v>
      </c>
      <c r="AH80" s="188">
        <f t="shared" ca="1" si="152"/>
        <v>0</v>
      </c>
      <c r="AI80" s="188">
        <f t="shared" ca="1" si="152"/>
        <v>0</v>
      </c>
      <c r="AJ80" s="188">
        <f t="shared" ca="1" si="152"/>
        <v>0</v>
      </c>
      <c r="AK80" s="188">
        <f t="shared" ca="1" si="152"/>
        <v>0</v>
      </c>
      <c r="AL80" s="188">
        <f t="shared" ca="1" si="152"/>
        <v>0</v>
      </c>
      <c r="AM80" s="188">
        <f t="shared" ca="1" si="152"/>
        <v>0</v>
      </c>
      <c r="AN80" s="188">
        <f t="shared" ca="1" si="152"/>
        <v>0</v>
      </c>
      <c r="AO80" s="188">
        <f t="shared" ref="AO80:BH80" ca="1" si="153">AO27^2*AO79</f>
        <v>0</v>
      </c>
      <c r="AP80" s="188">
        <f t="shared" ca="1" si="153"/>
        <v>0</v>
      </c>
      <c r="AQ80" s="188">
        <f t="shared" ca="1" si="153"/>
        <v>0</v>
      </c>
      <c r="AR80" s="188">
        <f t="shared" ca="1" si="153"/>
        <v>0</v>
      </c>
      <c r="AS80" s="188">
        <f t="shared" ca="1" si="153"/>
        <v>0</v>
      </c>
      <c r="AT80" s="188">
        <f t="shared" ca="1" si="153"/>
        <v>0</v>
      </c>
      <c r="AU80" s="188">
        <f t="shared" ca="1" si="153"/>
        <v>0</v>
      </c>
      <c r="AV80" s="188">
        <f t="shared" ca="1" si="153"/>
        <v>0</v>
      </c>
      <c r="AW80" s="188">
        <f t="shared" ca="1" si="153"/>
        <v>0</v>
      </c>
      <c r="AX80" s="188">
        <f t="shared" ca="1" si="153"/>
        <v>0</v>
      </c>
      <c r="AY80" s="188">
        <f t="shared" ca="1" si="153"/>
        <v>0</v>
      </c>
      <c r="AZ80" s="188">
        <f t="shared" ca="1" si="153"/>
        <v>0</v>
      </c>
      <c r="BA80" s="188">
        <f t="shared" ca="1" si="153"/>
        <v>0</v>
      </c>
      <c r="BB80" s="188">
        <f t="shared" ca="1" si="153"/>
        <v>0</v>
      </c>
      <c r="BC80" s="188">
        <f t="shared" ca="1" si="153"/>
        <v>0</v>
      </c>
      <c r="BD80" s="188">
        <f t="shared" ca="1" si="153"/>
        <v>0</v>
      </c>
      <c r="BE80" s="188">
        <f t="shared" ca="1" si="153"/>
        <v>0</v>
      </c>
      <c r="BF80" s="188">
        <f t="shared" ca="1" si="153"/>
        <v>0</v>
      </c>
      <c r="BG80" s="188">
        <f t="shared" ca="1" si="153"/>
        <v>0</v>
      </c>
      <c r="BH80" s="188">
        <f t="shared" ca="1" si="153"/>
        <v>0</v>
      </c>
      <c r="BI80" s="187" t="s">
        <v>5</v>
      </c>
      <c r="BJ80" s="169"/>
      <c r="BK80" s="99"/>
      <c r="BL80" s="99"/>
      <c r="BM80" s="99"/>
      <c r="BN80" s="99"/>
      <c r="BO80" s="99"/>
      <c r="BP80" s="230"/>
      <c r="BQ80" s="230"/>
      <c r="BR80" s="230"/>
      <c r="BS80" s="230"/>
      <c r="BT80" s="230"/>
      <c r="BU80" s="230"/>
      <c r="BV80" s="99"/>
      <c r="BW80" s="99"/>
      <c r="BX80" s="99"/>
      <c r="BY80" s="99"/>
    </row>
    <row r="81" spans="1:77" s="4" customFormat="1" x14ac:dyDescent="0.3">
      <c r="A81" s="6"/>
      <c r="B81" s="32" t="s">
        <v>155</v>
      </c>
      <c r="C81" s="53">
        <f ca="1">IF(Topology="Buck","-",MAX(J28:BG28))</f>
        <v>0.91162430656467841</v>
      </c>
      <c r="D81" s="90" t="str">
        <f>IF(Topology="Buck","","Maximum average diode current")</f>
        <v>Maximum average diode current</v>
      </c>
      <c r="E81" s="6"/>
      <c r="F81" s="21"/>
      <c r="G81" s="170"/>
      <c r="H81" s="187" t="s">
        <v>6</v>
      </c>
      <c r="I81" s="188">
        <f t="shared" ref="I81:AN81" ca="1" si="154">IF(I14=0,0,0.5*Vreg*Iout_PreReg*I19*10^3*(t_rise_boost+t_fall_boost)*10^-9)</f>
        <v>0</v>
      </c>
      <c r="J81" s="188">
        <f t="shared" ca="1" si="154"/>
        <v>0.19553600000000002</v>
      </c>
      <c r="K81" s="188">
        <f t="shared" ca="1" si="154"/>
        <v>0.19553600000000002</v>
      </c>
      <c r="L81" s="188">
        <f t="shared" ca="1" si="154"/>
        <v>0.19553600000000002</v>
      </c>
      <c r="M81" s="188">
        <f t="shared" ca="1" si="154"/>
        <v>0.19553600000000002</v>
      </c>
      <c r="N81" s="188">
        <f t="shared" ca="1" si="154"/>
        <v>0.19553600000000002</v>
      </c>
      <c r="O81" s="188">
        <f t="shared" ca="1" si="154"/>
        <v>0.19553600000000002</v>
      </c>
      <c r="P81" s="188">
        <f t="shared" ca="1" si="154"/>
        <v>0.19553600000000002</v>
      </c>
      <c r="Q81" s="188">
        <f t="shared" ca="1" si="154"/>
        <v>0.19553600000000002</v>
      </c>
      <c r="R81" s="188">
        <f t="shared" ca="1" si="154"/>
        <v>0.19553600000000002</v>
      </c>
      <c r="S81" s="188">
        <f t="shared" ca="1" si="154"/>
        <v>0.19553600000000002</v>
      </c>
      <c r="T81" s="188">
        <f t="shared" ca="1" si="154"/>
        <v>0.19553600000000002</v>
      </c>
      <c r="U81" s="188">
        <f t="shared" ca="1" si="154"/>
        <v>0.19553600000000002</v>
      </c>
      <c r="V81" s="188">
        <f t="shared" ca="1" si="154"/>
        <v>0.19553600000000002</v>
      </c>
      <c r="W81" s="188">
        <f t="shared" ca="1" si="154"/>
        <v>0</v>
      </c>
      <c r="X81" s="188">
        <f t="shared" ca="1" si="154"/>
        <v>0</v>
      </c>
      <c r="Y81" s="188">
        <f t="shared" ca="1" si="154"/>
        <v>0</v>
      </c>
      <c r="Z81" s="188">
        <f t="shared" ca="1" si="154"/>
        <v>0</v>
      </c>
      <c r="AA81" s="188">
        <f t="shared" ca="1" si="154"/>
        <v>0</v>
      </c>
      <c r="AB81" s="188">
        <f t="shared" ca="1" si="154"/>
        <v>0</v>
      </c>
      <c r="AC81" s="188">
        <f t="shared" ca="1" si="154"/>
        <v>0</v>
      </c>
      <c r="AD81" s="188">
        <f t="shared" ca="1" si="154"/>
        <v>0</v>
      </c>
      <c r="AE81" s="188">
        <f t="shared" ca="1" si="154"/>
        <v>0</v>
      </c>
      <c r="AF81" s="188">
        <f t="shared" ca="1" si="154"/>
        <v>0</v>
      </c>
      <c r="AG81" s="188">
        <f t="shared" ca="1" si="154"/>
        <v>0</v>
      </c>
      <c r="AH81" s="188">
        <f t="shared" ca="1" si="154"/>
        <v>0</v>
      </c>
      <c r="AI81" s="188">
        <f t="shared" ca="1" si="154"/>
        <v>0</v>
      </c>
      <c r="AJ81" s="188">
        <f t="shared" ca="1" si="154"/>
        <v>0</v>
      </c>
      <c r="AK81" s="188">
        <f t="shared" ca="1" si="154"/>
        <v>0</v>
      </c>
      <c r="AL81" s="188">
        <f t="shared" ca="1" si="154"/>
        <v>0</v>
      </c>
      <c r="AM81" s="188">
        <f t="shared" ca="1" si="154"/>
        <v>0</v>
      </c>
      <c r="AN81" s="188">
        <f t="shared" ca="1" si="154"/>
        <v>0</v>
      </c>
      <c r="AO81" s="188">
        <f t="shared" ref="AO81:BH81" ca="1" si="155">IF(AO14=0,0,0.5*Vreg*Iout_PreReg*AO19*10^3*(t_rise_boost+t_fall_boost)*10^-9)</f>
        <v>0</v>
      </c>
      <c r="AP81" s="188">
        <f t="shared" ca="1" si="155"/>
        <v>0</v>
      </c>
      <c r="AQ81" s="188">
        <f t="shared" ca="1" si="155"/>
        <v>0</v>
      </c>
      <c r="AR81" s="188">
        <f t="shared" ca="1" si="155"/>
        <v>0</v>
      </c>
      <c r="AS81" s="188">
        <f t="shared" ca="1" si="155"/>
        <v>0</v>
      </c>
      <c r="AT81" s="188">
        <f t="shared" ca="1" si="155"/>
        <v>0</v>
      </c>
      <c r="AU81" s="188">
        <f t="shared" ca="1" si="155"/>
        <v>0</v>
      </c>
      <c r="AV81" s="188">
        <f t="shared" ca="1" si="155"/>
        <v>0</v>
      </c>
      <c r="AW81" s="188">
        <f t="shared" ca="1" si="155"/>
        <v>0</v>
      </c>
      <c r="AX81" s="188">
        <f t="shared" ca="1" si="155"/>
        <v>0</v>
      </c>
      <c r="AY81" s="188">
        <f t="shared" ca="1" si="155"/>
        <v>0</v>
      </c>
      <c r="AZ81" s="188">
        <f t="shared" ca="1" si="155"/>
        <v>0</v>
      </c>
      <c r="BA81" s="188">
        <f t="shared" ca="1" si="155"/>
        <v>0</v>
      </c>
      <c r="BB81" s="188">
        <f t="shared" ca="1" si="155"/>
        <v>0</v>
      </c>
      <c r="BC81" s="188">
        <f t="shared" ca="1" si="155"/>
        <v>0</v>
      </c>
      <c r="BD81" s="188">
        <f t="shared" ca="1" si="155"/>
        <v>0</v>
      </c>
      <c r="BE81" s="188">
        <f t="shared" ca="1" si="155"/>
        <v>0</v>
      </c>
      <c r="BF81" s="188">
        <f t="shared" ca="1" si="155"/>
        <v>0</v>
      </c>
      <c r="BG81" s="188">
        <f t="shared" ca="1" si="155"/>
        <v>0</v>
      </c>
      <c r="BH81" s="188">
        <f t="shared" ca="1" si="155"/>
        <v>0</v>
      </c>
      <c r="BI81" s="187" t="s">
        <v>6</v>
      </c>
      <c r="BJ81" s="169"/>
      <c r="BK81" s="99"/>
      <c r="BL81" s="99"/>
      <c r="BM81" s="99"/>
      <c r="BN81" s="99"/>
      <c r="BO81" s="99"/>
      <c r="BP81" s="230"/>
      <c r="BQ81" s="230"/>
      <c r="BR81" s="230"/>
      <c r="BS81" s="230"/>
      <c r="BT81" s="230"/>
      <c r="BU81" s="230"/>
      <c r="BV81" s="99"/>
      <c r="BW81" s="99"/>
      <c r="BX81" s="99"/>
      <c r="BY81" s="99"/>
    </row>
    <row r="82" spans="1:77" s="4" customFormat="1" x14ac:dyDescent="0.3">
      <c r="A82" s="6"/>
      <c r="B82" s="78" t="s">
        <v>50</v>
      </c>
      <c r="C82" s="54">
        <f ca="1">IF(Topology="Buck","-",MAX(J76:BH76))</f>
        <v>0.3784232261143482</v>
      </c>
      <c r="D82" s="90" t="str">
        <f>IF(Topology="Buck","","Maximum diode power dissipation")</f>
        <v>Maximum diode power dissipation</v>
      </c>
      <c r="E82" s="117"/>
      <c r="F82" s="21"/>
      <c r="G82" s="170"/>
      <c r="H82" s="187" t="s">
        <v>65</v>
      </c>
      <c r="I82" s="188">
        <f ca="1">I80+I81</f>
        <v>0</v>
      </c>
      <c r="J82" s="188">
        <f ca="1">J80+J81</f>
        <v>0.25666970013945994</v>
      </c>
      <c r="K82" s="188">
        <f t="shared" ref="K82:BG82" ca="1" si="156">K80+K81</f>
        <v>0.24331626222434377</v>
      </c>
      <c r="L82" s="188">
        <f t="shared" ca="1" si="156"/>
        <v>0.23321194081393148</v>
      </c>
      <c r="M82" s="188">
        <f t="shared" ca="1" si="156"/>
        <v>0.22543613434827631</v>
      </c>
      <c r="N82" s="188">
        <f t="shared" ca="1" si="156"/>
        <v>0.21936628496154059</v>
      </c>
      <c r="O82" s="188">
        <f t="shared" ca="1" si="156"/>
        <v>0.21456925850363434</v>
      </c>
      <c r="P82" s="188">
        <f t="shared" ca="1" si="156"/>
        <v>0.21073637894825087</v>
      </c>
      <c r="Q82" s="188">
        <f t="shared" ca="1" si="156"/>
        <v>0.20764304587830235</v>
      </c>
      <c r="R82" s="188">
        <f t="shared" ca="1" si="156"/>
        <v>0.2051228284520015</v>
      </c>
      <c r="S82" s="188">
        <f t="shared" ca="1" si="156"/>
        <v>0.20305038190319663</v>
      </c>
      <c r="T82" s="188">
        <f t="shared" ca="1" si="156"/>
        <v>0.20132990812358634</v>
      </c>
      <c r="U82" s="188">
        <f t="shared" ca="1" si="156"/>
        <v>0.19988725622648568</v>
      </c>
      <c r="V82" s="188">
        <f t="shared" ca="1" si="156"/>
        <v>0.19866406090124428</v>
      </c>
      <c r="W82" s="188">
        <f t="shared" ca="1" si="156"/>
        <v>0</v>
      </c>
      <c r="X82" s="188">
        <f t="shared" ca="1" si="156"/>
        <v>0</v>
      </c>
      <c r="Y82" s="188">
        <f t="shared" ca="1" si="156"/>
        <v>0</v>
      </c>
      <c r="Z82" s="188">
        <f t="shared" ca="1" si="156"/>
        <v>0</v>
      </c>
      <c r="AA82" s="188">
        <f t="shared" ca="1" si="156"/>
        <v>0</v>
      </c>
      <c r="AB82" s="188">
        <f t="shared" ca="1" si="156"/>
        <v>0</v>
      </c>
      <c r="AC82" s="188">
        <f t="shared" ca="1" si="156"/>
        <v>0</v>
      </c>
      <c r="AD82" s="188">
        <f t="shared" ca="1" si="156"/>
        <v>0</v>
      </c>
      <c r="AE82" s="188">
        <f t="shared" ca="1" si="156"/>
        <v>0</v>
      </c>
      <c r="AF82" s="188">
        <f t="shared" ca="1" si="156"/>
        <v>0</v>
      </c>
      <c r="AG82" s="188">
        <f t="shared" ca="1" si="156"/>
        <v>0</v>
      </c>
      <c r="AH82" s="188">
        <f t="shared" ca="1" si="156"/>
        <v>0</v>
      </c>
      <c r="AI82" s="188">
        <f t="shared" ca="1" si="156"/>
        <v>0</v>
      </c>
      <c r="AJ82" s="188">
        <f t="shared" ca="1" si="156"/>
        <v>0</v>
      </c>
      <c r="AK82" s="188">
        <f t="shared" ca="1" si="156"/>
        <v>0</v>
      </c>
      <c r="AL82" s="188">
        <f t="shared" ca="1" si="156"/>
        <v>0</v>
      </c>
      <c r="AM82" s="188">
        <f t="shared" ref="AM82:AT82" ca="1" si="157">AM80+AM81</f>
        <v>0</v>
      </c>
      <c r="AN82" s="188">
        <f t="shared" ca="1" si="157"/>
        <v>0</v>
      </c>
      <c r="AO82" s="188">
        <f t="shared" ca="1" si="157"/>
        <v>0</v>
      </c>
      <c r="AP82" s="188">
        <f t="shared" ca="1" si="157"/>
        <v>0</v>
      </c>
      <c r="AQ82" s="188">
        <f t="shared" ca="1" si="157"/>
        <v>0</v>
      </c>
      <c r="AR82" s="188">
        <f t="shared" ca="1" si="157"/>
        <v>0</v>
      </c>
      <c r="AS82" s="188">
        <f t="shared" ca="1" si="157"/>
        <v>0</v>
      </c>
      <c r="AT82" s="188">
        <f t="shared" ca="1" si="157"/>
        <v>0</v>
      </c>
      <c r="AU82" s="188">
        <f t="shared" ca="1" si="156"/>
        <v>0</v>
      </c>
      <c r="AV82" s="188">
        <f t="shared" ca="1" si="156"/>
        <v>0</v>
      </c>
      <c r="AW82" s="188">
        <f t="shared" ca="1" si="156"/>
        <v>0</v>
      </c>
      <c r="AX82" s="188">
        <f t="shared" ca="1" si="156"/>
        <v>0</v>
      </c>
      <c r="AY82" s="188">
        <f t="shared" ca="1" si="156"/>
        <v>0</v>
      </c>
      <c r="AZ82" s="188">
        <f t="shared" ca="1" si="156"/>
        <v>0</v>
      </c>
      <c r="BA82" s="188">
        <f t="shared" ca="1" si="156"/>
        <v>0</v>
      </c>
      <c r="BB82" s="188">
        <f t="shared" ca="1" si="156"/>
        <v>0</v>
      </c>
      <c r="BC82" s="188">
        <f t="shared" ca="1" si="156"/>
        <v>0</v>
      </c>
      <c r="BD82" s="188">
        <f t="shared" ca="1" si="156"/>
        <v>0</v>
      </c>
      <c r="BE82" s="188">
        <f t="shared" ca="1" si="156"/>
        <v>0</v>
      </c>
      <c r="BF82" s="188">
        <f t="shared" ca="1" si="156"/>
        <v>0</v>
      </c>
      <c r="BG82" s="188">
        <f t="shared" ca="1" si="156"/>
        <v>0</v>
      </c>
      <c r="BH82" s="188">
        <f t="shared" ref="BH82" ca="1" si="158">BH80+BH81</f>
        <v>0</v>
      </c>
      <c r="BI82" s="187" t="s">
        <v>65</v>
      </c>
      <c r="BJ82" s="169"/>
      <c r="BK82" s="99"/>
      <c r="BL82" s="99"/>
      <c r="BM82" s="99"/>
      <c r="BN82" s="99"/>
      <c r="BO82" s="99"/>
      <c r="BP82" s="230"/>
      <c r="BQ82" s="230"/>
      <c r="BR82" s="230"/>
      <c r="BS82" s="230"/>
      <c r="BT82" s="230"/>
      <c r="BU82" s="230"/>
      <c r="BV82" s="99"/>
      <c r="BW82" s="99"/>
      <c r="BX82" s="99"/>
      <c r="BY82" s="99"/>
    </row>
    <row r="83" spans="1:77" s="4" customFormat="1" x14ac:dyDescent="0.3">
      <c r="A83" s="6"/>
      <c r="B83" s="78" t="s">
        <v>183</v>
      </c>
      <c r="C83" s="55">
        <f>IF(Topology="Buck","-",Vreg+4)</f>
        <v>9.35</v>
      </c>
      <c r="D83" s="90" t="str">
        <f>IF(Topology="Buck","","Select diode with higher reverse voltage rating")</f>
        <v>Select diode with higher reverse voltage rating</v>
      </c>
      <c r="E83" s="117"/>
      <c r="F83" s="21"/>
      <c r="G83" s="169"/>
      <c r="H83" s="169" t="s">
        <v>176</v>
      </c>
      <c r="I83" s="188">
        <f t="shared" ref="I83:AN83" ca="1" si="159">I21*Iout_PreReg</f>
        <v>4.444</v>
      </c>
      <c r="J83" s="188">
        <f t="shared" ca="1" si="159"/>
        <v>4.444</v>
      </c>
      <c r="K83" s="188">
        <f t="shared" ca="1" si="159"/>
        <v>4.444</v>
      </c>
      <c r="L83" s="188">
        <f t="shared" ca="1" si="159"/>
        <v>4.444</v>
      </c>
      <c r="M83" s="188">
        <f t="shared" ca="1" si="159"/>
        <v>4.444</v>
      </c>
      <c r="N83" s="188">
        <f t="shared" ca="1" si="159"/>
        <v>4.444</v>
      </c>
      <c r="O83" s="188">
        <f t="shared" ca="1" si="159"/>
        <v>4.444</v>
      </c>
      <c r="P83" s="188">
        <f t="shared" ca="1" si="159"/>
        <v>4.444</v>
      </c>
      <c r="Q83" s="188">
        <f t="shared" ca="1" si="159"/>
        <v>4.444</v>
      </c>
      <c r="R83" s="188">
        <f t="shared" ca="1" si="159"/>
        <v>4.444</v>
      </c>
      <c r="S83" s="188">
        <f t="shared" ca="1" si="159"/>
        <v>4.444</v>
      </c>
      <c r="T83" s="188">
        <f t="shared" ca="1" si="159"/>
        <v>4.444</v>
      </c>
      <c r="U83" s="188">
        <f t="shared" ca="1" si="159"/>
        <v>4.444</v>
      </c>
      <c r="V83" s="188">
        <f t="shared" ca="1" si="159"/>
        <v>4.444</v>
      </c>
      <c r="W83" s="188">
        <f t="shared" ca="1" si="159"/>
        <v>4.444</v>
      </c>
      <c r="X83" s="188">
        <f t="shared" ca="1" si="159"/>
        <v>4.444</v>
      </c>
      <c r="Y83" s="188">
        <f t="shared" ca="1" si="159"/>
        <v>4.444</v>
      </c>
      <c r="Z83" s="188">
        <f t="shared" ca="1" si="159"/>
        <v>4.444</v>
      </c>
      <c r="AA83" s="188">
        <f t="shared" ca="1" si="159"/>
        <v>4.444</v>
      </c>
      <c r="AB83" s="188">
        <f t="shared" ca="1" si="159"/>
        <v>4.444</v>
      </c>
      <c r="AC83" s="188">
        <f t="shared" ca="1" si="159"/>
        <v>4.444</v>
      </c>
      <c r="AD83" s="188">
        <f t="shared" ca="1" si="159"/>
        <v>4.444</v>
      </c>
      <c r="AE83" s="188">
        <f t="shared" ca="1" si="159"/>
        <v>4.444</v>
      </c>
      <c r="AF83" s="188">
        <f t="shared" ca="1" si="159"/>
        <v>4.444</v>
      </c>
      <c r="AG83" s="188">
        <f t="shared" ca="1" si="159"/>
        <v>4.444</v>
      </c>
      <c r="AH83" s="188">
        <f t="shared" ca="1" si="159"/>
        <v>4.444</v>
      </c>
      <c r="AI83" s="188">
        <f t="shared" ca="1" si="159"/>
        <v>4.444</v>
      </c>
      <c r="AJ83" s="188">
        <f t="shared" ca="1" si="159"/>
        <v>4.444</v>
      </c>
      <c r="AK83" s="188">
        <f t="shared" ca="1" si="159"/>
        <v>4.444</v>
      </c>
      <c r="AL83" s="188">
        <f t="shared" ca="1" si="159"/>
        <v>4.444</v>
      </c>
      <c r="AM83" s="188">
        <f t="shared" ca="1" si="159"/>
        <v>4.444</v>
      </c>
      <c r="AN83" s="188">
        <f t="shared" ca="1" si="159"/>
        <v>4.444</v>
      </c>
      <c r="AO83" s="188">
        <f t="shared" ref="AO83:BH83" ca="1" si="160">AO21*Iout_PreReg</f>
        <v>4.444</v>
      </c>
      <c r="AP83" s="188">
        <f t="shared" ca="1" si="160"/>
        <v>4.444</v>
      </c>
      <c r="AQ83" s="188">
        <f t="shared" ca="1" si="160"/>
        <v>4.444</v>
      </c>
      <c r="AR83" s="188">
        <f t="shared" ca="1" si="160"/>
        <v>4.444</v>
      </c>
      <c r="AS83" s="188">
        <f t="shared" ca="1" si="160"/>
        <v>4.444</v>
      </c>
      <c r="AT83" s="188">
        <f t="shared" ca="1" si="160"/>
        <v>4.444</v>
      </c>
      <c r="AU83" s="188">
        <f t="shared" ca="1" si="160"/>
        <v>4.444</v>
      </c>
      <c r="AV83" s="188">
        <f t="shared" ca="1" si="160"/>
        <v>4.444</v>
      </c>
      <c r="AW83" s="188">
        <f t="shared" ca="1" si="160"/>
        <v>4.444</v>
      </c>
      <c r="AX83" s="188">
        <f t="shared" ca="1" si="160"/>
        <v>4.444</v>
      </c>
      <c r="AY83" s="188">
        <f t="shared" ca="1" si="160"/>
        <v>4.444</v>
      </c>
      <c r="AZ83" s="188">
        <f t="shared" ca="1" si="160"/>
        <v>4.444</v>
      </c>
      <c r="BA83" s="188">
        <f t="shared" ca="1" si="160"/>
        <v>4.444</v>
      </c>
      <c r="BB83" s="188">
        <f t="shared" ca="1" si="160"/>
        <v>4.444</v>
      </c>
      <c r="BC83" s="188">
        <f t="shared" ca="1" si="160"/>
        <v>4.444</v>
      </c>
      <c r="BD83" s="188">
        <f t="shared" ca="1" si="160"/>
        <v>4.444</v>
      </c>
      <c r="BE83" s="188">
        <f t="shared" ca="1" si="160"/>
        <v>4.444</v>
      </c>
      <c r="BF83" s="188">
        <f t="shared" ca="1" si="160"/>
        <v>4.444</v>
      </c>
      <c r="BG83" s="188">
        <f t="shared" ca="1" si="160"/>
        <v>4.444</v>
      </c>
      <c r="BH83" s="188">
        <f t="shared" ca="1" si="160"/>
        <v>4.444</v>
      </c>
      <c r="BI83" s="187"/>
      <c r="BJ83" s="169"/>
      <c r="BK83" s="99"/>
      <c r="BL83" s="99"/>
      <c r="BM83" s="99"/>
      <c r="BN83" s="99"/>
      <c r="BO83" s="99"/>
      <c r="BP83" s="230"/>
      <c r="BQ83" s="230"/>
      <c r="BR83" s="230"/>
      <c r="BS83" s="230"/>
      <c r="BT83" s="230"/>
      <c r="BU83" s="230"/>
      <c r="BV83" s="99"/>
      <c r="BW83" s="99"/>
      <c r="BX83" s="99"/>
      <c r="BY83" s="99"/>
    </row>
    <row r="84" spans="1:77" s="4" customFormat="1" ht="15" thickBot="1" x14ac:dyDescent="0.35">
      <c r="A84" s="6"/>
      <c r="B84" s="57" t="s">
        <v>66</v>
      </c>
      <c r="C84" s="89">
        <f ca="1">IF(Topology="Buck","-",ROUNDUP(MAX(J73:BH73),0))</f>
        <v>171</v>
      </c>
      <c r="D84" s="91" t="str">
        <f ca="1">IF(Topology="Buck","",IF(C84&gt;150,"Boost diode temperature too high","Estimated worse case boost diode temperature"))</f>
        <v>Boost diode temperature too high</v>
      </c>
      <c r="E84" s="117"/>
      <c r="F84" s="21"/>
      <c r="G84" s="176"/>
      <c r="H84" s="187" t="s">
        <v>177</v>
      </c>
      <c r="I84" s="188">
        <f t="shared" ref="I84:AN84" ca="1" si="161">I82+I76+I72+I3+I24^2*dcr*10^-3</f>
        <v>1.1176928726417223</v>
      </c>
      <c r="J84" s="188">
        <f t="shared" ca="1" si="161"/>
        <v>1.8826214480798067</v>
      </c>
      <c r="K84" s="188">
        <f t="shared" ca="1" si="161"/>
        <v>1.7233516680219141</v>
      </c>
      <c r="L84" s="188">
        <f t="shared" ca="1" si="161"/>
        <v>1.6007992228992074</v>
      </c>
      <c r="M84" s="188">
        <f t="shared" ca="1" si="161"/>
        <v>1.5047392177035865</v>
      </c>
      <c r="N84" s="188">
        <f t="shared" ca="1" si="161"/>
        <v>1.4282996538093597</v>
      </c>
      <c r="O84" s="188">
        <f t="shared" ca="1" si="161"/>
        <v>1.3667886972175609</v>
      </c>
      <c r="P84" s="188">
        <f t="shared" ca="1" si="161"/>
        <v>1.3168972323709252</v>
      </c>
      <c r="Q84" s="188">
        <f t="shared" ca="1" si="161"/>
        <v>1.2762281275908776</v>
      </c>
      <c r="R84" s="188">
        <f t="shared" ca="1" si="161"/>
        <v>1.243005576172413</v>
      </c>
      <c r="S84" s="188">
        <f t="shared" ca="1" si="161"/>
        <v>1.2158888187439032</v>
      </c>
      <c r="T84" s="188">
        <f t="shared" ca="1" si="161"/>
        <v>1.1938409994238028</v>
      </c>
      <c r="U84" s="188">
        <f t="shared" ca="1" si="161"/>
        <v>1.1758157651539702</v>
      </c>
      <c r="V84" s="188">
        <f t="shared" ca="1" si="161"/>
        <v>1.1527478537159239</v>
      </c>
      <c r="W84" s="188">
        <f t="shared" ca="1" si="161"/>
        <v>0.92032583339655749</v>
      </c>
      <c r="X84" s="188">
        <f t="shared" ca="1" si="161"/>
        <v>0.93456399059204875</v>
      </c>
      <c r="Y84" s="188">
        <f t="shared" ca="1" si="161"/>
        <v>0.9482414746966733</v>
      </c>
      <c r="Z84" s="188">
        <f t="shared" ca="1" si="161"/>
        <v>0.96147078606533987</v>
      </c>
      <c r="AA84" s="188">
        <f t="shared" ca="1" si="161"/>
        <v>0.97434602279706151</v>
      </c>
      <c r="AB84" s="188">
        <f t="shared" ca="1" si="161"/>
        <v>0.98694633983328584</v>
      </c>
      <c r="AC84" s="188">
        <f t="shared" ca="1" si="161"/>
        <v>0.9993386805998612</v>
      </c>
      <c r="AD84" s="188">
        <f t="shared" ca="1" si="161"/>
        <v>1.0115799490039372</v>
      </c>
      <c r="AE84" s="188">
        <f t="shared" ca="1" si="161"/>
        <v>1.0237187477817302</v>
      </c>
      <c r="AF84" s="188">
        <f t="shared" ca="1" si="161"/>
        <v>1.0357967784928439</v>
      </c>
      <c r="AG84" s="188">
        <f t="shared" ca="1" si="161"/>
        <v>1.047849975753566</v>
      </c>
      <c r="AH84" s="188">
        <f t="shared" ca="1" si="161"/>
        <v>1.0599094313913373</v>
      </c>
      <c r="AI84" s="188">
        <f t="shared" ca="1" si="161"/>
        <v>1.0720021515182141</v>
      </c>
      <c r="AJ84" s="188">
        <f t="shared" ca="1" si="161"/>
        <v>1.084151679940967</v>
      </c>
      <c r="AK84" s="188">
        <f t="shared" ca="1" si="161"/>
        <v>1.0963786140413758</v>
      </c>
      <c r="AL84" s="188">
        <f t="shared" ca="1" si="161"/>
        <v>1.1087010336860494</v>
      </c>
      <c r="AM84" s="188">
        <f t="shared" ca="1" si="161"/>
        <v>1.1211348594326953</v>
      </c>
      <c r="AN84" s="188">
        <f t="shared" ca="1" si="161"/>
        <v>1.1336941529743976</v>
      </c>
      <c r="AO84" s="188">
        <f t="shared" ref="AO84:BH84" ca="1" si="162">AO82+AO76+AO72+AO3+AO24^2*dcr*10^-3</f>
        <v>1.1463913701723696</v>
      </c>
      <c r="AP84" s="188">
        <f t="shared" ca="1" si="162"/>
        <v>1.1592375749972912</v>
      </c>
      <c r="AQ84" s="188">
        <f t="shared" ca="1" si="162"/>
        <v>1.1722426210998824</v>
      </c>
      <c r="AR84" s="188">
        <f t="shared" ca="1" si="162"/>
        <v>1.1854153064647532</v>
      </c>
      <c r="AS84" s="188">
        <f t="shared" ca="1" si="162"/>
        <v>1.1987635055935764</v>
      </c>
      <c r="AT84" s="188">
        <f t="shared" ca="1" si="162"/>
        <v>1.2122942828575691</v>
      </c>
      <c r="AU84" s="188">
        <f t="shared" ca="1" si="162"/>
        <v>1.2260139900117286</v>
      </c>
      <c r="AV84" s="188">
        <f t="shared" ca="1" si="162"/>
        <v>1.2399283503407237</v>
      </c>
      <c r="AW84" s="188">
        <f t="shared" ca="1" si="162"/>
        <v>1.2540425314829153</v>
      </c>
      <c r="AX84" s="188">
        <f t="shared" ca="1" si="162"/>
        <v>1.2683612086343674</v>
      </c>
      <c r="AY84" s="188">
        <f t="shared" ca="1" si="162"/>
        <v>1.2828886195532254</v>
      </c>
      <c r="AZ84" s="188">
        <f t="shared" ca="1" si="162"/>
        <v>1.2976286125539296</v>
      </c>
      <c r="BA84" s="188">
        <f t="shared" ca="1" si="162"/>
        <v>1.3125846884907018</v>
      </c>
      <c r="BB84" s="188">
        <f t="shared" ca="1" si="162"/>
        <v>1.3277600375727334</v>
      </c>
      <c r="BC84" s="188">
        <f t="shared" ca="1" si="162"/>
        <v>1.3431575717233624</v>
      </c>
      <c r="BD84" s="188">
        <f t="shared" ca="1" si="162"/>
        <v>1.3587799530872606</v>
      </c>
      <c r="BE84" s="188">
        <f t="shared" ca="1" si="162"/>
        <v>1.3746296191993597</v>
      </c>
      <c r="BF84" s="188">
        <f t="shared" ca="1" si="162"/>
        <v>1.3907088052536194</v>
      </c>
      <c r="BG84" s="188">
        <f t="shared" ca="1" si="162"/>
        <v>1.4070195638462786</v>
      </c>
      <c r="BH84" s="188">
        <f t="shared" ca="1" si="162"/>
        <v>1.9694832745851434</v>
      </c>
      <c r="BI84" s="187"/>
      <c r="BJ84" s="169"/>
      <c r="BK84" s="99"/>
      <c r="BL84" s="99"/>
      <c r="BM84" s="99"/>
      <c r="BN84" s="99"/>
      <c r="BO84" s="99"/>
      <c r="BP84" s="230"/>
      <c r="BQ84" s="230"/>
      <c r="BR84" s="230"/>
      <c r="BS84" s="230"/>
      <c r="BT84" s="230"/>
      <c r="BU84" s="230"/>
      <c r="BV84" s="99"/>
      <c r="BW84" s="99"/>
      <c r="BX84" s="99"/>
      <c r="BY84" s="99"/>
    </row>
    <row r="85" spans="1:77" s="4" customFormat="1" ht="15" thickBot="1" x14ac:dyDescent="0.35">
      <c r="A85" s="6"/>
      <c r="B85" s="6"/>
      <c r="C85" s="6"/>
      <c r="D85" s="58"/>
      <c r="E85" s="59"/>
      <c r="F85" s="21"/>
      <c r="G85" s="176"/>
      <c r="H85" s="187" t="s">
        <v>178</v>
      </c>
      <c r="I85" s="193">
        <f ca="1">I83/(I83+I84)</f>
        <v>0.79903728986192024</v>
      </c>
      <c r="J85" s="193">
        <f t="shared" ref="J85:BH85" ca="1" si="163">J83/(J83+J84)</f>
        <v>0.70242862426181651</v>
      </c>
      <c r="K85" s="193">
        <f t="shared" ca="1" si="163"/>
        <v>0.72056860695043623</v>
      </c>
      <c r="L85" s="193">
        <f t="shared" ca="1" si="163"/>
        <v>0.73517743702140159</v>
      </c>
      <c r="M85" s="193">
        <f t="shared" ca="1" si="163"/>
        <v>0.74704905314634606</v>
      </c>
      <c r="N85" s="193">
        <f t="shared" ca="1" si="163"/>
        <v>0.7567733702276549</v>
      </c>
      <c r="O85" s="193">
        <f t="shared" ca="1" si="163"/>
        <v>0.76478430580825729</v>
      </c>
      <c r="P85" s="193">
        <f t="shared" ca="1" si="163"/>
        <v>0.77140761599231833</v>
      </c>
      <c r="Q85" s="193">
        <f t="shared" ca="1" si="163"/>
        <v>0.7768920925661803</v>
      </c>
      <c r="R85" s="193">
        <f t="shared" ca="1" si="163"/>
        <v>0.78143056842068259</v>
      </c>
      <c r="S85" s="193">
        <f t="shared" ca="1" si="163"/>
        <v>0.78517443404237308</v>
      </c>
      <c r="T85" s="193">
        <f t="shared" ca="1" si="163"/>
        <v>0.78824500379740836</v>
      </c>
      <c r="U85" s="193">
        <f t="shared" ca="1" si="163"/>
        <v>0.79077325409051813</v>
      </c>
      <c r="V85" s="193">
        <f t="shared" ca="1" si="163"/>
        <v>0.79403255536149187</v>
      </c>
      <c r="W85" s="193">
        <f t="shared" ca="1" si="163"/>
        <v>0.82843588141739899</v>
      </c>
      <c r="X85" s="193">
        <f t="shared" ca="1" si="163"/>
        <v>0.82624284247119717</v>
      </c>
      <c r="Y85" s="193">
        <f t="shared" ca="1" si="163"/>
        <v>0.82414706775534119</v>
      </c>
      <c r="Z85" s="193">
        <f t="shared" ca="1" si="163"/>
        <v>0.82213005598996158</v>
      </c>
      <c r="AA85" s="193">
        <f t="shared" ca="1" si="163"/>
        <v>0.82017648583209457</v>
      </c>
      <c r="AB85" s="193">
        <f t="shared" ca="1" si="163"/>
        <v>0.81827359762431717</v>
      </c>
      <c r="AC85" s="193">
        <f t="shared" ca="1" si="163"/>
        <v>0.81641071055131675</v>
      </c>
      <c r="AD85" s="193">
        <f t="shared" ca="1" si="163"/>
        <v>0.81457884249526424</v>
      </c>
      <c r="AE85" s="193">
        <f t="shared" ca="1" si="163"/>
        <v>0.81277040846384863</v>
      </c>
      <c r="AF85" s="193">
        <f t="shared" ca="1" si="163"/>
        <v>0.81097897962965548</v>
      </c>
      <c r="AG85" s="193">
        <f t="shared" ca="1" si="163"/>
        <v>0.80919908949082586</v>
      </c>
      <c r="AH85" s="193">
        <f t="shared" ca="1" si="163"/>
        <v>0.80742607693611668</v>
      </c>
      <c r="AI85" s="193">
        <f t="shared" ca="1" si="163"/>
        <v>0.80565595841488957</v>
      </c>
      <c r="AJ85" s="193">
        <f t="shared" ca="1" si="163"/>
        <v>0.80388532321303019</v>
      </c>
      <c r="AK85" s="193">
        <f t="shared" ca="1" si="163"/>
        <v>0.80211124718755766</v>
      </c>
      <c r="AL85" s="193">
        <f t="shared" ca="1" si="163"/>
        <v>0.80033122133534706</v>
      </c>
      <c r="AM85" s="193">
        <f t="shared" ca="1" si="163"/>
        <v>0.79854309235068877</v>
      </c>
      <c r="AN85" s="193">
        <f t="shared" ca="1" si="163"/>
        <v>0.79674501292441136</v>
      </c>
      <c r="AO85" s="193">
        <f t="shared" ca="1" si="163"/>
        <v>0.79493539999919138</v>
      </c>
      <c r="AP85" s="193">
        <f t="shared" ca="1" si="163"/>
        <v>0.79311289955470943</v>
      </c>
      <c r="AQ85" s="193">
        <f t="shared" ca="1" si="163"/>
        <v>0.79127635677706687</v>
      </c>
      <c r="AR85" s="193">
        <f t="shared" ca="1" si="163"/>
        <v>0.78942479068768723</v>
      </c>
      <c r="AS85" s="193">
        <f t="shared" ca="1" si="163"/>
        <v>0.7875573724815399</v>
      </c>
      <c r="AT85" s="193">
        <f t="shared" ca="1" si="163"/>
        <v>0.78567340696334553</v>
      </c>
      <c r="AU85" s="193">
        <f t="shared" ca="1" si="163"/>
        <v>0.78377231658132251</v>
      </c>
      <c r="AV85" s="193">
        <f t="shared" ca="1" si="163"/>
        <v>0.78185362764708388</v>
      </c>
      <c r="AW85" s="193">
        <f t="shared" ca="1" si="163"/>
        <v>0.7799169584021074</v>
      </c>
      <c r="AX85" s="193">
        <f t="shared" ca="1" si="163"/>
        <v>0.77796200864938136</v>
      </c>
      <c r="AY85" s="193">
        <f t="shared" ca="1" si="163"/>
        <v>0.77598855071616391</v>
      </c>
      <c r="AZ85" s="193">
        <f t="shared" ca="1" si="163"/>
        <v>0.7739964215524674</v>
      </c>
      <c r="BA85" s="193">
        <f t="shared" ca="1" si="163"/>
        <v>0.77198551580158481</v>
      </c>
      <c r="BB85" s="193">
        <f t="shared" ca="1" si="163"/>
        <v>0.76995577970509121</v>
      </c>
      <c r="BC85" s="193">
        <f t="shared" ca="1" si="163"/>
        <v>0.76790720572631954</v>
      </c>
      <c r="BD85" s="193">
        <f t="shared" ca="1" si="163"/>
        <v>0.76583982779420279</v>
      </c>
      <c r="BE85" s="193">
        <f t="shared" ca="1" si="163"/>
        <v>0.76375371708424566</v>
      </c>
      <c r="BF85" s="193">
        <f t="shared" ca="1" si="163"/>
        <v>0.76164897826581957</v>
      </c>
      <c r="BG85" s="193">
        <f t="shared" ca="1" si="163"/>
        <v>0.75952574615536783</v>
      </c>
      <c r="BH85" s="193">
        <f t="shared" ca="1" si="163"/>
        <v>0.6929151928422953</v>
      </c>
      <c r="BI85" s="187"/>
      <c r="BJ85" s="169"/>
      <c r="BK85" s="99"/>
      <c r="BL85" s="99"/>
      <c r="BM85" s="99"/>
      <c r="BN85" s="99"/>
      <c r="BO85" s="99"/>
      <c r="BP85" s="230"/>
      <c r="BQ85" s="230"/>
      <c r="BR85" s="230"/>
      <c r="BS85" s="230"/>
      <c r="BT85" s="230"/>
      <c r="BU85" s="230"/>
      <c r="BV85" s="99"/>
      <c r="BW85" s="99"/>
      <c r="BX85" s="99"/>
      <c r="BY85" s="99"/>
    </row>
    <row r="86" spans="1:77" s="4" customFormat="1" ht="16.2" thickBot="1" x14ac:dyDescent="0.35">
      <c r="A86" s="6"/>
      <c r="B86" s="130" t="s">
        <v>329</v>
      </c>
      <c r="C86" s="131"/>
      <c r="D86" s="132"/>
      <c r="E86" s="22"/>
      <c r="F86" s="21"/>
      <c r="G86" s="176"/>
      <c r="H86" s="187"/>
      <c r="I86" s="187"/>
      <c r="J86" s="171"/>
      <c r="K86" s="188"/>
      <c r="L86" s="193">
        <f ca="1">L80/L83</f>
        <v>8.4779344765822402E-3</v>
      </c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7"/>
      <c r="BJ86" s="169"/>
      <c r="BK86" s="99"/>
      <c r="BL86" s="99"/>
      <c r="BM86" s="99"/>
      <c r="BN86" s="99"/>
      <c r="BO86" s="99"/>
      <c r="BP86" s="230"/>
      <c r="BQ86" s="230"/>
      <c r="BR86" s="230"/>
      <c r="BS86" s="230"/>
      <c r="BT86" s="230"/>
      <c r="BU86" s="230"/>
      <c r="BV86" s="99"/>
      <c r="BW86" s="99"/>
      <c r="BX86" s="99"/>
      <c r="BY86" s="99"/>
    </row>
    <row r="87" spans="1:77" s="4" customFormat="1" ht="15.6" x14ac:dyDescent="0.3">
      <c r="A87" s="6"/>
      <c r="B87" s="133" t="s">
        <v>150</v>
      </c>
      <c r="C87" s="134">
        <f>ROUNDDOWN(fsw/40,0)</f>
        <v>50</v>
      </c>
      <c r="D87" s="135" t="s">
        <v>137</v>
      </c>
      <c r="E87" s="40"/>
      <c r="F87" s="60"/>
      <c r="G87" s="194" t="s">
        <v>85</v>
      </c>
      <c r="H87" s="15"/>
      <c r="I87" s="171">
        <f>I2</f>
        <v>12</v>
      </c>
      <c r="J87" s="171">
        <f>Vin_min_Buck</f>
        <v>6</v>
      </c>
      <c r="K87" s="171">
        <f t="shared" ref="K87:AP87" si="164">J87+(Vin_max-Vin_min_Buck)/49</f>
        <v>6.2448979591836737</v>
      </c>
      <c r="L87" s="171">
        <f t="shared" si="164"/>
        <v>6.4897959183673475</v>
      </c>
      <c r="M87" s="171">
        <f t="shared" si="164"/>
        <v>6.7346938775510212</v>
      </c>
      <c r="N87" s="171">
        <f t="shared" si="164"/>
        <v>6.979591836734695</v>
      </c>
      <c r="O87" s="171">
        <f t="shared" si="164"/>
        <v>7.2244897959183687</v>
      </c>
      <c r="P87" s="171">
        <f t="shared" si="164"/>
        <v>7.4693877551020424</v>
      </c>
      <c r="Q87" s="171">
        <f t="shared" si="164"/>
        <v>7.7142857142857162</v>
      </c>
      <c r="R87" s="171">
        <f t="shared" si="164"/>
        <v>7.9591836734693899</v>
      </c>
      <c r="S87" s="171">
        <f t="shared" si="164"/>
        <v>8.2040816326530628</v>
      </c>
      <c r="T87" s="171">
        <f t="shared" si="164"/>
        <v>8.4489795918367356</v>
      </c>
      <c r="U87" s="171">
        <f t="shared" si="164"/>
        <v>8.6938775510204085</v>
      </c>
      <c r="V87" s="171">
        <f t="shared" si="164"/>
        <v>8.9387755102040813</v>
      </c>
      <c r="W87" s="171">
        <f t="shared" si="164"/>
        <v>9.1836734693877542</v>
      </c>
      <c r="X87" s="171">
        <f t="shared" si="164"/>
        <v>9.428571428571427</v>
      </c>
      <c r="Y87" s="171">
        <f t="shared" si="164"/>
        <v>9.6734693877550999</v>
      </c>
      <c r="Z87" s="171">
        <f t="shared" si="164"/>
        <v>9.9183673469387728</v>
      </c>
      <c r="AA87" s="171">
        <f t="shared" si="164"/>
        <v>10.163265306122446</v>
      </c>
      <c r="AB87" s="171">
        <f t="shared" si="164"/>
        <v>10.408163265306118</v>
      </c>
      <c r="AC87" s="171">
        <f t="shared" si="164"/>
        <v>10.653061224489791</v>
      </c>
      <c r="AD87" s="171">
        <f t="shared" si="164"/>
        <v>10.897959183673464</v>
      </c>
      <c r="AE87" s="171">
        <f t="shared" si="164"/>
        <v>11.142857142857137</v>
      </c>
      <c r="AF87" s="171">
        <f t="shared" si="164"/>
        <v>11.38775510204081</v>
      </c>
      <c r="AG87" s="171">
        <f t="shared" si="164"/>
        <v>11.632653061224483</v>
      </c>
      <c r="AH87" s="171">
        <f t="shared" si="164"/>
        <v>11.877551020408156</v>
      </c>
      <c r="AI87" s="171">
        <f t="shared" si="164"/>
        <v>12.122448979591828</v>
      </c>
      <c r="AJ87" s="171">
        <f t="shared" si="164"/>
        <v>12.367346938775501</v>
      </c>
      <c r="AK87" s="171">
        <f t="shared" si="164"/>
        <v>12.612244897959174</v>
      </c>
      <c r="AL87" s="171">
        <f t="shared" si="164"/>
        <v>12.857142857142847</v>
      </c>
      <c r="AM87" s="171">
        <f t="shared" si="164"/>
        <v>13.10204081632652</v>
      </c>
      <c r="AN87" s="171">
        <f t="shared" si="164"/>
        <v>13.346938775510193</v>
      </c>
      <c r="AO87" s="171">
        <f t="shared" si="164"/>
        <v>13.591836734693866</v>
      </c>
      <c r="AP87" s="171">
        <f t="shared" si="164"/>
        <v>13.836734693877538</v>
      </c>
      <c r="AQ87" s="171">
        <f t="shared" ref="AQ87:BG87" si="165">AP87+(Vin_max-Vin_min_Buck)/49</f>
        <v>14.081632653061211</v>
      </c>
      <c r="AR87" s="171">
        <f t="shared" si="165"/>
        <v>14.326530612244884</v>
      </c>
      <c r="AS87" s="171">
        <f t="shared" si="165"/>
        <v>14.571428571428557</v>
      </c>
      <c r="AT87" s="171">
        <f t="shared" si="165"/>
        <v>14.81632653061223</v>
      </c>
      <c r="AU87" s="171">
        <f t="shared" si="165"/>
        <v>15.061224489795903</v>
      </c>
      <c r="AV87" s="171">
        <f t="shared" si="165"/>
        <v>15.306122448979576</v>
      </c>
      <c r="AW87" s="171">
        <f t="shared" si="165"/>
        <v>15.551020408163248</v>
      </c>
      <c r="AX87" s="171">
        <f t="shared" si="165"/>
        <v>15.795918367346921</v>
      </c>
      <c r="AY87" s="171">
        <f t="shared" si="165"/>
        <v>16.040816326530596</v>
      </c>
      <c r="AZ87" s="171">
        <f t="shared" si="165"/>
        <v>16.28571428571427</v>
      </c>
      <c r="BA87" s="171">
        <f t="shared" si="165"/>
        <v>16.530612244897945</v>
      </c>
      <c r="BB87" s="171">
        <f t="shared" si="165"/>
        <v>16.77551020408162</v>
      </c>
      <c r="BC87" s="171">
        <f t="shared" si="165"/>
        <v>17.020408163265294</v>
      </c>
      <c r="BD87" s="171">
        <f t="shared" si="165"/>
        <v>17.265306122448969</v>
      </c>
      <c r="BE87" s="171">
        <f t="shared" si="165"/>
        <v>17.510204081632644</v>
      </c>
      <c r="BF87" s="171">
        <f t="shared" si="165"/>
        <v>17.755102040816318</v>
      </c>
      <c r="BG87" s="171">
        <f t="shared" si="165"/>
        <v>17.999999999999993</v>
      </c>
      <c r="BH87" s="171">
        <f>BH2</f>
        <v>36</v>
      </c>
      <c r="BI87" s="15"/>
      <c r="BJ87" s="195" t="s">
        <v>85</v>
      </c>
      <c r="BK87" s="99"/>
      <c r="BL87" s="99"/>
      <c r="BM87" s="99"/>
      <c r="BN87" s="99"/>
      <c r="BO87" s="99"/>
      <c r="BP87" s="230"/>
      <c r="BQ87" s="230"/>
      <c r="BR87" s="230"/>
      <c r="BS87" s="230"/>
      <c r="BT87" s="230"/>
      <c r="BU87" s="230"/>
      <c r="BV87" s="99"/>
      <c r="BW87" s="99"/>
      <c r="BX87" s="99"/>
      <c r="BY87" s="99"/>
    </row>
    <row r="88" spans="1:77" s="4" customFormat="1" ht="15.6" x14ac:dyDescent="0.3">
      <c r="A88" s="60"/>
      <c r="B88" s="28" t="s">
        <v>138</v>
      </c>
      <c r="C88" s="27">
        <v>40</v>
      </c>
      <c r="D88" s="96" t="s">
        <v>139</v>
      </c>
      <c r="E88" s="40"/>
      <c r="F88" s="61"/>
      <c r="G88" s="170" t="s">
        <v>11</v>
      </c>
      <c r="H88" s="172" t="s">
        <v>23</v>
      </c>
      <c r="I88" s="172">
        <f t="shared" ref="I88:AN88" ca="1" si="166">I111+I115+I139+I143+I147+I151+IF(I99&lt;5,I2*Icc,I99*Icc)</f>
        <v>0.4637592981189852</v>
      </c>
      <c r="J88" s="172">
        <f t="shared" ca="1" si="166"/>
        <v>0.36556756408994112</v>
      </c>
      <c r="K88" s="172">
        <f t="shared" ca="1" si="166"/>
        <v>0.36553492154338735</v>
      </c>
      <c r="L88" s="172">
        <f t="shared" ca="1" si="166"/>
        <v>0.36601733170498629</v>
      </c>
      <c r="M88" s="172">
        <f t="shared" ca="1" si="166"/>
        <v>0.36697710366640751</v>
      </c>
      <c r="N88" s="172">
        <f t="shared" ca="1" si="166"/>
        <v>0.36838205300345289</v>
      </c>
      <c r="O88" s="172">
        <f t="shared" ca="1" si="166"/>
        <v>0.36313058259342529</v>
      </c>
      <c r="P88" s="172">
        <f t="shared" ca="1" si="166"/>
        <v>0.3655751468078895</v>
      </c>
      <c r="Q88" s="172">
        <f t="shared" ca="1" si="166"/>
        <v>0.36837793500655042</v>
      </c>
      <c r="R88" s="172">
        <f t="shared" ca="1" si="166"/>
        <v>0.37152215611838391</v>
      </c>
      <c r="S88" s="172">
        <f t="shared" ca="1" si="166"/>
        <v>0.37499306469598076</v>
      </c>
      <c r="T88" s="172">
        <f t="shared" ca="1" si="166"/>
        <v>0.37877765469890484</v>
      </c>
      <c r="U88" s="172">
        <f t="shared" ca="1" si="166"/>
        <v>0.38286440721499332</v>
      </c>
      <c r="V88" s="172">
        <f t="shared" ca="1" si="166"/>
        <v>0.38724308127387735</v>
      </c>
      <c r="W88" s="172">
        <f t="shared" ca="1" si="166"/>
        <v>0.39190453934159875</v>
      </c>
      <c r="X88" s="172">
        <f t="shared" ca="1" si="166"/>
        <v>0.39684060091998008</v>
      </c>
      <c r="Y88" s="172">
        <f t="shared" ca="1" si="166"/>
        <v>0.40204391906940784</v>
      </c>
      <c r="Z88" s="172">
        <f t="shared" ca="1" si="166"/>
        <v>0.40750787574325015</v>
      </c>
      <c r="AA88" s="172">
        <f t="shared" ca="1" si="166"/>
        <v>0.41322649264859962</v>
      </c>
      <c r="AB88" s="172">
        <f t="shared" ca="1" si="166"/>
        <v>0.4191943549914916</v>
      </c>
      <c r="AC88" s="172">
        <f t="shared" ca="1" si="166"/>
        <v>0.42540654596919353</v>
      </c>
      <c r="AD88" s="172">
        <f t="shared" ca="1" si="166"/>
        <v>0.43185859027036577</v>
      </c>
      <c r="AE88" s="172">
        <f t="shared" ca="1" si="166"/>
        <v>0.4385464051601029</v>
      </c>
      <c r="AF88" s="172">
        <f t="shared" ca="1" si="166"/>
        <v>0.44546625797961614</v>
      </c>
      <c r="AG88" s="172">
        <f t="shared" ca="1" si="166"/>
        <v>0.45261472909338452</v>
      </c>
      <c r="AH88" s="172">
        <f t="shared" ca="1" si="166"/>
        <v>0.459988679480694</v>
      </c>
      <c r="AI88" s="172">
        <f t="shared" ca="1" si="166"/>
        <v>0.46758522230178706</v>
      </c>
      <c r="AJ88" s="172">
        <f t="shared" ca="1" si="166"/>
        <v>0.47540169787761127</v>
      </c>
      <c r="AK88" s="172">
        <f t="shared" ca="1" si="166"/>
        <v>0.48343565161137425</v>
      </c>
      <c r="AL88" s="172">
        <f t="shared" ca="1" si="166"/>
        <v>0.49168481445360923</v>
      </c>
      <c r="AM88" s="172">
        <f t="shared" ca="1" si="166"/>
        <v>0.50014708557323595</v>
      </c>
      <c r="AN88" s="172">
        <f t="shared" ca="1" si="166"/>
        <v>0.50882051694762165</v>
      </c>
      <c r="AO88" s="172">
        <f t="shared" ref="AO88:BH88" ca="1" si="167">AO111+AO115+AO139+AO143+AO147+AO151+IF(AO99&lt;5,AO2*Icc,AO99*Icc)</f>
        <v>0.5177032996267581</v>
      </c>
      <c r="AP88" s="172">
        <f t="shared" ca="1" si="167"/>
        <v>0.52679375146192875</v>
      </c>
      <c r="AQ88" s="172">
        <f t="shared" ca="1" si="167"/>
        <v>0.53609030611887332</v>
      </c>
      <c r="AR88" s="172">
        <f t="shared" ca="1" si="167"/>
        <v>0.54559150322041194</v>
      </c>
      <c r="AS88" s="172">
        <f t="shared" ca="1" si="167"/>
        <v>0.55529597948464393</v>
      </c>
      <c r="AT88" s="172">
        <f t="shared" ca="1" si="167"/>
        <v>0.56520246074273151</v>
      </c>
      <c r="AU88" s="172">
        <f t="shared" ca="1" si="167"/>
        <v>0.57530975473556922</v>
      </c>
      <c r="AV88" s="172">
        <f t="shared" ca="1" si="167"/>
        <v>0.58561674460164448</v>
      </c>
      <c r="AW88" s="172">
        <f t="shared" ca="1" si="167"/>
        <v>0.59612238297955844</v>
      </c>
      <c r="AX88" s="172">
        <f t="shared" ca="1" si="167"/>
        <v>0.60682568665826064</v>
      </c>
      <c r="AY88" s="172">
        <f t="shared" ca="1" si="167"/>
        <v>0.61772573171627188</v>
      </c>
      <c r="AZ88" s="172">
        <f t="shared" ca="1" si="167"/>
        <v>0.62882164909831517</v>
      </c>
      <c r="BA88" s="172">
        <f t="shared" ca="1" si="167"/>
        <v>0.64011262058389917</v>
      </c>
      <c r="BB88" s="172">
        <f t="shared" ca="1" si="167"/>
        <v>0.65159787510776157</v>
      </c>
      <c r="BC88" s="172">
        <f t="shared" ca="1" si="167"/>
        <v>0.66327668539670492</v>
      </c>
      <c r="BD88" s="172">
        <f t="shared" ca="1" si="167"/>
        <v>0.67514836489140473</v>
      </c>
      <c r="BE88" s="172">
        <f t="shared" ca="1" si="167"/>
        <v>0.6872122649253054</v>
      </c>
      <c r="BF88" s="172">
        <f t="shared" ca="1" si="167"/>
        <v>0.6994677721357927</v>
      </c>
      <c r="BG88" s="172">
        <f t="shared" ca="1" si="167"/>
        <v>0.71191430608555706</v>
      </c>
      <c r="BH88" s="172">
        <f t="shared" ca="1" si="167"/>
        <v>1.1617385790493264</v>
      </c>
      <c r="BI88" s="196" t="s">
        <v>23</v>
      </c>
      <c r="BJ88" s="169" t="s">
        <v>11</v>
      </c>
      <c r="BK88" s="99"/>
      <c r="BL88" s="99"/>
      <c r="BM88" s="99"/>
      <c r="BN88" s="99"/>
      <c r="BO88" s="99"/>
      <c r="BP88" s="230"/>
      <c r="BQ88" s="230"/>
      <c r="BR88" s="230"/>
      <c r="BS88" s="230"/>
      <c r="BT88" s="230"/>
      <c r="BU88" s="230"/>
      <c r="BV88" s="99"/>
      <c r="BW88" s="99"/>
      <c r="BX88" s="99"/>
      <c r="BY88" s="99"/>
    </row>
    <row r="89" spans="1:77" s="4" customFormat="1" ht="15" customHeight="1" x14ac:dyDescent="0.3">
      <c r="A89" s="21"/>
      <c r="B89" s="28" t="s">
        <v>151</v>
      </c>
      <c r="C89" s="23">
        <f>Vreg/Iout_PreReg</f>
        <v>6.4407065706570643</v>
      </c>
      <c r="D89" s="96"/>
      <c r="E89" s="40"/>
      <c r="F89" s="22"/>
      <c r="G89" s="170"/>
      <c r="H89" s="167" t="s">
        <v>24</v>
      </c>
      <c r="I89" s="173">
        <f ca="1">IF(Reset=1,150,Ta+Rth_ja*I88)</f>
        <v>138.91277894356955</v>
      </c>
      <c r="J89" s="173">
        <f ca="1">IF(Reset=1,150,Ta+Rth_ja*J88)</f>
        <v>135.96702692269824</v>
      </c>
      <c r="K89" s="173">
        <f t="shared" ref="K89:AO89" ca="1" si="168">IF(Reset=1,150,Ta+Rth_ja*K88)</f>
        <v>135.96604764630163</v>
      </c>
      <c r="L89" s="173">
        <f t="shared" ca="1" si="168"/>
        <v>135.98051995114957</v>
      </c>
      <c r="M89" s="173">
        <f t="shared" ca="1" si="168"/>
        <v>136.00931310999223</v>
      </c>
      <c r="N89" s="173">
        <f t="shared" ca="1" si="168"/>
        <v>136.0514615901036</v>
      </c>
      <c r="O89" s="173">
        <f t="shared" ca="1" si="168"/>
        <v>135.89391747780274</v>
      </c>
      <c r="P89" s="173">
        <f t="shared" ca="1" si="168"/>
        <v>135.96725440423668</v>
      </c>
      <c r="Q89" s="173">
        <f t="shared" ca="1" si="168"/>
        <v>136.05133805019651</v>
      </c>
      <c r="R89" s="173">
        <f t="shared" ca="1" si="168"/>
        <v>136.14566468355153</v>
      </c>
      <c r="S89" s="173">
        <f t="shared" ca="1" si="168"/>
        <v>136.24979194087942</v>
      </c>
      <c r="T89" s="173">
        <f t="shared" ca="1" si="168"/>
        <v>136.36332964096715</v>
      </c>
      <c r="U89" s="173">
        <f t="shared" ca="1" si="168"/>
        <v>136.48593221644981</v>
      </c>
      <c r="V89" s="173">
        <f t="shared" ca="1" si="168"/>
        <v>136.61729243821631</v>
      </c>
      <c r="W89" s="173">
        <f t="shared" ca="1" si="168"/>
        <v>136.75713618024795</v>
      </c>
      <c r="X89" s="173">
        <f t="shared" ca="1" si="168"/>
        <v>136.9052180275994</v>
      </c>
      <c r="Y89" s="173">
        <f t="shared" ca="1" si="168"/>
        <v>137.06131757208223</v>
      </c>
      <c r="Z89" s="173">
        <f t="shared" ca="1" si="168"/>
        <v>137.22523627229751</v>
      </c>
      <c r="AA89" s="173">
        <f t="shared" ca="1" si="168"/>
        <v>137.39679477945799</v>
      </c>
      <c r="AB89" s="173">
        <f t="shared" ca="1" si="168"/>
        <v>137.57583064974474</v>
      </c>
      <c r="AC89" s="173">
        <f t="shared" ca="1" si="168"/>
        <v>137.76219637907582</v>
      </c>
      <c r="AD89" s="173">
        <f t="shared" ca="1" si="168"/>
        <v>137.95575770811098</v>
      </c>
      <c r="AE89" s="173">
        <f t="shared" ca="1" si="168"/>
        <v>138.15639215480309</v>
      </c>
      <c r="AF89" s="173">
        <f t="shared" ca="1" si="168"/>
        <v>138.36398773938848</v>
      </c>
      <c r="AG89" s="173">
        <f t="shared" ca="1" si="168"/>
        <v>138.57844187280153</v>
      </c>
      <c r="AH89" s="173">
        <f t="shared" ca="1" si="168"/>
        <v>138.79966038442083</v>
      </c>
      <c r="AI89" s="173">
        <f t="shared" ca="1" si="168"/>
        <v>139.02755666905361</v>
      </c>
      <c r="AJ89" s="173">
        <f t="shared" ca="1" si="168"/>
        <v>139.26205093632834</v>
      </c>
      <c r="AK89" s="173">
        <f t="shared" ca="1" si="168"/>
        <v>139.50306954834122</v>
      </c>
      <c r="AL89" s="173">
        <f t="shared" ca="1" si="168"/>
        <v>139.75054443360827</v>
      </c>
      <c r="AM89" s="173">
        <f t="shared" ca="1" si="168"/>
        <v>140.00441256719708</v>
      </c>
      <c r="AN89" s="173">
        <f t="shared" ca="1" si="168"/>
        <v>140.26461550842865</v>
      </c>
      <c r="AO89" s="173">
        <f t="shared" ca="1" si="168"/>
        <v>140.53109898880274</v>
      </c>
      <c r="AP89" s="173">
        <f t="shared" ref="AP89:BF89" ca="1" si="169">IF(Reset=1,150,Ta+Rth_ja*AP88)</f>
        <v>140.80381254385787</v>
      </c>
      <c r="AQ89" s="173">
        <f t="shared" ca="1" si="169"/>
        <v>141.08270918356621</v>
      </c>
      <c r="AR89" s="173">
        <f t="shared" ca="1" si="169"/>
        <v>141.36774509661237</v>
      </c>
      <c r="AS89" s="173">
        <f t="shared" ca="1" si="169"/>
        <v>141.65887938453932</v>
      </c>
      <c r="AT89" s="173">
        <f t="shared" ca="1" si="169"/>
        <v>141.95607382228195</v>
      </c>
      <c r="AU89" s="173">
        <f t="shared" ca="1" si="169"/>
        <v>142.25929264206707</v>
      </c>
      <c r="AV89" s="173">
        <f t="shared" ca="1" si="169"/>
        <v>142.56850233804934</v>
      </c>
      <c r="AW89" s="173">
        <f t="shared" ca="1" si="169"/>
        <v>142.88367148938676</v>
      </c>
      <c r="AX89" s="173">
        <f t="shared" ca="1" si="169"/>
        <v>143.2047705997478</v>
      </c>
      <c r="AY89" s="173">
        <f t="shared" ca="1" si="169"/>
        <v>143.53177195148817</v>
      </c>
      <c r="AZ89" s="173">
        <f t="shared" ca="1" si="169"/>
        <v>143.86464947294945</v>
      </c>
      <c r="BA89" s="173">
        <f t="shared" ca="1" si="169"/>
        <v>144.20337861751699</v>
      </c>
      <c r="BB89" s="173">
        <f t="shared" ca="1" si="169"/>
        <v>144.54793625323285</v>
      </c>
      <c r="BC89" s="173">
        <f t="shared" ca="1" si="169"/>
        <v>144.89830056190115</v>
      </c>
      <c r="BD89" s="173">
        <f t="shared" ca="1" si="169"/>
        <v>145.25445094674214</v>
      </c>
      <c r="BE89" s="173">
        <f t="shared" ca="1" si="169"/>
        <v>145.61636794775916</v>
      </c>
      <c r="BF89" s="173">
        <f t="shared" ca="1" si="169"/>
        <v>145.98403316407379</v>
      </c>
      <c r="BG89" s="173">
        <f ca="1">IF(Reset=1,150,Ta+Rth_ja*BG88)</f>
        <v>146.3574291825667</v>
      </c>
      <c r="BH89" s="173">
        <f ca="1">IF(Reset=1,150,Ta+Rth_ja*BH88)</f>
        <v>159.85215737147979</v>
      </c>
      <c r="BI89" s="15" t="s">
        <v>24</v>
      </c>
      <c r="BJ89" s="169"/>
      <c r="BK89" s="99"/>
      <c r="BL89" s="99"/>
      <c r="BM89" s="99"/>
      <c r="BN89" s="99"/>
      <c r="BO89" s="99"/>
      <c r="BP89" s="230"/>
      <c r="BQ89" s="230"/>
      <c r="BR89" s="230"/>
      <c r="BS89" s="230"/>
      <c r="BT89" s="230"/>
      <c r="BU89" s="230"/>
      <c r="BV89" s="99"/>
      <c r="BW89" s="99"/>
      <c r="BX89" s="99"/>
      <c r="BY89" s="99"/>
    </row>
    <row r="90" spans="1:77" s="4" customFormat="1" ht="15" customHeight="1" x14ac:dyDescent="0.3">
      <c r="A90" s="21"/>
      <c r="B90" s="28" t="s">
        <v>152</v>
      </c>
      <c r="C90" s="118">
        <f>wp/(2*PI())</f>
        <v>0.83433033003785873</v>
      </c>
      <c r="D90" s="96" t="s">
        <v>140</v>
      </c>
      <c r="E90" s="40"/>
      <c r="F90" s="62"/>
      <c r="G90" s="170"/>
      <c r="H90" s="167"/>
      <c r="I90" s="173"/>
      <c r="J90" s="171">
        <f>J87</f>
        <v>6</v>
      </c>
      <c r="K90" s="171">
        <f t="shared" ref="K90:BH90" si="170">K87</f>
        <v>6.2448979591836737</v>
      </c>
      <c r="L90" s="171">
        <f t="shared" si="170"/>
        <v>6.4897959183673475</v>
      </c>
      <c r="M90" s="171">
        <f t="shared" si="170"/>
        <v>6.7346938775510212</v>
      </c>
      <c r="N90" s="171">
        <f t="shared" si="170"/>
        <v>6.979591836734695</v>
      </c>
      <c r="O90" s="171">
        <f t="shared" si="170"/>
        <v>7.2244897959183687</v>
      </c>
      <c r="P90" s="171">
        <f t="shared" si="170"/>
        <v>7.4693877551020424</v>
      </c>
      <c r="Q90" s="171">
        <f t="shared" si="170"/>
        <v>7.7142857142857162</v>
      </c>
      <c r="R90" s="171">
        <f t="shared" si="170"/>
        <v>7.9591836734693899</v>
      </c>
      <c r="S90" s="171">
        <f t="shared" si="170"/>
        <v>8.2040816326530628</v>
      </c>
      <c r="T90" s="171">
        <f t="shared" si="170"/>
        <v>8.4489795918367356</v>
      </c>
      <c r="U90" s="171">
        <f t="shared" si="170"/>
        <v>8.6938775510204085</v>
      </c>
      <c r="V90" s="171">
        <f t="shared" si="170"/>
        <v>8.9387755102040813</v>
      </c>
      <c r="W90" s="171">
        <f t="shared" si="170"/>
        <v>9.1836734693877542</v>
      </c>
      <c r="X90" s="171">
        <f t="shared" si="170"/>
        <v>9.428571428571427</v>
      </c>
      <c r="Y90" s="171">
        <f t="shared" si="170"/>
        <v>9.6734693877550999</v>
      </c>
      <c r="Z90" s="171">
        <f t="shared" si="170"/>
        <v>9.9183673469387728</v>
      </c>
      <c r="AA90" s="171">
        <f t="shared" si="170"/>
        <v>10.163265306122446</v>
      </c>
      <c r="AB90" s="171">
        <f t="shared" si="170"/>
        <v>10.408163265306118</v>
      </c>
      <c r="AC90" s="171">
        <f t="shared" si="170"/>
        <v>10.653061224489791</v>
      </c>
      <c r="AD90" s="171">
        <f t="shared" si="170"/>
        <v>10.897959183673464</v>
      </c>
      <c r="AE90" s="171">
        <f t="shared" si="170"/>
        <v>11.142857142857137</v>
      </c>
      <c r="AF90" s="171">
        <f t="shared" si="170"/>
        <v>11.38775510204081</v>
      </c>
      <c r="AG90" s="171">
        <f t="shared" si="170"/>
        <v>11.632653061224483</v>
      </c>
      <c r="AH90" s="171">
        <f t="shared" si="170"/>
        <v>11.877551020408156</v>
      </c>
      <c r="AI90" s="171">
        <f t="shared" si="170"/>
        <v>12.122448979591828</v>
      </c>
      <c r="AJ90" s="171">
        <f t="shared" si="170"/>
        <v>12.367346938775501</v>
      </c>
      <c r="AK90" s="171">
        <f t="shared" si="170"/>
        <v>12.612244897959174</v>
      </c>
      <c r="AL90" s="171">
        <f t="shared" si="170"/>
        <v>12.857142857142847</v>
      </c>
      <c r="AM90" s="171">
        <f t="shared" si="170"/>
        <v>13.10204081632652</v>
      </c>
      <c r="AN90" s="171">
        <f t="shared" si="170"/>
        <v>13.346938775510193</v>
      </c>
      <c r="AO90" s="171">
        <f t="shared" si="170"/>
        <v>13.591836734693866</v>
      </c>
      <c r="AP90" s="171">
        <f t="shared" si="170"/>
        <v>13.836734693877538</v>
      </c>
      <c r="AQ90" s="171">
        <f t="shared" si="170"/>
        <v>14.081632653061211</v>
      </c>
      <c r="AR90" s="171">
        <f t="shared" si="170"/>
        <v>14.326530612244884</v>
      </c>
      <c r="AS90" s="171">
        <f t="shared" si="170"/>
        <v>14.571428571428557</v>
      </c>
      <c r="AT90" s="171">
        <f t="shared" si="170"/>
        <v>14.81632653061223</v>
      </c>
      <c r="AU90" s="171">
        <f t="shared" si="170"/>
        <v>15.061224489795903</v>
      </c>
      <c r="AV90" s="171">
        <f t="shared" si="170"/>
        <v>15.306122448979576</v>
      </c>
      <c r="AW90" s="171">
        <f t="shared" si="170"/>
        <v>15.551020408163248</v>
      </c>
      <c r="AX90" s="171">
        <f t="shared" si="170"/>
        <v>15.795918367346921</v>
      </c>
      <c r="AY90" s="171">
        <f t="shared" si="170"/>
        <v>16.040816326530596</v>
      </c>
      <c r="AZ90" s="171">
        <f t="shared" si="170"/>
        <v>16.28571428571427</v>
      </c>
      <c r="BA90" s="171">
        <f t="shared" si="170"/>
        <v>16.530612244897945</v>
      </c>
      <c r="BB90" s="171">
        <f t="shared" si="170"/>
        <v>16.77551020408162</v>
      </c>
      <c r="BC90" s="171">
        <f t="shared" si="170"/>
        <v>17.020408163265294</v>
      </c>
      <c r="BD90" s="171">
        <f t="shared" si="170"/>
        <v>17.265306122448969</v>
      </c>
      <c r="BE90" s="171">
        <f t="shared" si="170"/>
        <v>17.510204081632644</v>
      </c>
      <c r="BF90" s="171">
        <f t="shared" si="170"/>
        <v>17.755102040816318</v>
      </c>
      <c r="BG90" s="171">
        <f t="shared" si="170"/>
        <v>17.999999999999993</v>
      </c>
      <c r="BH90" s="171">
        <f t="shared" si="170"/>
        <v>36</v>
      </c>
      <c r="BI90" s="15"/>
      <c r="BJ90" s="169"/>
      <c r="BK90" s="99"/>
      <c r="BL90" s="99"/>
      <c r="BM90" s="99"/>
      <c r="BN90" s="99"/>
      <c r="BO90" s="99"/>
      <c r="BP90" s="230"/>
      <c r="BQ90" s="230"/>
      <c r="BR90" s="230"/>
      <c r="BS90" s="230"/>
      <c r="BT90" s="230"/>
      <c r="BU90" s="230"/>
      <c r="BV90" s="99"/>
      <c r="BW90" s="99"/>
      <c r="BX90" s="99"/>
      <c r="BY90" s="99"/>
    </row>
    <row r="91" spans="1:77" s="4" customFormat="1" ht="15" customHeight="1" x14ac:dyDescent="0.3">
      <c r="A91" s="21"/>
      <c r="B91" s="28" t="s">
        <v>153</v>
      </c>
      <c r="C91" s="118">
        <f>wz/(2*PI())</f>
        <v>6241.3703173292288</v>
      </c>
      <c r="D91" s="96" t="s">
        <v>141</v>
      </c>
      <c r="E91" s="40"/>
      <c r="F91" s="63"/>
      <c r="G91" s="170"/>
      <c r="H91" s="15" t="s">
        <v>56</v>
      </c>
      <c r="I91" s="171">
        <f ca="1">IF(Reset=1,I2-Vreg,I2-Iout_PreReg*(I108+dcr*10^-3)-Vreg)</f>
        <v>6.4746243999477855</v>
      </c>
      <c r="J91" s="171">
        <f t="shared" ref="J91:AO91" ca="1" si="171">IF(Reset=1,J87-Vreg,J87-Iout_PreReg*(J108+dcr*10^-3)-Vreg)</f>
        <v>0.46522089088689178</v>
      </c>
      <c r="K91" s="171">
        <f t="shared" ca="1" si="171"/>
        <v>0.71011927913174056</v>
      </c>
      <c r="L91" s="171">
        <f t="shared" ca="1" si="171"/>
        <v>0.95501089740478307</v>
      </c>
      <c r="M91" s="171">
        <f t="shared" ca="1" si="171"/>
        <v>1.1998962411240282</v>
      </c>
      <c r="N91" s="171">
        <f t="shared" ca="1" si="171"/>
        <v>1.4447757333289841</v>
      </c>
      <c r="O91" s="171">
        <f t="shared" ca="1" si="171"/>
        <v>1.7004419463425338</v>
      </c>
      <c r="P91" s="171">
        <f t="shared" ca="1" si="171"/>
        <v>1.9453076506049021</v>
      </c>
      <c r="Q91" s="171">
        <f t="shared" ca="1" si="171"/>
        <v>2.190168628263506</v>
      </c>
      <c r="R91" s="171">
        <f t="shared" ca="1" si="171"/>
        <v>2.4350251008689474</v>
      </c>
      <c r="S91" s="171">
        <f t="shared" ca="1" si="171"/>
        <v>2.6798772629807477</v>
      </c>
      <c r="T91" s="171">
        <f t="shared" ca="1" si="171"/>
        <v>2.9247252862077406</v>
      </c>
      <c r="U91" s="171">
        <f t="shared" ca="1" si="171"/>
        <v>3.1695693225367716</v>
      </c>
      <c r="V91" s="171">
        <f t="shared" ca="1" si="171"/>
        <v>3.414409507092822</v>
      </c>
      <c r="W91" s="171">
        <f t="shared" ca="1" si="171"/>
        <v>3.6592459604415275</v>
      </c>
      <c r="X91" s="171">
        <f t="shared" ca="1" si="171"/>
        <v>3.9040787905208703</v>
      </c>
      <c r="Y91" s="171">
        <f t="shared" ca="1" si="171"/>
        <v>4.1489080942704</v>
      </c>
      <c r="Z91" s="171">
        <f t="shared" ca="1" si="171"/>
        <v>4.3937339590122555</v>
      </c>
      <c r="AA91" s="171">
        <f t="shared" ca="1" si="171"/>
        <v>4.638556463627312</v>
      </c>
      <c r="AB91" s="171">
        <f t="shared" ca="1" si="171"/>
        <v>4.8833756795613343</v>
      </c>
      <c r="AC91" s="171">
        <f t="shared" ca="1" si="171"/>
        <v>5.1281916716893114</v>
      </c>
      <c r="AD91" s="171">
        <f t="shared" ca="1" si="171"/>
        <v>5.3730044990609596</v>
      </c>
      <c r="AE91" s="171">
        <f t="shared" ca="1" si="171"/>
        <v>5.6178142155461188</v>
      </c>
      <c r="AF91" s="171">
        <f t="shared" ca="1" si="171"/>
        <v>5.862620870395542</v>
      </c>
      <c r="AG91" s="171">
        <f t="shared" ca="1" si="171"/>
        <v>6.1074245087297712</v>
      </c>
      <c r="AH91" s="171">
        <f t="shared" ca="1" si="171"/>
        <v>6.3522251719667722</v>
      </c>
      <c r="AI91" s="171">
        <f t="shared" ca="1" si="171"/>
        <v>6.5970228981970891</v>
      </c>
      <c r="AJ91" s="171">
        <f t="shared" ca="1" si="171"/>
        <v>6.8418177225139871</v>
      </c>
      <c r="AK91" s="171">
        <f t="shared" ca="1" si="171"/>
        <v>7.0866096773047644</v>
      </c>
      <c r="AL91" s="171">
        <f t="shared" ca="1" si="171"/>
        <v>7.3313987925085016</v>
      </c>
      <c r="AM91" s="171">
        <f t="shared" ca="1" si="171"/>
        <v>7.5761850958447194</v>
      </c>
      <c r="AN91" s="171">
        <f t="shared" ca="1" si="171"/>
        <v>7.8209686130166958</v>
      </c>
      <c r="AO91" s="171">
        <f t="shared" ca="1" si="171"/>
        <v>8.0657493678927086</v>
      </c>
      <c r="AP91" s="171">
        <f t="shared" ref="AP91:BH91" ca="1" si="172">IF(Reset=1,AP87-Vreg,AP87-Iout_PreReg*(AP108+dcr*10^-3)-Vreg)</f>
        <v>8.3105273826679529</v>
      </c>
      <c r="AQ91" s="171">
        <f t="shared" ca="1" si="172"/>
        <v>8.5553026780095021</v>
      </c>
      <c r="AR91" s="171">
        <f t="shared" ca="1" si="172"/>
        <v>8.8000752731863709</v>
      </c>
      <c r="AS91" s="171">
        <f t="shared" ca="1" si="172"/>
        <v>9.0448451861864516</v>
      </c>
      <c r="AT91" s="171">
        <f t="shared" ca="1" si="172"/>
        <v>9.2896124338218264</v>
      </c>
      <c r="AU91" s="171">
        <f t="shared" ca="1" si="172"/>
        <v>9.5343770318238139</v>
      </c>
      <c r="AV91" s="171">
        <f t="shared" ca="1" si="172"/>
        <v>9.7791389949288998</v>
      </c>
      <c r="AW91" s="171">
        <f t="shared" ca="1" si="172"/>
        <v>10.023898336956544</v>
      </c>
      <c r="AX91" s="171">
        <f t="shared" ca="1" si="172"/>
        <v>10.268655070879774</v>
      </c>
      <c r="AY91" s="171">
        <f t="shared" ca="1" si="172"/>
        <v>10.513409208889316</v>
      </c>
      <c r="AZ91" s="171">
        <f t="shared" ca="1" si="172"/>
        <v>10.75816076245196</v>
      </c>
      <c r="BA91" s="171">
        <f t="shared" ca="1" si="172"/>
        <v>11.002909742363761</v>
      </c>
      <c r="BB91" s="171">
        <f t="shared" ca="1" si="172"/>
        <v>11.247656158798572</v>
      </c>
      <c r="BC91" s="171">
        <f t="shared" ca="1" si="172"/>
        <v>11.492400021352433</v>
      </c>
      <c r="BD91" s="171">
        <f t="shared" ca="1" si="172"/>
        <v>11.737141339084191</v>
      </c>
      <c r="BE91" s="171">
        <f t="shared" ca="1" si="172"/>
        <v>11.981880120552704</v>
      </c>
      <c r="BF91" s="171">
        <f t="shared" ca="1" si="172"/>
        <v>12.226616373851018</v>
      </c>
      <c r="BG91" s="171">
        <f t="shared" ca="1" si="172"/>
        <v>12.471350106637734</v>
      </c>
      <c r="BH91" s="171">
        <f t="shared" ca="1" si="172"/>
        <v>30.465414878411927</v>
      </c>
      <c r="BI91" s="15" t="s">
        <v>56</v>
      </c>
      <c r="BJ91" s="169"/>
      <c r="BK91" s="99"/>
      <c r="BL91" s="99"/>
      <c r="BM91" s="99"/>
      <c r="BN91" s="99"/>
      <c r="BO91" s="99"/>
      <c r="BP91" s="230"/>
      <c r="BQ91" s="230"/>
      <c r="BR91" s="230"/>
      <c r="BS91" s="230"/>
      <c r="BT91" s="230"/>
      <c r="BU91" s="230"/>
      <c r="BV91" s="99"/>
      <c r="BW91" s="99"/>
      <c r="BX91" s="99"/>
      <c r="BY91" s="99"/>
    </row>
    <row r="92" spans="1:77" s="4" customFormat="1" ht="15.6" x14ac:dyDescent="0.3">
      <c r="A92" s="21"/>
      <c r="B92" s="28" t="s">
        <v>154</v>
      </c>
      <c r="C92" s="119">
        <f>IF(fz_1&gt;10*fc,MAX(fsw/2,5*fc),fz_1)</f>
        <v>1000</v>
      </c>
      <c r="D92" s="96"/>
      <c r="E92" s="40"/>
      <c r="F92" s="64"/>
      <c r="G92" s="170"/>
      <c r="H92" s="15" t="s">
        <v>58</v>
      </c>
      <c r="I92" s="171">
        <f ca="1">IF(Reset=1,Vreg,Vreg+I154+Iout_PreReg*dcr*10^-3)</f>
        <v>5.7283513264479415</v>
      </c>
      <c r="J92" s="171">
        <f t="shared" ref="J92:AN92" ca="1" si="173">IF(Reset=1,Vreg,Vreg+J154+Iout_PreReg*dcr*10^-3)</f>
        <v>5.7471307201225654</v>
      </c>
      <c r="K92" s="171">
        <f t="shared" ca="1" si="173"/>
        <v>5.745611884742778</v>
      </c>
      <c r="L92" s="171">
        <f t="shared" ca="1" si="173"/>
        <v>5.7442147659763343</v>
      </c>
      <c r="M92" s="171">
        <f t="shared" ca="1" si="173"/>
        <v>5.7429253577081312</v>
      </c>
      <c r="N92" s="171">
        <f t="shared" ca="1" si="173"/>
        <v>5.74173171491449</v>
      </c>
      <c r="O92" s="171">
        <f t="shared" ca="1" si="173"/>
        <v>5.7405765752437228</v>
      </c>
      <c r="P92" s="171">
        <f t="shared" ca="1" si="173"/>
        <v>5.739548332578801</v>
      </c>
      <c r="Q92" s="171">
        <f t="shared" ca="1" si="173"/>
        <v>5.7385887827215178</v>
      </c>
      <c r="R92" s="171">
        <f t="shared" ca="1" si="173"/>
        <v>5.7376912849199169</v>
      </c>
      <c r="S92" s="171">
        <f t="shared" ca="1" si="173"/>
        <v>5.7368500252765786</v>
      </c>
      <c r="T92" s="171">
        <f t="shared" ca="1" si="173"/>
        <v>5.7360598922848514</v>
      </c>
      <c r="U92" s="171">
        <f t="shared" ca="1" si="173"/>
        <v>5.7353163741329736</v>
      </c>
      <c r="V92" s="171">
        <f t="shared" ca="1" si="173"/>
        <v>5.734615473471151</v>
      </c>
      <c r="W92" s="171">
        <f t="shared" ca="1" si="173"/>
        <v>5.733953636280626</v>
      </c>
      <c r="X92" s="171">
        <f t="shared" ca="1" si="173"/>
        <v>5.733327692201625</v>
      </c>
      <c r="Y92" s="171">
        <f t="shared" ca="1" si="173"/>
        <v>5.7327348042272828</v>
      </c>
      <c r="Z92" s="171">
        <f t="shared" ca="1" si="173"/>
        <v>5.7321724260955458</v>
      </c>
      <c r="AA92" s="171">
        <f t="shared" ca="1" si="173"/>
        <v>5.7316382660414735</v>
      </c>
      <c r="AB92" s="171">
        <f t="shared" ca="1" si="173"/>
        <v>5.7311302558310713</v>
      </c>
      <c r="AC92" s="171">
        <f t="shared" ca="1" si="173"/>
        <v>5.7306465242016351</v>
      </c>
      <c r="AD92" s="171">
        <f t="shared" ca="1" si="173"/>
        <v>5.7301853739951616</v>
      </c>
      <c r="AE92" s="171">
        <f t="shared" ca="1" si="173"/>
        <v>5.7297452624001979</v>
      </c>
      <c r="AF92" s="171">
        <f t="shared" ca="1" si="173"/>
        <v>5.7293247838208075</v>
      </c>
      <c r="AG92" s="171">
        <f t="shared" ca="1" si="173"/>
        <v>5.7289226549744967</v>
      </c>
      <c r="AH92" s="171">
        <f t="shared" ca="1" si="173"/>
        <v>5.7285377018884045</v>
      </c>
      <c r="AI92" s="171">
        <f t="shared" ca="1" si="173"/>
        <v>5.7281688485178632</v>
      </c>
      <c r="AJ92" s="171">
        <f t="shared" ca="1" si="173"/>
        <v>5.7278151067562826</v>
      </c>
      <c r="AK92" s="171">
        <f t="shared" ca="1" si="173"/>
        <v>5.7274755676421316</v>
      </c>
      <c r="AL92" s="171">
        <f t="shared" ca="1" si="173"/>
        <v>5.7271493935991185</v>
      </c>
      <c r="AM92" s="171">
        <f t="shared" ca="1" si="173"/>
        <v>5.7268358115708144</v>
      </c>
      <c r="AN92" s="171">
        <f t="shared" ca="1" si="173"/>
        <v>5.7265341069318252</v>
      </c>
      <c r="AO92" s="171">
        <f t="shared" ref="AO92:BH92" ca="1" si="174">IF(Reset=1,Vreg,Vreg+AO154+Iout_PreReg*dcr*10^-3)</f>
        <v>5.7262436180750411</v>
      </c>
      <c r="AP92" s="171">
        <f t="shared" ca="1" si="174"/>
        <v>5.7259637315890508</v>
      </c>
      <c r="AQ92" s="171">
        <f t="shared" ca="1" si="174"/>
        <v>5.7256938779520672</v>
      </c>
      <c r="AR92" s="171">
        <f t="shared" ca="1" si="174"/>
        <v>5.7254335276790123</v>
      </c>
      <c r="AS92" s="171">
        <f t="shared" ca="1" si="174"/>
        <v>5.7251821878671221</v>
      </c>
      <c r="AT92" s="171">
        <f t="shared" ca="1" si="174"/>
        <v>5.7249393990928557</v>
      </c>
      <c r="AU92" s="171">
        <f t="shared" ca="1" si="174"/>
        <v>5.7247047326191316</v>
      </c>
      <c r="AV92" s="171">
        <f t="shared" ca="1" si="174"/>
        <v>5.7244777878773299</v>
      </c>
      <c r="AW92" s="171">
        <f t="shared" ca="1" si="174"/>
        <v>5.7242581901930381</v>
      </c>
      <c r="AX92" s="171">
        <f t="shared" ca="1" si="174"/>
        <v>5.7240455887284725</v>
      </c>
      <c r="AY92" s="171">
        <f t="shared" ca="1" si="174"/>
        <v>5.7238396546179002</v>
      </c>
      <c r="AZ92" s="171">
        <f t="shared" ca="1" si="174"/>
        <v>5.7236400792752544</v>
      </c>
      <c r="BA92" s="171">
        <f t="shared" ca="1" si="174"/>
        <v>5.7234465728557122</v>
      </c>
      <c r="BB92" s="171">
        <f t="shared" ca="1" si="174"/>
        <v>5.7232588628551255</v>
      </c>
      <c r="BC92" s="171">
        <f t="shared" ca="1" si="174"/>
        <v>5.7230766928331294</v>
      </c>
      <c r="BD92" s="171">
        <f t="shared" ca="1" si="174"/>
        <v>5.722899821247375</v>
      </c>
      <c r="BE92" s="171">
        <f t="shared" ca="1" si="174"/>
        <v>5.7227280203877671</v>
      </c>
      <c r="BF92" s="171">
        <f t="shared" ca="1" si="174"/>
        <v>5.7225610754008516</v>
      </c>
      <c r="BG92" s="171">
        <f t="shared" ca="1" si="174"/>
        <v>5.7223987833955832</v>
      </c>
      <c r="BH92" s="171">
        <f t="shared" ca="1" si="174"/>
        <v>5.7165870491100774</v>
      </c>
      <c r="BI92" s="15" t="s">
        <v>58</v>
      </c>
      <c r="BJ92" s="169"/>
      <c r="BK92" s="99"/>
      <c r="BL92" s="99"/>
      <c r="BM92" s="99"/>
      <c r="BN92" s="99"/>
      <c r="BO92" s="99"/>
      <c r="BP92" s="230"/>
      <c r="BQ92" s="230"/>
      <c r="BR92" s="230"/>
      <c r="BS92" s="230"/>
      <c r="BT92" s="230"/>
      <c r="BU92" s="230"/>
      <c r="BV92" s="99"/>
      <c r="BW92" s="99"/>
      <c r="BX92" s="99"/>
      <c r="BY92" s="99"/>
    </row>
    <row r="93" spans="1:77" s="4" customFormat="1" x14ac:dyDescent="0.3">
      <c r="A93" s="21"/>
      <c r="B93" s="28" t="s">
        <v>142</v>
      </c>
      <c r="C93" s="24">
        <f>fc*10^3*Vreg/VFB*2*PI()*Co_tot*10^-6/(gm_POWER1*gm_EA1*10^-6)*10^-3</f>
        <v>21.165026062517903</v>
      </c>
      <c r="D93" s="96" t="s">
        <v>143</v>
      </c>
      <c r="E93" s="147">
        <f>10^(-1*Gain1_at_fco/20)/(gm_EA1*10^-6)*10^-3/FB_Gain1</f>
        <v>21.202682174493869</v>
      </c>
      <c r="F93" s="64"/>
      <c r="G93" s="170"/>
      <c r="H93" s="15" t="s">
        <v>86</v>
      </c>
      <c r="I93" s="177">
        <f ca="1">IF(Reset=1,Vreg/I2,I92/(I91+I92))</f>
        <v>0.46942249619141607</v>
      </c>
      <c r="J93" s="177">
        <f t="shared" ref="J93:AO93" ca="1" si="175">IF(Reset=1,Vreg/J87,J92/(J91+J92))</f>
        <v>0.92511356085150864</v>
      </c>
      <c r="K93" s="177">
        <f t="shared" ca="1" si="175"/>
        <v>0.89000172697625934</v>
      </c>
      <c r="L93" s="177">
        <f t="shared" ca="1" si="175"/>
        <v>0.85744458458460315</v>
      </c>
      <c r="M93" s="177">
        <f t="shared" ca="1" si="175"/>
        <v>0.82717455373966964</v>
      </c>
      <c r="N93" s="177">
        <f t="shared" ca="1" si="175"/>
        <v>0.79895996160386418</v>
      </c>
      <c r="O93" s="177">
        <f t="shared" ca="1" si="175"/>
        <v>0.77147725927444166</v>
      </c>
      <c r="P93" s="177">
        <f t="shared" ca="1" si="175"/>
        <v>0.7468647877251442</v>
      </c>
      <c r="Q93" s="177">
        <f t="shared" ca="1" si="175"/>
        <v>0.72376899497150693</v>
      </c>
      <c r="R93" s="177">
        <f t="shared" ca="1" si="175"/>
        <v>0.70205437385505109</v>
      </c>
      <c r="S93" s="177">
        <f t="shared" ca="1" si="175"/>
        <v>0.68160103432130881</v>
      </c>
      <c r="T93" s="177">
        <f t="shared" ca="1" si="175"/>
        <v>0.66230252501000275</v>
      </c>
      <c r="U93" s="177">
        <f t="shared" ca="1" si="175"/>
        <v>0.64406400817450937</v>
      </c>
      <c r="V93" s="177">
        <f t="shared" ca="1" si="175"/>
        <v>0.62680072309931034</v>
      </c>
      <c r="W93" s="177">
        <f t="shared" ca="1" si="175"/>
        <v>0.6104366863748476</v>
      </c>
      <c r="X93" s="177">
        <f t="shared" ca="1" si="175"/>
        <v>0.59490358764882179</v>
      </c>
      <c r="Y93" s="177">
        <f t="shared" ca="1" si="175"/>
        <v>0.58013984750438985</v>
      </c>
      <c r="Z93" s="177">
        <f t="shared" ca="1" si="175"/>
        <v>0.56608981044164774</v>
      </c>
      <c r="AA93" s="177">
        <f t="shared" ca="1" si="175"/>
        <v>0.55270305095076422</v>
      </c>
      <c r="AB93" s="177">
        <f t="shared" ca="1" si="175"/>
        <v>0.53993377465846215</v>
      </c>
      <c r="AC93" s="177">
        <f t="shared" ca="1" si="175"/>
        <v>0.52774029972839531</v>
      </c>
      <c r="AD93" s="177">
        <f t="shared" ca="1" si="175"/>
        <v>0.51608460627161601</v>
      </c>
      <c r="AE93" s="177">
        <f t="shared" ca="1" si="175"/>
        <v>0.50493194360741689</v>
      </c>
      <c r="AF93" s="177">
        <f t="shared" ca="1" si="175"/>
        <v>0.49425048690914752</v>
      </c>
      <c r="AG93" s="177">
        <f t="shared" ca="1" si="175"/>
        <v>0.48401103615328483</v>
      </c>
      <c r="AH93" s="177">
        <f t="shared" ca="1" si="175"/>
        <v>0.47418675142493966</v>
      </c>
      <c r="AI93" s="177">
        <f t="shared" ca="1" si="175"/>
        <v>0.46475291956772991</v>
      </c>
      <c r="AJ93" s="177">
        <f t="shared" ca="1" si="175"/>
        <v>0.45568674793890629</v>
      </c>
      <c r="AK93" s="177">
        <f t="shared" ca="1" si="175"/>
        <v>0.44696718167226984</v>
      </c>
      <c r="AL93" s="177">
        <f t="shared" ca="1" si="175"/>
        <v>0.43857474138602676</v>
      </c>
      <c r="AM93" s="177">
        <f t="shared" ca="1" si="175"/>
        <v>0.43049137871973814</v>
      </c>
      <c r="AN93" s="177">
        <f t="shared" ca="1" si="175"/>
        <v>0.42270034745957852</v>
      </c>
      <c r="AO93" s="177">
        <f t="shared" ca="1" si="175"/>
        <v>0.41518608832683113</v>
      </c>
      <c r="AP93" s="177">
        <f t="shared" ref="AP93:BH93" ca="1" si="176">IF(Reset=1,Vreg/AP87,AP92/(AP91+AP92))</f>
        <v>0.40793412577115745</v>
      </c>
      <c r="AQ93" s="177">
        <f t="shared" ca="1" si="176"/>
        <v>0.40093097533602373</v>
      </c>
      <c r="AR93" s="177">
        <f t="shared" ca="1" si="176"/>
        <v>0.39416406035552498</v>
      </c>
      <c r="AS93" s="177">
        <f t="shared" ca="1" si="176"/>
        <v>0.38762163690532614</v>
      </c>
      <c r="AT93" s="177">
        <f t="shared" ca="1" si="176"/>
        <v>0.38129272607010001</v>
      </c>
      <c r="AU93" s="177">
        <f t="shared" ca="1" si="176"/>
        <v>0.37516705270948653</v>
      </c>
      <c r="AV93" s="177">
        <f t="shared" ca="1" si="176"/>
        <v>0.36923499000735566</v>
      </c>
      <c r="AW93" s="177">
        <f t="shared" ca="1" si="176"/>
        <v>0.36348750917763001</v>
      </c>
      <c r="AX93" s="177">
        <f t="shared" ca="1" si="176"/>
        <v>0.35791613377628789</v>
      </c>
      <c r="AY93" s="177">
        <f t="shared" ca="1" si="176"/>
        <v>0.35251289813523012</v>
      </c>
      <c r="AZ93" s="177">
        <f t="shared" ca="1" si="176"/>
        <v>0.34727030949097698</v>
      </c>
      <c r="BA93" s="177">
        <f t="shared" ca="1" si="176"/>
        <v>0.34218131343094088</v>
      </c>
      <c r="BB93" s="177">
        <f t="shared" ca="1" si="176"/>
        <v>0.33723926232337204</v>
      </c>
      <c r="BC93" s="177">
        <f t="shared" ca="1" si="176"/>
        <v>0.33243788643490252</v>
      </c>
      <c r="BD93" s="177">
        <f t="shared" ca="1" si="176"/>
        <v>0.32777126747269919</v>
      </c>
      <c r="BE93" s="177">
        <f t="shared" ca="1" si="176"/>
        <v>0.32323381431721282</v>
      </c>
      <c r="BF93" s="177">
        <f t="shared" ca="1" si="176"/>
        <v>0.31882024073695758</v>
      </c>
      <c r="BG93" s="177">
        <f t="shared" ca="1" si="176"/>
        <v>0.31452554489912515</v>
      </c>
      <c r="BH93" s="177">
        <f t="shared" ca="1" si="176"/>
        <v>0.1579953221096296</v>
      </c>
      <c r="BI93" s="15" t="s">
        <v>86</v>
      </c>
      <c r="BJ93" s="169"/>
      <c r="BK93" s="99"/>
      <c r="BL93" s="99"/>
      <c r="BM93" s="99"/>
      <c r="BN93" s="99"/>
      <c r="BO93" s="99"/>
      <c r="BP93" s="230"/>
      <c r="BQ93" s="230"/>
      <c r="BR93" s="230"/>
      <c r="BS93" s="230"/>
      <c r="BT93" s="230"/>
      <c r="BU93" s="230"/>
      <c r="BV93" s="99"/>
      <c r="BW93" s="99"/>
      <c r="BX93" s="99"/>
      <c r="BY93" s="99"/>
    </row>
    <row r="94" spans="1:77" s="4" customFormat="1" x14ac:dyDescent="0.3">
      <c r="A94" s="60"/>
      <c r="B94" s="273" t="s">
        <v>344</v>
      </c>
      <c r="C94" s="274">
        <v>22.1</v>
      </c>
      <c r="D94" s="96" t="s">
        <v>144</v>
      </c>
      <c r="E94" s="40"/>
      <c r="F94" s="64"/>
      <c r="G94" s="170"/>
      <c r="H94" s="15" t="s">
        <v>21</v>
      </c>
      <c r="I94" s="178">
        <f t="shared" ref="I94" ca="1" si="177">I93/(fsw*10^3)*10^6</f>
        <v>0.23471124809570804</v>
      </c>
      <c r="J94" s="178">
        <f t="shared" ref="J94:AO94" ca="1" si="178">J93/(fsw*10^3)*10^6</f>
        <v>0.46255678042575432</v>
      </c>
      <c r="K94" s="178">
        <f t="shared" ca="1" si="178"/>
        <v>0.44500086348812967</v>
      </c>
      <c r="L94" s="178">
        <f t="shared" ca="1" si="178"/>
        <v>0.42872229229230158</v>
      </c>
      <c r="M94" s="178">
        <f t="shared" ca="1" si="178"/>
        <v>0.41358727686983482</v>
      </c>
      <c r="N94" s="178">
        <f t="shared" ca="1" si="178"/>
        <v>0.39947998080193209</v>
      </c>
      <c r="O94" s="178">
        <f t="shared" ca="1" si="178"/>
        <v>0.38573862963722083</v>
      </c>
      <c r="P94" s="178">
        <f t="shared" ca="1" si="178"/>
        <v>0.3734323938625721</v>
      </c>
      <c r="Q94" s="178">
        <f t="shared" ca="1" si="178"/>
        <v>0.36188449748575346</v>
      </c>
      <c r="R94" s="178">
        <f t="shared" ca="1" si="178"/>
        <v>0.35102718692752555</v>
      </c>
      <c r="S94" s="178">
        <f t="shared" ca="1" si="178"/>
        <v>0.3408005171606544</v>
      </c>
      <c r="T94" s="178">
        <f t="shared" ca="1" si="178"/>
        <v>0.33115126250500138</v>
      </c>
      <c r="U94" s="178">
        <f t="shared" ca="1" si="178"/>
        <v>0.32203200408725469</v>
      </c>
      <c r="V94" s="178">
        <f t="shared" ca="1" si="178"/>
        <v>0.31340036154965517</v>
      </c>
      <c r="W94" s="178">
        <f t="shared" ca="1" si="178"/>
        <v>0.3052183431874238</v>
      </c>
      <c r="X94" s="178">
        <f t="shared" ca="1" si="178"/>
        <v>0.29745179382441089</v>
      </c>
      <c r="Y94" s="178">
        <f t="shared" ca="1" si="178"/>
        <v>0.29006992375219492</v>
      </c>
      <c r="Z94" s="178">
        <f t="shared" ca="1" si="178"/>
        <v>0.28304490522082387</v>
      </c>
      <c r="AA94" s="178">
        <f t="shared" ca="1" si="178"/>
        <v>0.27635152547538211</v>
      </c>
      <c r="AB94" s="178">
        <f t="shared" ca="1" si="178"/>
        <v>0.26996688732923108</v>
      </c>
      <c r="AC94" s="178">
        <f t="shared" ca="1" si="178"/>
        <v>0.26387014986419766</v>
      </c>
      <c r="AD94" s="178">
        <f t="shared" ca="1" si="178"/>
        <v>0.258042303135808</v>
      </c>
      <c r="AE94" s="178">
        <f t="shared" ca="1" si="178"/>
        <v>0.25246597180370844</v>
      </c>
      <c r="AF94" s="178">
        <f t="shared" ca="1" si="178"/>
        <v>0.24712524345457376</v>
      </c>
      <c r="AG94" s="178">
        <f t="shared" ca="1" si="178"/>
        <v>0.24200551807664242</v>
      </c>
      <c r="AH94" s="178">
        <f t="shared" ca="1" si="178"/>
        <v>0.23709337571246983</v>
      </c>
      <c r="AI94" s="178">
        <f t="shared" ca="1" si="178"/>
        <v>0.23237645978386495</v>
      </c>
      <c r="AJ94" s="178">
        <f t="shared" ca="1" si="178"/>
        <v>0.22784337396945314</v>
      </c>
      <c r="AK94" s="178">
        <f t="shared" ca="1" si="178"/>
        <v>0.22348359083613492</v>
      </c>
      <c r="AL94" s="178">
        <f t="shared" ca="1" si="178"/>
        <v>0.21928737069301338</v>
      </c>
      <c r="AM94" s="178">
        <f t="shared" ca="1" si="178"/>
        <v>0.21524568935986907</v>
      </c>
      <c r="AN94" s="178">
        <f t="shared" ca="1" si="178"/>
        <v>0.21135017372978926</v>
      </c>
      <c r="AO94" s="178">
        <f t="shared" ca="1" si="178"/>
        <v>0.20759304416341556</v>
      </c>
      <c r="AP94" s="178">
        <f t="shared" ref="AP94:BG94" ca="1" si="179">AP93/(fsw*10^3)*10^6</f>
        <v>0.20396706288557873</v>
      </c>
      <c r="AQ94" s="178">
        <f t="shared" ca="1" si="179"/>
        <v>0.20046548766801187</v>
      </c>
      <c r="AR94" s="178">
        <f t="shared" ca="1" si="179"/>
        <v>0.19708203017776249</v>
      </c>
      <c r="AS94" s="178">
        <f t="shared" ca="1" si="179"/>
        <v>0.19381081845266307</v>
      </c>
      <c r="AT94" s="178">
        <f t="shared" ca="1" si="179"/>
        <v>0.19064636303505</v>
      </c>
      <c r="AU94" s="178">
        <f t="shared" ca="1" si="179"/>
        <v>0.18758352635474326</v>
      </c>
      <c r="AV94" s="178">
        <f t="shared" ca="1" si="179"/>
        <v>0.18461749500367783</v>
      </c>
      <c r="AW94" s="178">
        <f t="shared" ca="1" si="179"/>
        <v>0.181743754588815</v>
      </c>
      <c r="AX94" s="178">
        <f t="shared" ca="1" si="179"/>
        <v>0.17895806688814395</v>
      </c>
      <c r="AY94" s="178">
        <f t="shared" ca="1" si="179"/>
        <v>0.17625644906761506</v>
      </c>
      <c r="AZ94" s="178">
        <f t="shared" ca="1" si="179"/>
        <v>0.17363515474548849</v>
      </c>
      <c r="BA94" s="178">
        <f t="shared" ca="1" si="179"/>
        <v>0.17109065671547044</v>
      </c>
      <c r="BB94" s="178">
        <f t="shared" ca="1" si="179"/>
        <v>0.16861963116168602</v>
      </c>
      <c r="BC94" s="178">
        <f t="shared" ca="1" si="179"/>
        <v>0.16621894321745126</v>
      </c>
      <c r="BD94" s="178">
        <f t="shared" ca="1" si="179"/>
        <v>0.1638856337363496</v>
      </c>
      <c r="BE94" s="178">
        <f t="shared" ca="1" si="179"/>
        <v>0.16161690715860641</v>
      </c>
      <c r="BF94" s="178">
        <f t="shared" ca="1" si="179"/>
        <v>0.15941012036847879</v>
      </c>
      <c r="BG94" s="178">
        <f t="shared" ca="1" si="179"/>
        <v>0.15726277244956258</v>
      </c>
      <c r="BH94" s="178">
        <f ca="1">IF(BH93&gt;1,1000/fsw,IF(BH93*1000/fsw&lt;0.16,0.16,BH93*1000/fsw))</f>
        <v>0.16</v>
      </c>
      <c r="BI94" s="15" t="s">
        <v>21</v>
      </c>
      <c r="BJ94" s="169"/>
      <c r="BK94" s="99"/>
      <c r="BL94" s="99"/>
      <c r="BM94" s="99"/>
      <c r="BN94" s="99"/>
      <c r="BO94" s="99"/>
      <c r="BP94" s="230"/>
      <c r="BQ94" s="230"/>
      <c r="BR94" s="230"/>
      <c r="BS94" s="230"/>
      <c r="BT94" s="230"/>
      <c r="BU94" s="230"/>
      <c r="BV94" s="99"/>
      <c r="BW94" s="99"/>
      <c r="BX94" s="99"/>
      <c r="BY94" s="99"/>
    </row>
    <row r="95" spans="1:77" s="4" customFormat="1" x14ac:dyDescent="0.3">
      <c r="A95" s="60"/>
      <c r="B95" s="29" t="s">
        <v>148</v>
      </c>
      <c r="C95" s="25">
        <f>4*1000000000/(6.28*Rz*1000*fc*1000)</f>
        <v>0.7205233881891806</v>
      </c>
      <c r="D95" s="292" t="s">
        <v>145</v>
      </c>
      <c r="E95" s="40"/>
      <c r="F95" s="64"/>
      <c r="G95" s="170"/>
      <c r="H95" s="15" t="s">
        <v>22</v>
      </c>
      <c r="I95" s="178">
        <f t="shared" ref="I95:AN95" ca="1" si="180">1/(fsw*10^-3)-I94</f>
        <v>0.26528875190429196</v>
      </c>
      <c r="J95" s="178">
        <f t="shared" ca="1" si="180"/>
        <v>3.7443219574245679E-2</v>
      </c>
      <c r="K95" s="178">
        <f t="shared" ca="1" si="180"/>
        <v>5.4999136511870328E-2</v>
      </c>
      <c r="L95" s="178">
        <f t="shared" ca="1" si="180"/>
        <v>7.1277707707698423E-2</v>
      </c>
      <c r="M95" s="178">
        <f t="shared" ca="1" si="180"/>
        <v>8.6412723130165181E-2</v>
      </c>
      <c r="N95" s="178">
        <f t="shared" ca="1" si="180"/>
        <v>0.10052001919806791</v>
      </c>
      <c r="O95" s="178">
        <f t="shared" ca="1" si="180"/>
        <v>0.11426137036277917</v>
      </c>
      <c r="P95" s="178">
        <f t="shared" ca="1" si="180"/>
        <v>0.1265676061374279</v>
      </c>
      <c r="Q95" s="178">
        <f t="shared" ca="1" si="180"/>
        <v>0.13811550251424654</v>
      </c>
      <c r="R95" s="178">
        <f t="shared" ca="1" si="180"/>
        <v>0.14897281307247445</v>
      </c>
      <c r="S95" s="178">
        <f t="shared" ca="1" si="180"/>
        <v>0.1591994828393456</v>
      </c>
      <c r="T95" s="178">
        <f t="shared" ca="1" si="180"/>
        <v>0.16884873749499862</v>
      </c>
      <c r="U95" s="178">
        <f t="shared" ca="1" si="180"/>
        <v>0.17796799591274531</v>
      </c>
      <c r="V95" s="178">
        <f t="shared" ca="1" si="180"/>
        <v>0.18659963845034483</v>
      </c>
      <c r="W95" s="178">
        <f t="shared" ca="1" si="180"/>
        <v>0.1947816568125762</v>
      </c>
      <c r="X95" s="178">
        <f t="shared" ca="1" si="180"/>
        <v>0.20254820617558911</v>
      </c>
      <c r="Y95" s="178">
        <f t="shared" ca="1" si="180"/>
        <v>0.20993007624780508</v>
      </c>
      <c r="Z95" s="178">
        <f t="shared" ca="1" si="180"/>
        <v>0.21695509477917613</v>
      </c>
      <c r="AA95" s="178">
        <f t="shared" ca="1" si="180"/>
        <v>0.22364847452461789</v>
      </c>
      <c r="AB95" s="178">
        <f t="shared" ca="1" si="180"/>
        <v>0.23003311267076892</v>
      </c>
      <c r="AC95" s="178">
        <f t="shared" ca="1" si="180"/>
        <v>0.23612985013580234</v>
      </c>
      <c r="AD95" s="178">
        <f t="shared" ca="1" si="180"/>
        <v>0.241957696864192</v>
      </c>
      <c r="AE95" s="178">
        <f t="shared" ca="1" si="180"/>
        <v>0.24753402819629156</v>
      </c>
      <c r="AF95" s="178">
        <f t="shared" ca="1" si="180"/>
        <v>0.25287475654542624</v>
      </c>
      <c r="AG95" s="178">
        <f t="shared" ca="1" si="180"/>
        <v>0.25799448192335761</v>
      </c>
      <c r="AH95" s="178">
        <f t="shared" ca="1" si="180"/>
        <v>0.2629066242875302</v>
      </c>
      <c r="AI95" s="178">
        <f t="shared" ca="1" si="180"/>
        <v>0.26762354021613505</v>
      </c>
      <c r="AJ95" s="178">
        <f t="shared" ca="1" si="180"/>
        <v>0.27215662603054686</v>
      </c>
      <c r="AK95" s="178">
        <f t="shared" ca="1" si="180"/>
        <v>0.27651640916386511</v>
      </c>
      <c r="AL95" s="178">
        <f t="shared" ca="1" si="180"/>
        <v>0.28071262930698659</v>
      </c>
      <c r="AM95" s="178">
        <f t="shared" ca="1" si="180"/>
        <v>0.2847543106401309</v>
      </c>
      <c r="AN95" s="178">
        <f t="shared" ca="1" si="180"/>
        <v>0.28864982627021074</v>
      </c>
      <c r="AO95" s="178">
        <f t="shared" ref="AO95:BG95" ca="1" si="181">1/(fsw*10^-3)-AO94</f>
        <v>0.29240695583658444</v>
      </c>
      <c r="AP95" s="178">
        <f t="shared" ca="1" si="181"/>
        <v>0.29603293711442125</v>
      </c>
      <c r="AQ95" s="178">
        <f t="shared" ca="1" si="181"/>
        <v>0.29953451233198813</v>
      </c>
      <c r="AR95" s="178">
        <f t="shared" ca="1" si="181"/>
        <v>0.30291796982223751</v>
      </c>
      <c r="AS95" s="178">
        <f t="shared" ca="1" si="181"/>
        <v>0.30618918154733693</v>
      </c>
      <c r="AT95" s="178">
        <f t="shared" ca="1" si="181"/>
        <v>0.30935363696495</v>
      </c>
      <c r="AU95" s="178">
        <f t="shared" ca="1" si="181"/>
        <v>0.31241647364525671</v>
      </c>
      <c r="AV95" s="178">
        <f t="shared" ca="1" si="181"/>
        <v>0.31538250499632214</v>
      </c>
      <c r="AW95" s="178">
        <f t="shared" ca="1" si="181"/>
        <v>0.31825624541118502</v>
      </c>
      <c r="AX95" s="178">
        <f t="shared" ca="1" si="181"/>
        <v>0.32104193311185603</v>
      </c>
      <c r="AY95" s="178">
        <f t="shared" ca="1" si="181"/>
        <v>0.32374355093238494</v>
      </c>
      <c r="AZ95" s="178">
        <f t="shared" ca="1" si="181"/>
        <v>0.32636484525451148</v>
      </c>
      <c r="BA95" s="178">
        <f t="shared" ca="1" si="181"/>
        <v>0.32890934328452959</v>
      </c>
      <c r="BB95" s="178">
        <f t="shared" ca="1" si="181"/>
        <v>0.33138036883831401</v>
      </c>
      <c r="BC95" s="178">
        <f t="shared" ca="1" si="181"/>
        <v>0.33378105678254877</v>
      </c>
      <c r="BD95" s="178">
        <f t="shared" ca="1" si="181"/>
        <v>0.33611436626365043</v>
      </c>
      <c r="BE95" s="178">
        <f t="shared" ca="1" si="181"/>
        <v>0.33838309284139356</v>
      </c>
      <c r="BF95" s="178">
        <f t="shared" ca="1" si="181"/>
        <v>0.34058987963152121</v>
      </c>
      <c r="BG95" s="178">
        <f t="shared" ca="1" si="181"/>
        <v>0.34273722755043745</v>
      </c>
      <c r="BH95" s="178">
        <f ca="1">BH94/BH93-BH94</f>
        <v>0.8526882104077701</v>
      </c>
      <c r="BI95" s="15" t="s">
        <v>22</v>
      </c>
      <c r="BJ95" s="169"/>
      <c r="BK95" s="99"/>
      <c r="BL95" s="99"/>
      <c r="BM95" s="99"/>
      <c r="BN95" s="99"/>
      <c r="BO95" s="99"/>
      <c r="BP95" s="230"/>
      <c r="BQ95" s="230"/>
      <c r="BR95" s="230"/>
      <c r="BS95" s="230"/>
      <c r="BT95" s="230"/>
      <c r="BU95" s="230"/>
      <c r="BV95" s="99"/>
      <c r="BW95" s="99"/>
      <c r="BX95" s="99"/>
      <c r="BY95" s="99"/>
    </row>
    <row r="96" spans="1:77" s="4" customFormat="1" x14ac:dyDescent="0.3">
      <c r="A96" s="21"/>
      <c r="B96" s="29" t="s">
        <v>149</v>
      </c>
      <c r="C96" s="25">
        <f>1000000000/(6.28*Rz*1000*1.5*fp_1*1000)</f>
        <v>5.7572990956430576</v>
      </c>
      <c r="D96" s="292"/>
      <c r="E96" s="39"/>
      <c r="F96" s="64"/>
      <c r="G96" s="170"/>
      <c r="H96" s="15" t="s">
        <v>290</v>
      </c>
      <c r="I96" s="179">
        <f t="shared" ref="I96:BG96" ca="1" si="182">1/(I94+I95)*10^3</f>
        <v>2000</v>
      </c>
      <c r="J96" s="179">
        <f t="shared" ca="1" si="182"/>
        <v>2000</v>
      </c>
      <c r="K96" s="179">
        <f t="shared" ca="1" si="182"/>
        <v>2000</v>
      </c>
      <c r="L96" s="179">
        <f t="shared" ca="1" si="182"/>
        <v>2000</v>
      </c>
      <c r="M96" s="179">
        <f t="shared" ca="1" si="182"/>
        <v>2000</v>
      </c>
      <c r="N96" s="179">
        <f t="shared" ca="1" si="182"/>
        <v>2000</v>
      </c>
      <c r="O96" s="179">
        <f t="shared" ca="1" si="182"/>
        <v>2000</v>
      </c>
      <c r="P96" s="179">
        <f t="shared" ca="1" si="182"/>
        <v>2000</v>
      </c>
      <c r="Q96" s="179">
        <f t="shared" ca="1" si="182"/>
        <v>2000</v>
      </c>
      <c r="R96" s="179">
        <f t="shared" ca="1" si="182"/>
        <v>2000</v>
      </c>
      <c r="S96" s="179">
        <f t="shared" ca="1" si="182"/>
        <v>2000</v>
      </c>
      <c r="T96" s="179">
        <f t="shared" ca="1" si="182"/>
        <v>2000</v>
      </c>
      <c r="U96" s="179">
        <f t="shared" ca="1" si="182"/>
        <v>2000</v>
      </c>
      <c r="V96" s="179">
        <f t="shared" ca="1" si="182"/>
        <v>2000</v>
      </c>
      <c r="W96" s="179">
        <f t="shared" ca="1" si="182"/>
        <v>2000</v>
      </c>
      <c r="X96" s="179">
        <f t="shared" ca="1" si="182"/>
        <v>2000</v>
      </c>
      <c r="Y96" s="179">
        <f t="shared" ca="1" si="182"/>
        <v>2000</v>
      </c>
      <c r="Z96" s="179">
        <f t="shared" ca="1" si="182"/>
        <v>2000</v>
      </c>
      <c r="AA96" s="179">
        <f t="shared" ca="1" si="182"/>
        <v>2000</v>
      </c>
      <c r="AB96" s="179">
        <f t="shared" ca="1" si="182"/>
        <v>2000</v>
      </c>
      <c r="AC96" s="179">
        <f t="shared" ca="1" si="182"/>
        <v>2000</v>
      </c>
      <c r="AD96" s="179">
        <f t="shared" ca="1" si="182"/>
        <v>2000</v>
      </c>
      <c r="AE96" s="179">
        <f t="shared" ca="1" si="182"/>
        <v>2000</v>
      </c>
      <c r="AF96" s="179">
        <f t="shared" ca="1" si="182"/>
        <v>2000</v>
      </c>
      <c r="AG96" s="179">
        <f t="shared" ca="1" si="182"/>
        <v>2000</v>
      </c>
      <c r="AH96" s="179">
        <f t="shared" ca="1" si="182"/>
        <v>2000</v>
      </c>
      <c r="AI96" s="179">
        <f t="shared" ca="1" si="182"/>
        <v>2000</v>
      </c>
      <c r="AJ96" s="179">
        <f t="shared" ca="1" si="182"/>
        <v>2000</v>
      </c>
      <c r="AK96" s="179">
        <f t="shared" ca="1" si="182"/>
        <v>2000</v>
      </c>
      <c r="AL96" s="179">
        <f t="shared" ca="1" si="182"/>
        <v>2000</v>
      </c>
      <c r="AM96" s="179">
        <f t="shared" ca="1" si="182"/>
        <v>2000</v>
      </c>
      <c r="AN96" s="179">
        <f t="shared" ca="1" si="182"/>
        <v>2000</v>
      </c>
      <c r="AO96" s="179">
        <f t="shared" ca="1" si="182"/>
        <v>2000</v>
      </c>
      <c r="AP96" s="179">
        <f t="shared" ca="1" si="182"/>
        <v>2000</v>
      </c>
      <c r="AQ96" s="179">
        <f t="shared" ca="1" si="182"/>
        <v>2000</v>
      </c>
      <c r="AR96" s="179">
        <f t="shared" ca="1" si="182"/>
        <v>2000</v>
      </c>
      <c r="AS96" s="179">
        <f t="shared" ca="1" si="182"/>
        <v>2000</v>
      </c>
      <c r="AT96" s="179">
        <f t="shared" ca="1" si="182"/>
        <v>2000</v>
      </c>
      <c r="AU96" s="179">
        <f t="shared" ca="1" si="182"/>
        <v>2000</v>
      </c>
      <c r="AV96" s="179">
        <f t="shared" ca="1" si="182"/>
        <v>2000</v>
      </c>
      <c r="AW96" s="179">
        <f t="shared" ca="1" si="182"/>
        <v>2000</v>
      </c>
      <c r="AX96" s="179">
        <f t="shared" ca="1" si="182"/>
        <v>2000</v>
      </c>
      <c r="AY96" s="179">
        <f t="shared" ca="1" si="182"/>
        <v>2000</v>
      </c>
      <c r="AZ96" s="179">
        <f t="shared" ca="1" si="182"/>
        <v>2000</v>
      </c>
      <c r="BA96" s="179">
        <f t="shared" ca="1" si="182"/>
        <v>2000</v>
      </c>
      <c r="BB96" s="179">
        <f t="shared" ca="1" si="182"/>
        <v>2000</v>
      </c>
      <c r="BC96" s="179">
        <f t="shared" ca="1" si="182"/>
        <v>2000</v>
      </c>
      <c r="BD96" s="179">
        <f t="shared" ca="1" si="182"/>
        <v>2000</v>
      </c>
      <c r="BE96" s="179">
        <f t="shared" ca="1" si="182"/>
        <v>2000</v>
      </c>
      <c r="BF96" s="179">
        <f t="shared" ca="1" si="182"/>
        <v>2000</v>
      </c>
      <c r="BG96" s="179">
        <f t="shared" ca="1" si="182"/>
        <v>2000</v>
      </c>
      <c r="BH96" s="179">
        <f ca="1">1/(BH94+BH95)*10^3</f>
        <v>987.47076318518498</v>
      </c>
      <c r="BI96" s="15" t="s">
        <v>290</v>
      </c>
      <c r="BJ96" s="169"/>
      <c r="BK96" s="99"/>
      <c r="BL96" s="99"/>
      <c r="BM96" s="99"/>
      <c r="BN96" s="99"/>
      <c r="BO96" s="99"/>
      <c r="BP96" s="230"/>
      <c r="BQ96" s="230"/>
      <c r="BR96" s="230"/>
      <c r="BS96" s="230"/>
      <c r="BT96" s="230"/>
      <c r="BU96" s="230"/>
      <c r="BV96" s="99"/>
      <c r="BW96" s="99"/>
      <c r="BX96" s="99"/>
      <c r="BY96" s="99"/>
    </row>
    <row r="97" spans="1:77" s="4" customFormat="1" x14ac:dyDescent="0.3">
      <c r="A97" s="21"/>
      <c r="B97" s="29" t="s">
        <v>146</v>
      </c>
      <c r="C97" s="129">
        <f>MAX(1/(2*PI()*Rz*10^3*fz_1*10^3)*10^12, 1/(2*PI()*Rz*10^3*fsw/2*10^3)*10^12, 1/(2*PI()*Rz*10^3*10*fc*10^3)*10^12)</f>
        <v>18.003952838449699</v>
      </c>
      <c r="D97" s="96" t="s">
        <v>147</v>
      </c>
      <c r="E97" s="40"/>
      <c r="F97" s="64"/>
      <c r="G97" s="170"/>
      <c r="H97" s="15" t="s">
        <v>84</v>
      </c>
      <c r="I97" s="171">
        <f t="shared" ref="I97:AN97" ca="1" si="183">I91*I93/(1-I93)-I154-Iout_PreReg*dcr*10^-3</f>
        <v>5.3499999999999988</v>
      </c>
      <c r="J97" s="171">
        <f t="shared" ca="1" si="183"/>
        <v>5.349999999999997</v>
      </c>
      <c r="K97" s="171">
        <f t="shared" ca="1" si="183"/>
        <v>5.3500000000000014</v>
      </c>
      <c r="L97" s="171">
        <f t="shared" ca="1" si="183"/>
        <v>5.3500000000000023</v>
      </c>
      <c r="M97" s="171">
        <f t="shared" ca="1" si="183"/>
        <v>5.3499999999999988</v>
      </c>
      <c r="N97" s="171">
        <f t="shared" ca="1" si="183"/>
        <v>5.35</v>
      </c>
      <c r="O97" s="171">
        <f t="shared" ca="1" si="183"/>
        <v>5.3500000000000005</v>
      </c>
      <c r="P97" s="171">
        <f t="shared" ca="1" si="183"/>
        <v>5.3499999999999988</v>
      </c>
      <c r="Q97" s="171">
        <f t="shared" ca="1" si="183"/>
        <v>5.35</v>
      </c>
      <c r="R97" s="171">
        <f t="shared" ca="1" si="183"/>
        <v>5.3500000000000005</v>
      </c>
      <c r="S97" s="171">
        <f t="shared" ca="1" si="183"/>
        <v>5.3499999999999988</v>
      </c>
      <c r="T97" s="171">
        <f t="shared" ca="1" si="183"/>
        <v>5.3499999999999988</v>
      </c>
      <c r="U97" s="171">
        <f t="shared" ca="1" si="183"/>
        <v>5.3500000000000023</v>
      </c>
      <c r="V97" s="171">
        <f t="shared" ca="1" si="183"/>
        <v>5.3500000000000023</v>
      </c>
      <c r="W97" s="171">
        <f t="shared" ca="1" si="183"/>
        <v>5.3500000000000005</v>
      </c>
      <c r="X97" s="171">
        <f t="shared" ca="1" si="183"/>
        <v>5.3500000000000005</v>
      </c>
      <c r="Y97" s="171">
        <f t="shared" ca="1" si="183"/>
        <v>5.35</v>
      </c>
      <c r="Z97" s="171">
        <f t="shared" ca="1" si="183"/>
        <v>5.35</v>
      </c>
      <c r="AA97" s="171">
        <f t="shared" ca="1" si="183"/>
        <v>5.35</v>
      </c>
      <c r="AB97" s="171">
        <f t="shared" ca="1" si="183"/>
        <v>5.3500000000000014</v>
      </c>
      <c r="AC97" s="171">
        <f t="shared" ca="1" si="183"/>
        <v>5.35</v>
      </c>
      <c r="AD97" s="171">
        <f t="shared" ca="1" si="183"/>
        <v>5.3500000000000014</v>
      </c>
      <c r="AE97" s="171">
        <f t="shared" ca="1" si="183"/>
        <v>5.3500000000000014</v>
      </c>
      <c r="AF97" s="171">
        <f t="shared" ca="1" si="183"/>
        <v>5.3499999999999979</v>
      </c>
      <c r="AG97" s="171">
        <f t="shared" ca="1" si="183"/>
        <v>5.3499999999999988</v>
      </c>
      <c r="AH97" s="171">
        <f t="shared" ca="1" si="183"/>
        <v>5.3499999999999988</v>
      </c>
      <c r="AI97" s="171">
        <f t="shared" ca="1" si="183"/>
        <v>5.3499999999999988</v>
      </c>
      <c r="AJ97" s="171">
        <f t="shared" ca="1" si="183"/>
        <v>5.3500000000000005</v>
      </c>
      <c r="AK97" s="171">
        <f t="shared" ca="1" si="183"/>
        <v>5.35</v>
      </c>
      <c r="AL97" s="171">
        <f t="shared" ca="1" si="183"/>
        <v>5.35</v>
      </c>
      <c r="AM97" s="171">
        <f t="shared" ca="1" si="183"/>
        <v>5.3500000000000014</v>
      </c>
      <c r="AN97" s="171">
        <f t="shared" ca="1" si="183"/>
        <v>5.3499999999999988</v>
      </c>
      <c r="AO97" s="171">
        <f t="shared" ref="AO97:BH97" ca="1" si="184">AO91*AO93/(1-AO93)-AO154-Iout_PreReg*dcr*10^-3</f>
        <v>5.3500000000000005</v>
      </c>
      <c r="AP97" s="171">
        <f t="shared" ca="1" si="184"/>
        <v>5.35</v>
      </c>
      <c r="AQ97" s="171">
        <f t="shared" ca="1" si="184"/>
        <v>5.3500000000000005</v>
      </c>
      <c r="AR97" s="171">
        <f t="shared" ca="1" si="184"/>
        <v>5.35</v>
      </c>
      <c r="AS97" s="171">
        <f t="shared" ca="1" si="184"/>
        <v>5.35</v>
      </c>
      <c r="AT97" s="171">
        <f t="shared" ca="1" si="184"/>
        <v>5.3500000000000005</v>
      </c>
      <c r="AU97" s="171">
        <f t="shared" ca="1" si="184"/>
        <v>5.35</v>
      </c>
      <c r="AV97" s="171">
        <f t="shared" ca="1" si="184"/>
        <v>5.3500000000000005</v>
      </c>
      <c r="AW97" s="171">
        <f t="shared" ca="1" si="184"/>
        <v>5.3499999999999979</v>
      </c>
      <c r="AX97" s="171">
        <f t="shared" ca="1" si="184"/>
        <v>5.3500000000000005</v>
      </c>
      <c r="AY97" s="171">
        <f t="shared" ca="1" si="184"/>
        <v>5.3500000000000005</v>
      </c>
      <c r="AZ97" s="171">
        <f t="shared" ca="1" si="184"/>
        <v>5.35</v>
      </c>
      <c r="BA97" s="171">
        <f t="shared" ca="1" si="184"/>
        <v>5.3499999999999988</v>
      </c>
      <c r="BB97" s="171">
        <f t="shared" ca="1" si="184"/>
        <v>5.3500000000000005</v>
      </c>
      <c r="BC97" s="171">
        <f t="shared" ca="1" si="184"/>
        <v>5.3499999999999979</v>
      </c>
      <c r="BD97" s="171">
        <f t="shared" ca="1" si="184"/>
        <v>5.35</v>
      </c>
      <c r="BE97" s="171">
        <f t="shared" ca="1" si="184"/>
        <v>5.35</v>
      </c>
      <c r="BF97" s="171">
        <f t="shared" ca="1" si="184"/>
        <v>5.3499999999999988</v>
      </c>
      <c r="BG97" s="171">
        <f t="shared" ca="1" si="184"/>
        <v>5.3499999999999979</v>
      </c>
      <c r="BH97" s="171">
        <f t="shared" ca="1" si="184"/>
        <v>5.3500000000000005</v>
      </c>
      <c r="BI97" s="15" t="s">
        <v>84</v>
      </c>
      <c r="BJ97" s="169"/>
      <c r="BK97" s="99"/>
      <c r="BL97" s="99"/>
      <c r="BM97" s="99"/>
      <c r="BN97" s="99"/>
      <c r="BO97" s="99"/>
      <c r="BP97" s="230"/>
      <c r="BQ97" s="230"/>
      <c r="BR97" s="230"/>
      <c r="BS97" s="230"/>
      <c r="BT97" s="230"/>
      <c r="BU97" s="230"/>
      <c r="BV97" s="99"/>
      <c r="BW97" s="99"/>
      <c r="BX97" s="99"/>
      <c r="BY97" s="99"/>
    </row>
    <row r="98" spans="1:77" s="4" customFormat="1" x14ac:dyDescent="0.3">
      <c r="A98" s="21"/>
      <c r="B98" s="273" t="s">
        <v>345</v>
      </c>
      <c r="C98" s="275">
        <v>1.5</v>
      </c>
      <c r="D98" s="96" t="s">
        <v>242</v>
      </c>
      <c r="E98" s="40"/>
      <c r="F98" s="64"/>
      <c r="G98" s="170"/>
      <c r="H98" s="15" t="s">
        <v>87</v>
      </c>
      <c r="I98" s="177">
        <f ca="1">IF(I95*10^-6&lt;0,(1/(I96*10^3))*(I96*10^3),I93)</f>
        <v>0.46942249619141607</v>
      </c>
      <c r="J98" s="177">
        <f ca="1">IF(J95*10^-6&lt;0,(1/(J96*10^3))*(J96*10^3),J93)</f>
        <v>0.92511356085150864</v>
      </c>
      <c r="K98" s="177">
        <f t="shared" ref="K98:BH98" ca="1" si="185">IF(K95*10^-6&lt;0,(1/(K96*10^3))*(K96*10^3),K93)</f>
        <v>0.89000172697625934</v>
      </c>
      <c r="L98" s="177">
        <f t="shared" ca="1" si="185"/>
        <v>0.85744458458460315</v>
      </c>
      <c r="M98" s="177">
        <f t="shared" ca="1" si="185"/>
        <v>0.82717455373966964</v>
      </c>
      <c r="N98" s="177">
        <f t="shared" ca="1" si="185"/>
        <v>0.79895996160386418</v>
      </c>
      <c r="O98" s="177">
        <f t="shared" ca="1" si="185"/>
        <v>0.77147725927444166</v>
      </c>
      <c r="P98" s="177">
        <f t="shared" ca="1" si="185"/>
        <v>0.7468647877251442</v>
      </c>
      <c r="Q98" s="177">
        <f t="shared" ca="1" si="185"/>
        <v>0.72376899497150693</v>
      </c>
      <c r="R98" s="177">
        <f t="shared" ca="1" si="185"/>
        <v>0.70205437385505109</v>
      </c>
      <c r="S98" s="177">
        <f t="shared" ca="1" si="185"/>
        <v>0.68160103432130881</v>
      </c>
      <c r="T98" s="177">
        <f t="shared" ca="1" si="185"/>
        <v>0.66230252501000275</v>
      </c>
      <c r="U98" s="177">
        <f t="shared" ca="1" si="185"/>
        <v>0.64406400817450937</v>
      </c>
      <c r="V98" s="177">
        <f t="shared" ca="1" si="185"/>
        <v>0.62680072309931034</v>
      </c>
      <c r="W98" s="177">
        <f t="shared" ca="1" si="185"/>
        <v>0.6104366863748476</v>
      </c>
      <c r="X98" s="177">
        <f t="shared" ca="1" si="185"/>
        <v>0.59490358764882179</v>
      </c>
      <c r="Y98" s="177">
        <f t="shared" ca="1" si="185"/>
        <v>0.58013984750438985</v>
      </c>
      <c r="Z98" s="177">
        <f t="shared" ca="1" si="185"/>
        <v>0.56608981044164774</v>
      </c>
      <c r="AA98" s="177">
        <f t="shared" ca="1" si="185"/>
        <v>0.55270305095076422</v>
      </c>
      <c r="AB98" s="177">
        <f t="shared" ca="1" si="185"/>
        <v>0.53993377465846215</v>
      </c>
      <c r="AC98" s="177">
        <f t="shared" ca="1" si="185"/>
        <v>0.52774029972839531</v>
      </c>
      <c r="AD98" s="177">
        <f t="shared" ca="1" si="185"/>
        <v>0.51608460627161601</v>
      </c>
      <c r="AE98" s="177">
        <f t="shared" ca="1" si="185"/>
        <v>0.50493194360741689</v>
      </c>
      <c r="AF98" s="177">
        <f t="shared" ca="1" si="185"/>
        <v>0.49425048690914752</v>
      </c>
      <c r="AG98" s="177">
        <f t="shared" ca="1" si="185"/>
        <v>0.48401103615328483</v>
      </c>
      <c r="AH98" s="177">
        <f t="shared" ca="1" si="185"/>
        <v>0.47418675142493966</v>
      </c>
      <c r="AI98" s="177">
        <f t="shared" ca="1" si="185"/>
        <v>0.46475291956772991</v>
      </c>
      <c r="AJ98" s="177">
        <f t="shared" ca="1" si="185"/>
        <v>0.45568674793890629</v>
      </c>
      <c r="AK98" s="177">
        <f t="shared" ca="1" si="185"/>
        <v>0.44696718167226984</v>
      </c>
      <c r="AL98" s="177">
        <f t="shared" ca="1" si="185"/>
        <v>0.43857474138602676</v>
      </c>
      <c r="AM98" s="177">
        <f t="shared" ca="1" si="185"/>
        <v>0.43049137871973814</v>
      </c>
      <c r="AN98" s="177">
        <f t="shared" ca="1" si="185"/>
        <v>0.42270034745957852</v>
      </c>
      <c r="AO98" s="177">
        <f t="shared" ca="1" si="185"/>
        <v>0.41518608832683113</v>
      </c>
      <c r="AP98" s="177">
        <f t="shared" ca="1" si="185"/>
        <v>0.40793412577115745</v>
      </c>
      <c r="AQ98" s="177">
        <f t="shared" ca="1" si="185"/>
        <v>0.40093097533602373</v>
      </c>
      <c r="AR98" s="177">
        <f t="shared" ca="1" si="185"/>
        <v>0.39416406035552498</v>
      </c>
      <c r="AS98" s="177">
        <f t="shared" ca="1" si="185"/>
        <v>0.38762163690532614</v>
      </c>
      <c r="AT98" s="177">
        <f t="shared" ca="1" si="185"/>
        <v>0.38129272607010001</v>
      </c>
      <c r="AU98" s="177">
        <f t="shared" ca="1" si="185"/>
        <v>0.37516705270948653</v>
      </c>
      <c r="AV98" s="177">
        <f t="shared" ca="1" si="185"/>
        <v>0.36923499000735566</v>
      </c>
      <c r="AW98" s="177">
        <f t="shared" ca="1" si="185"/>
        <v>0.36348750917763001</v>
      </c>
      <c r="AX98" s="177">
        <f t="shared" ca="1" si="185"/>
        <v>0.35791613377628789</v>
      </c>
      <c r="AY98" s="177">
        <f t="shared" ca="1" si="185"/>
        <v>0.35251289813523012</v>
      </c>
      <c r="AZ98" s="177">
        <f t="shared" ca="1" si="185"/>
        <v>0.34727030949097698</v>
      </c>
      <c r="BA98" s="177">
        <f t="shared" ca="1" si="185"/>
        <v>0.34218131343094088</v>
      </c>
      <c r="BB98" s="177">
        <f t="shared" ca="1" si="185"/>
        <v>0.33723926232337204</v>
      </c>
      <c r="BC98" s="177">
        <f t="shared" ca="1" si="185"/>
        <v>0.33243788643490252</v>
      </c>
      <c r="BD98" s="177">
        <f t="shared" ca="1" si="185"/>
        <v>0.32777126747269919</v>
      </c>
      <c r="BE98" s="177">
        <f t="shared" ca="1" si="185"/>
        <v>0.32323381431721282</v>
      </c>
      <c r="BF98" s="177">
        <f t="shared" ca="1" si="185"/>
        <v>0.31882024073695758</v>
      </c>
      <c r="BG98" s="177">
        <f t="shared" ca="1" si="185"/>
        <v>0.31452554489912515</v>
      </c>
      <c r="BH98" s="177">
        <f t="shared" ca="1" si="185"/>
        <v>0.1579953221096296</v>
      </c>
      <c r="BI98" s="15" t="s">
        <v>87</v>
      </c>
      <c r="BJ98" s="169"/>
      <c r="BK98" s="99"/>
      <c r="BL98" s="99"/>
      <c r="BM98" s="99"/>
      <c r="BN98" s="99"/>
      <c r="BO98" s="99"/>
      <c r="BP98" s="230"/>
      <c r="BQ98" s="230"/>
      <c r="BR98" s="230"/>
      <c r="BS98" s="230"/>
      <c r="BT98" s="230"/>
      <c r="BU98" s="230"/>
      <c r="BV98" s="99"/>
      <c r="BW98" s="99"/>
      <c r="BX98" s="99"/>
      <c r="BY98" s="99"/>
    </row>
    <row r="99" spans="1:77" s="4" customFormat="1" x14ac:dyDescent="0.3">
      <c r="A99" s="21"/>
      <c r="B99" s="273" t="s">
        <v>346</v>
      </c>
      <c r="C99" s="276">
        <v>22</v>
      </c>
      <c r="D99" s="96" t="s">
        <v>243</v>
      </c>
      <c r="E99" s="40"/>
      <c r="F99" s="64"/>
      <c r="G99" s="170"/>
      <c r="H99" s="15" t="s">
        <v>97</v>
      </c>
      <c r="I99" s="171">
        <f ca="1">(I2-Iout_PreReg*I108+I154)*I98-I154-Iout_PreReg*dcr*10^-3</f>
        <v>5.35</v>
      </c>
      <c r="J99" s="171">
        <f t="shared" ref="J99:AO99" ca="1" si="186">(J87-Iout_PreReg*J108+J154)*J98-J154-Iout_PreReg*dcr*10^-3</f>
        <v>5.35</v>
      </c>
      <c r="K99" s="171">
        <f t="shared" ca="1" si="186"/>
        <v>5.35</v>
      </c>
      <c r="L99" s="171">
        <f t="shared" ca="1" si="186"/>
        <v>5.35</v>
      </c>
      <c r="M99" s="171">
        <f t="shared" ca="1" si="186"/>
        <v>5.35</v>
      </c>
      <c r="N99" s="171">
        <f t="shared" ca="1" si="186"/>
        <v>5.35</v>
      </c>
      <c r="O99" s="171">
        <f t="shared" ca="1" si="186"/>
        <v>5.35</v>
      </c>
      <c r="P99" s="171">
        <f t="shared" ca="1" si="186"/>
        <v>5.35</v>
      </c>
      <c r="Q99" s="171">
        <f t="shared" ca="1" si="186"/>
        <v>5.35</v>
      </c>
      <c r="R99" s="171">
        <f t="shared" ca="1" si="186"/>
        <v>5.35</v>
      </c>
      <c r="S99" s="171">
        <f t="shared" ca="1" si="186"/>
        <v>5.35</v>
      </c>
      <c r="T99" s="171">
        <f t="shared" ca="1" si="186"/>
        <v>5.35</v>
      </c>
      <c r="U99" s="171">
        <f t="shared" ca="1" si="186"/>
        <v>5.35</v>
      </c>
      <c r="V99" s="171">
        <f t="shared" ca="1" si="186"/>
        <v>5.3500000000000005</v>
      </c>
      <c r="W99" s="171">
        <f t="shared" ca="1" si="186"/>
        <v>5.35</v>
      </c>
      <c r="X99" s="171">
        <f t="shared" ca="1" si="186"/>
        <v>5.35</v>
      </c>
      <c r="Y99" s="171">
        <f t="shared" ca="1" si="186"/>
        <v>5.35</v>
      </c>
      <c r="Z99" s="171">
        <f t="shared" ca="1" si="186"/>
        <v>5.3500000000000005</v>
      </c>
      <c r="AA99" s="171">
        <f t="shared" ca="1" si="186"/>
        <v>5.35</v>
      </c>
      <c r="AB99" s="171">
        <f t="shared" ca="1" si="186"/>
        <v>5.3500000000000014</v>
      </c>
      <c r="AC99" s="171">
        <f t="shared" ca="1" si="186"/>
        <v>5.35</v>
      </c>
      <c r="AD99" s="171">
        <f t="shared" ca="1" si="186"/>
        <v>5.35</v>
      </c>
      <c r="AE99" s="171">
        <f t="shared" ca="1" si="186"/>
        <v>5.3500000000000005</v>
      </c>
      <c r="AF99" s="171">
        <f t="shared" ca="1" si="186"/>
        <v>5.35</v>
      </c>
      <c r="AG99" s="171">
        <f t="shared" ca="1" si="186"/>
        <v>5.35</v>
      </c>
      <c r="AH99" s="171">
        <f t="shared" ca="1" si="186"/>
        <v>5.35</v>
      </c>
      <c r="AI99" s="171">
        <f t="shared" ca="1" si="186"/>
        <v>5.3499999999999988</v>
      </c>
      <c r="AJ99" s="171">
        <f t="shared" ca="1" si="186"/>
        <v>5.35</v>
      </c>
      <c r="AK99" s="171">
        <f t="shared" ca="1" si="186"/>
        <v>5.35</v>
      </c>
      <c r="AL99" s="171">
        <f t="shared" ca="1" si="186"/>
        <v>5.35</v>
      </c>
      <c r="AM99" s="171">
        <f t="shared" ca="1" si="186"/>
        <v>5.35</v>
      </c>
      <c r="AN99" s="171">
        <f t="shared" ca="1" si="186"/>
        <v>5.35</v>
      </c>
      <c r="AO99" s="171">
        <f t="shared" ca="1" si="186"/>
        <v>5.3500000000000005</v>
      </c>
      <c r="AP99" s="171">
        <f t="shared" ref="AP99:BH99" ca="1" si="187">(AP87-Iout_PreReg*AP108+AP154)*AP98-AP154-Iout_PreReg*dcr*10^-3</f>
        <v>5.35</v>
      </c>
      <c r="AQ99" s="171">
        <f t="shared" ca="1" si="187"/>
        <v>5.3500000000000005</v>
      </c>
      <c r="AR99" s="171">
        <f t="shared" ca="1" si="187"/>
        <v>5.35</v>
      </c>
      <c r="AS99" s="171">
        <f t="shared" ca="1" si="187"/>
        <v>5.35</v>
      </c>
      <c r="AT99" s="171">
        <f t="shared" ca="1" si="187"/>
        <v>5.35</v>
      </c>
      <c r="AU99" s="171">
        <f t="shared" ca="1" si="187"/>
        <v>5.3499999999999988</v>
      </c>
      <c r="AV99" s="171">
        <f t="shared" ca="1" si="187"/>
        <v>5.35</v>
      </c>
      <c r="AW99" s="171">
        <f t="shared" ca="1" si="187"/>
        <v>5.3499999999999988</v>
      </c>
      <c r="AX99" s="171">
        <f t="shared" ca="1" si="187"/>
        <v>5.35</v>
      </c>
      <c r="AY99" s="171">
        <f t="shared" ca="1" si="187"/>
        <v>5.35</v>
      </c>
      <c r="AZ99" s="171">
        <f t="shared" ca="1" si="187"/>
        <v>5.35</v>
      </c>
      <c r="BA99" s="171">
        <f t="shared" ca="1" si="187"/>
        <v>5.35</v>
      </c>
      <c r="BB99" s="171">
        <f t="shared" ca="1" si="187"/>
        <v>5.35</v>
      </c>
      <c r="BC99" s="171">
        <f t="shared" ca="1" si="187"/>
        <v>5.35</v>
      </c>
      <c r="BD99" s="171">
        <f t="shared" ca="1" si="187"/>
        <v>5.35</v>
      </c>
      <c r="BE99" s="171">
        <f t="shared" ca="1" si="187"/>
        <v>5.35</v>
      </c>
      <c r="BF99" s="171">
        <f t="shared" ca="1" si="187"/>
        <v>5.35</v>
      </c>
      <c r="BG99" s="171">
        <f t="shared" ca="1" si="187"/>
        <v>5.35</v>
      </c>
      <c r="BH99" s="171">
        <f t="shared" ca="1" si="187"/>
        <v>5.3500000000000005</v>
      </c>
      <c r="BI99" s="15" t="s">
        <v>97</v>
      </c>
      <c r="BJ99" s="169"/>
      <c r="BK99" s="99"/>
      <c r="BL99" s="99"/>
      <c r="BM99" s="99"/>
      <c r="BN99" s="99"/>
      <c r="BO99" s="99"/>
      <c r="BP99" s="230"/>
      <c r="BQ99" s="230"/>
      <c r="BR99" s="230"/>
      <c r="BS99" s="230"/>
      <c r="BT99" s="230"/>
      <c r="BU99" s="230"/>
      <c r="BV99" s="99"/>
      <c r="BW99" s="99"/>
      <c r="BX99" s="99"/>
      <c r="BY99" s="99"/>
    </row>
    <row r="100" spans="1:77" s="4" customFormat="1" x14ac:dyDescent="0.3">
      <c r="A100" s="21"/>
      <c r="B100" s="29" t="s">
        <v>240</v>
      </c>
      <c r="C100" s="138">
        <f>'Control Loop1'!$B$21</f>
        <v>38.5352859371054</v>
      </c>
      <c r="D100" s="96"/>
      <c r="E100" s="40"/>
      <c r="F100" s="64"/>
      <c r="G100" s="170"/>
      <c r="H100" s="15" t="s">
        <v>88</v>
      </c>
      <c r="I100" s="171">
        <f ca="1">IF(Reset=1,I2,I2-Iout_PreReg*(I108+dcr*10^-3)-I99)</f>
        <v>6.4746243999477855</v>
      </c>
      <c r="J100" s="171">
        <f t="shared" ref="J100:AO100" ca="1" si="188">IF(Reset=1,J87,J87-Iout_PreReg*(J108+dcr*10^-3)-J99)</f>
        <v>0.46522089088689178</v>
      </c>
      <c r="K100" s="171">
        <f t="shared" ca="1" si="188"/>
        <v>0.71011927913174056</v>
      </c>
      <c r="L100" s="171">
        <f t="shared" ca="1" si="188"/>
        <v>0.95501089740478307</v>
      </c>
      <c r="M100" s="171">
        <f t="shared" ca="1" si="188"/>
        <v>1.1998962411240282</v>
      </c>
      <c r="N100" s="171">
        <f t="shared" ca="1" si="188"/>
        <v>1.4447757333289841</v>
      </c>
      <c r="O100" s="171">
        <f t="shared" ca="1" si="188"/>
        <v>1.7004419463425338</v>
      </c>
      <c r="P100" s="171">
        <f t="shared" ca="1" si="188"/>
        <v>1.9453076506049021</v>
      </c>
      <c r="Q100" s="171">
        <f t="shared" ca="1" si="188"/>
        <v>2.190168628263506</v>
      </c>
      <c r="R100" s="171">
        <f t="shared" ca="1" si="188"/>
        <v>2.4350251008689474</v>
      </c>
      <c r="S100" s="171">
        <f t="shared" ca="1" si="188"/>
        <v>2.6798772629807477</v>
      </c>
      <c r="T100" s="171">
        <f t="shared" ca="1" si="188"/>
        <v>2.9247252862077406</v>
      </c>
      <c r="U100" s="171">
        <f t="shared" ca="1" si="188"/>
        <v>3.1695693225367716</v>
      </c>
      <c r="V100" s="171">
        <f t="shared" ca="1" si="188"/>
        <v>3.4144095070928211</v>
      </c>
      <c r="W100" s="171">
        <f t="shared" ca="1" si="188"/>
        <v>3.6592459604415275</v>
      </c>
      <c r="X100" s="171">
        <f t="shared" ca="1" si="188"/>
        <v>3.9040787905208703</v>
      </c>
      <c r="Y100" s="171">
        <f t="shared" ca="1" si="188"/>
        <v>4.1489080942704</v>
      </c>
      <c r="Z100" s="171">
        <f t="shared" ca="1" si="188"/>
        <v>4.3937339590122546</v>
      </c>
      <c r="AA100" s="171">
        <f t="shared" ca="1" si="188"/>
        <v>4.638556463627312</v>
      </c>
      <c r="AB100" s="171">
        <f t="shared" ca="1" si="188"/>
        <v>4.8833756795613326</v>
      </c>
      <c r="AC100" s="171">
        <f t="shared" ca="1" si="188"/>
        <v>5.1281916716893114</v>
      </c>
      <c r="AD100" s="171">
        <f t="shared" ca="1" si="188"/>
        <v>5.3730044990609596</v>
      </c>
      <c r="AE100" s="171">
        <f t="shared" ca="1" si="188"/>
        <v>5.6178142155461179</v>
      </c>
      <c r="AF100" s="171">
        <f t="shared" ca="1" si="188"/>
        <v>5.862620870395542</v>
      </c>
      <c r="AG100" s="171">
        <f t="shared" ca="1" si="188"/>
        <v>6.1074245087297712</v>
      </c>
      <c r="AH100" s="171">
        <f t="shared" ca="1" si="188"/>
        <v>6.3522251719667722</v>
      </c>
      <c r="AI100" s="171">
        <f t="shared" ca="1" si="188"/>
        <v>6.59702289819709</v>
      </c>
      <c r="AJ100" s="171">
        <f t="shared" ca="1" si="188"/>
        <v>6.8418177225139871</v>
      </c>
      <c r="AK100" s="171">
        <f t="shared" ca="1" si="188"/>
        <v>7.0866096773047644</v>
      </c>
      <c r="AL100" s="171">
        <f t="shared" ca="1" si="188"/>
        <v>7.3313987925085016</v>
      </c>
      <c r="AM100" s="171">
        <f t="shared" ca="1" si="188"/>
        <v>7.5761850958447194</v>
      </c>
      <c r="AN100" s="171">
        <f t="shared" ca="1" si="188"/>
        <v>7.8209686130166958</v>
      </c>
      <c r="AO100" s="171">
        <f t="shared" ca="1" si="188"/>
        <v>8.0657493678927068</v>
      </c>
      <c r="AP100" s="171">
        <f t="shared" ref="AP100:BH100" ca="1" si="189">IF(Reset=1,AP87,AP87-Iout_PreReg*(AP108+dcr*10^-3)-AP99)</f>
        <v>8.3105273826679529</v>
      </c>
      <c r="AQ100" s="171">
        <f t="shared" ca="1" si="189"/>
        <v>8.5553026780095003</v>
      </c>
      <c r="AR100" s="171">
        <f t="shared" ca="1" si="189"/>
        <v>8.8000752731863709</v>
      </c>
      <c r="AS100" s="171">
        <f t="shared" ca="1" si="189"/>
        <v>9.0448451861864516</v>
      </c>
      <c r="AT100" s="171">
        <f t="shared" ca="1" si="189"/>
        <v>9.2896124338218264</v>
      </c>
      <c r="AU100" s="171">
        <f t="shared" ca="1" si="189"/>
        <v>9.5343770318238157</v>
      </c>
      <c r="AV100" s="171">
        <f t="shared" ca="1" si="189"/>
        <v>9.7791389949288998</v>
      </c>
      <c r="AW100" s="171">
        <f t="shared" ca="1" si="189"/>
        <v>10.023898336956545</v>
      </c>
      <c r="AX100" s="171">
        <f t="shared" ca="1" si="189"/>
        <v>10.268655070879774</v>
      </c>
      <c r="AY100" s="171">
        <f t="shared" ca="1" si="189"/>
        <v>10.513409208889316</v>
      </c>
      <c r="AZ100" s="171">
        <f t="shared" ca="1" si="189"/>
        <v>10.75816076245196</v>
      </c>
      <c r="BA100" s="171">
        <f t="shared" ca="1" si="189"/>
        <v>11.002909742363761</v>
      </c>
      <c r="BB100" s="171">
        <f t="shared" ca="1" si="189"/>
        <v>11.247656158798572</v>
      </c>
      <c r="BC100" s="171">
        <f t="shared" ca="1" si="189"/>
        <v>11.492400021352433</v>
      </c>
      <c r="BD100" s="171">
        <f t="shared" ca="1" si="189"/>
        <v>11.737141339084191</v>
      </c>
      <c r="BE100" s="171">
        <f t="shared" ca="1" si="189"/>
        <v>11.981880120552704</v>
      </c>
      <c r="BF100" s="171">
        <f t="shared" ca="1" si="189"/>
        <v>12.226616373851018</v>
      </c>
      <c r="BG100" s="171">
        <f t="shared" ca="1" si="189"/>
        <v>12.471350106637734</v>
      </c>
      <c r="BH100" s="171">
        <f t="shared" ca="1" si="189"/>
        <v>30.465414878411927</v>
      </c>
      <c r="BI100" s="15" t="s">
        <v>88</v>
      </c>
      <c r="BJ100" s="169"/>
      <c r="BK100" s="99"/>
      <c r="BL100" s="99"/>
      <c r="BM100" s="99"/>
      <c r="BN100" s="99"/>
      <c r="BO100" s="99"/>
      <c r="BP100" s="230"/>
      <c r="BQ100" s="230"/>
      <c r="BR100" s="230"/>
      <c r="BS100" s="230"/>
      <c r="BT100" s="230"/>
      <c r="BU100" s="230"/>
      <c r="BV100" s="99"/>
      <c r="BW100" s="99"/>
      <c r="BX100" s="99"/>
      <c r="BY100" s="99"/>
    </row>
    <row r="101" spans="1:77" s="4" customFormat="1" ht="15" thickBot="1" x14ac:dyDescent="0.35">
      <c r="A101" s="21"/>
      <c r="B101" s="30" t="s">
        <v>241</v>
      </c>
      <c r="C101" s="139">
        <f>'Control Loop1'!$B$22</f>
        <v>66.710339269286592</v>
      </c>
      <c r="D101" s="97"/>
      <c r="E101" s="40"/>
      <c r="F101" s="64"/>
      <c r="G101" s="170"/>
      <c r="H101" s="15" t="s">
        <v>133</v>
      </c>
      <c r="I101" s="171">
        <f ca="1">I2-I99</f>
        <v>6.65</v>
      </c>
      <c r="J101" s="171">
        <f t="shared" ref="J101:AO101" ca="1" si="190">J87-J99</f>
        <v>0.65000000000000036</v>
      </c>
      <c r="K101" s="171">
        <f t="shared" ca="1" si="190"/>
        <v>0.8948979591836741</v>
      </c>
      <c r="L101" s="171">
        <f t="shared" ca="1" si="190"/>
        <v>1.1397959183673478</v>
      </c>
      <c r="M101" s="171">
        <f t="shared" ca="1" si="190"/>
        <v>1.3846938775510216</v>
      </c>
      <c r="N101" s="171">
        <f t="shared" ca="1" si="190"/>
        <v>1.6295918367346953</v>
      </c>
      <c r="O101" s="171">
        <f t="shared" ca="1" si="190"/>
        <v>1.8744897959183691</v>
      </c>
      <c r="P101" s="171">
        <f t="shared" ca="1" si="190"/>
        <v>2.1193877551020428</v>
      </c>
      <c r="Q101" s="171">
        <f t="shared" ca="1" si="190"/>
        <v>2.3642857142857165</v>
      </c>
      <c r="R101" s="171">
        <f t="shared" ca="1" si="190"/>
        <v>2.6091836734693903</v>
      </c>
      <c r="S101" s="171">
        <f t="shared" ca="1" si="190"/>
        <v>2.8540816326530631</v>
      </c>
      <c r="T101" s="171">
        <f t="shared" ca="1" si="190"/>
        <v>3.098979591836736</v>
      </c>
      <c r="U101" s="171">
        <f t="shared" ca="1" si="190"/>
        <v>3.3438775510204088</v>
      </c>
      <c r="V101" s="171">
        <f t="shared" ca="1" si="190"/>
        <v>3.5887755102040808</v>
      </c>
      <c r="W101" s="171">
        <f t="shared" ca="1" si="190"/>
        <v>3.8336734693877546</v>
      </c>
      <c r="X101" s="171">
        <f t="shared" ca="1" si="190"/>
        <v>4.0785714285714274</v>
      </c>
      <c r="Y101" s="171">
        <f t="shared" ca="1" si="190"/>
        <v>4.3234693877551003</v>
      </c>
      <c r="Z101" s="171">
        <f t="shared" ca="1" si="190"/>
        <v>4.5683673469387722</v>
      </c>
      <c r="AA101" s="171">
        <f t="shared" ca="1" si="190"/>
        <v>4.813265306122446</v>
      </c>
      <c r="AB101" s="171">
        <f t="shared" ca="1" si="190"/>
        <v>5.058163265306117</v>
      </c>
      <c r="AC101" s="171">
        <f t="shared" ca="1" si="190"/>
        <v>5.3030612244897917</v>
      </c>
      <c r="AD101" s="171">
        <f t="shared" ca="1" si="190"/>
        <v>5.5479591836734645</v>
      </c>
      <c r="AE101" s="171">
        <f t="shared" ca="1" si="190"/>
        <v>5.7928571428571365</v>
      </c>
      <c r="AF101" s="171">
        <f t="shared" ca="1" si="190"/>
        <v>6.0377551020408102</v>
      </c>
      <c r="AG101" s="171">
        <f t="shared" ca="1" si="190"/>
        <v>6.2826530612244831</v>
      </c>
      <c r="AH101" s="171">
        <f t="shared" ca="1" si="190"/>
        <v>6.5275510204081559</v>
      </c>
      <c r="AI101" s="171">
        <f t="shared" ca="1" si="190"/>
        <v>6.7724489795918297</v>
      </c>
      <c r="AJ101" s="171">
        <f t="shared" ca="1" si="190"/>
        <v>7.0173469387755016</v>
      </c>
      <c r="AK101" s="171">
        <f t="shared" ca="1" si="190"/>
        <v>7.2622448979591745</v>
      </c>
      <c r="AL101" s="171">
        <f t="shared" ca="1" si="190"/>
        <v>7.5071428571428473</v>
      </c>
      <c r="AM101" s="171">
        <f t="shared" ca="1" si="190"/>
        <v>7.7520408163265202</v>
      </c>
      <c r="AN101" s="171">
        <f t="shared" ca="1" si="190"/>
        <v>7.9969387755101931</v>
      </c>
      <c r="AO101" s="171">
        <f t="shared" ca="1" si="190"/>
        <v>8.2418367346938659</v>
      </c>
      <c r="AP101" s="171">
        <f t="shared" ref="AP101:BH101" ca="1" si="191">AP87-AP99</f>
        <v>8.4867346938775388</v>
      </c>
      <c r="AQ101" s="171">
        <f t="shared" ca="1" si="191"/>
        <v>8.7316326530612116</v>
      </c>
      <c r="AR101" s="171">
        <f t="shared" ca="1" si="191"/>
        <v>8.9765306122448845</v>
      </c>
      <c r="AS101" s="171">
        <f t="shared" ca="1" si="191"/>
        <v>9.2214285714285573</v>
      </c>
      <c r="AT101" s="171">
        <f t="shared" ca="1" si="191"/>
        <v>9.4663265306122302</v>
      </c>
      <c r="AU101" s="171">
        <f t="shared" ca="1" si="191"/>
        <v>9.711224489795903</v>
      </c>
      <c r="AV101" s="171">
        <f t="shared" ca="1" si="191"/>
        <v>9.9561224489795759</v>
      </c>
      <c r="AW101" s="171">
        <f t="shared" ca="1" si="191"/>
        <v>10.201020408163249</v>
      </c>
      <c r="AX101" s="171">
        <f t="shared" ca="1" si="191"/>
        <v>10.445918367346922</v>
      </c>
      <c r="AY101" s="171">
        <f t="shared" ca="1" si="191"/>
        <v>10.690816326530596</v>
      </c>
      <c r="AZ101" s="171">
        <f t="shared" ca="1" si="191"/>
        <v>10.935714285714271</v>
      </c>
      <c r="BA101" s="171">
        <f t="shared" ca="1" si="191"/>
        <v>11.180612244897945</v>
      </c>
      <c r="BB101" s="171">
        <f t="shared" ca="1" si="191"/>
        <v>11.42551020408162</v>
      </c>
      <c r="BC101" s="171">
        <f t="shared" ca="1" si="191"/>
        <v>11.670408163265295</v>
      </c>
      <c r="BD101" s="171">
        <f t="shared" ca="1" si="191"/>
        <v>11.915306122448969</v>
      </c>
      <c r="BE101" s="171">
        <f t="shared" ca="1" si="191"/>
        <v>12.160204081632644</v>
      </c>
      <c r="BF101" s="171">
        <f t="shared" ca="1" si="191"/>
        <v>12.405102040816319</v>
      </c>
      <c r="BG101" s="171">
        <f t="shared" ca="1" si="191"/>
        <v>12.649999999999993</v>
      </c>
      <c r="BH101" s="171">
        <f t="shared" ca="1" si="191"/>
        <v>30.65</v>
      </c>
      <c r="BI101" s="15"/>
      <c r="BJ101" s="169"/>
      <c r="BK101" s="99"/>
      <c r="BL101" s="99"/>
      <c r="BM101" s="99"/>
      <c r="BN101" s="99"/>
      <c r="BO101" s="99"/>
      <c r="BP101" s="230"/>
      <c r="BQ101" s="230"/>
      <c r="BR101" s="230"/>
      <c r="BS101" s="230"/>
      <c r="BT101" s="230"/>
      <c r="BU101" s="230"/>
      <c r="BV101" s="99"/>
      <c r="BW101" s="99"/>
      <c r="BX101" s="99"/>
      <c r="BY101" s="99"/>
    </row>
    <row r="102" spans="1:77" s="4" customFormat="1" ht="15" thickBot="1" x14ac:dyDescent="0.35">
      <c r="A102" s="21"/>
      <c r="B102" s="21"/>
      <c r="C102" s="21"/>
      <c r="D102" s="21"/>
      <c r="E102" s="21"/>
      <c r="F102" s="21"/>
      <c r="G102" s="197" t="s">
        <v>77</v>
      </c>
      <c r="H102" s="15" t="s">
        <v>41</v>
      </c>
      <c r="I102" s="180">
        <f t="shared" ref="I102:AN102" ca="1" si="192">Iout_PreReg+I103/2</f>
        <v>0.99232092623116497</v>
      </c>
      <c r="J102" s="180">
        <f t="shared" ca="1" si="192"/>
        <v>0.85354687342401303</v>
      </c>
      <c r="K102" s="180">
        <f t="shared" ca="1" si="192"/>
        <v>0.86427161969185895</v>
      </c>
      <c r="L102" s="180">
        <f t="shared" ca="1" si="192"/>
        <v>0.87421106317125397</v>
      </c>
      <c r="M102" s="180">
        <f t="shared" ca="1" si="192"/>
        <v>0.8834480161279914</v>
      </c>
      <c r="N102" s="180">
        <f t="shared" ca="1" si="192"/>
        <v>0.89205409733230223</v>
      </c>
      <c r="O102" s="180">
        <f t="shared" ca="1" si="192"/>
        <v>0.90043358285852115</v>
      </c>
      <c r="P102" s="180">
        <f t="shared" ca="1" si="192"/>
        <v>0.90793515164626015</v>
      </c>
      <c r="Q102" s="180">
        <f t="shared" ca="1" si="192"/>
        <v>0.91497208576154065</v>
      </c>
      <c r="R102" s="180">
        <f t="shared" ca="1" si="192"/>
        <v>0.92158612169853427</v>
      </c>
      <c r="S102" s="180">
        <f t="shared" ca="1" si="192"/>
        <v>0.92781415849587223</v>
      </c>
      <c r="T102" s="180">
        <f t="shared" ca="1" si="192"/>
        <v>0.93368893656577401</v>
      </c>
      <c r="U102" s="180">
        <f t="shared" ca="1" si="192"/>
        <v>0.93923960571705101</v>
      </c>
      <c r="V102" s="180">
        <f t="shared" ca="1" si="192"/>
        <v>0.94449220284167568</v>
      </c>
      <c r="W102" s="180">
        <f t="shared" ca="1" si="192"/>
        <v>0.94947005553952313</v>
      </c>
      <c r="X102" s="180">
        <f t="shared" ca="1" si="192"/>
        <v>0.95419412470027132</v>
      </c>
      <c r="Y102" s="180">
        <f t="shared" ca="1" si="192"/>
        <v>0.95868329651810213</v>
      </c>
      <c r="Z102" s="180">
        <f t="shared" ca="1" si="192"/>
        <v>0.96295463241536383</v>
      </c>
      <c r="AA102" s="180">
        <f t="shared" ca="1" si="192"/>
        <v>0.96702358376993436</v>
      </c>
      <c r="AB102" s="180">
        <f t="shared" ca="1" si="192"/>
        <v>0.97090417708305554</v>
      </c>
      <c r="AC102" s="180">
        <f t="shared" ca="1" si="192"/>
        <v>0.97460917421822024</v>
      </c>
      <c r="AD102" s="180">
        <f t="shared" ca="1" si="192"/>
        <v>0.97815021153266268</v>
      </c>
      <c r="AE102" s="180">
        <f t="shared" ca="1" si="192"/>
        <v>0.9815379210692361</v>
      </c>
      <c r="AF102" s="180">
        <f t="shared" ca="1" si="192"/>
        <v>0.98478203644560047</v>
      </c>
      <c r="AG102" s="180">
        <f t="shared" ca="1" si="192"/>
        <v>0.98789148564461837</v>
      </c>
      <c r="AH102" s="180">
        <f t="shared" ca="1" si="192"/>
        <v>0.99087447255506456</v>
      </c>
      <c r="AI102" s="180">
        <f t="shared" ca="1" si="192"/>
        <v>0.99373854881983115</v>
      </c>
      <c r="AJ102" s="180">
        <f t="shared" ca="1" si="192"/>
        <v>0.99649067730764551</v>
      </c>
      <c r="AK102" s="180">
        <f t="shared" ca="1" si="192"/>
        <v>0.99913728832430349</v>
      </c>
      <c r="AL102" s="180">
        <f t="shared" ca="1" si="192"/>
        <v>1.0016843295129152</v>
      </c>
      <c r="AM102" s="180">
        <f t="shared" ca="1" si="192"/>
        <v>1.0041373102535471</v>
      </c>
      <c r="AN102" s="180">
        <f t="shared" ca="1" si="192"/>
        <v>1.00650134125602</v>
      </c>
      <c r="AO102" s="180">
        <f t="shared" ref="AO102:BH102" ca="1" si="193">Iout_PreReg+AO103/2</f>
        <v>1.0087811699415183</v>
      </c>
      <c r="AP102" s="180">
        <f t="shared" ca="1" si="193"/>
        <v>1.0109812121258765</v>
      </c>
      <c r="AQ102" s="180">
        <f t="shared" ca="1" si="193"/>
        <v>1.0131055804473301</v>
      </c>
      <c r="AR102" s="180">
        <f t="shared" ca="1" si="193"/>
        <v>1.015158109922019</v>
      </c>
      <c r="AS102" s="180">
        <f t="shared" ca="1" si="193"/>
        <v>1.0171423809598625</v>
      </c>
      <c r="AT102" s="180">
        <f t="shared" ca="1" si="193"/>
        <v>1.0190617401301694</v>
      </c>
      <c r="AU102" s="180">
        <f t="shared" ca="1" si="193"/>
        <v>1.0209193189293044</v>
      </c>
      <c r="AV102" s="180">
        <f t="shared" ca="1" si="193"/>
        <v>1.0227180507709401</v>
      </c>
      <c r="AW102" s="180">
        <f t="shared" ca="1" si="193"/>
        <v>1.0244606863920578</v>
      </c>
      <c r="AX102" s="180">
        <f t="shared" ca="1" si="193"/>
        <v>1.0261498078442619</v>
      </c>
      <c r="AY102" s="180">
        <f t="shared" ca="1" si="193"/>
        <v>1.0277878412195613</v>
      </c>
      <c r="AZ102" s="180">
        <f t="shared" ca="1" si="193"/>
        <v>1.0293770682420713</v>
      </c>
      <c r="BA102" s="180">
        <f t="shared" ca="1" si="193"/>
        <v>1.0309196368417388</v>
      </c>
      <c r="BB102" s="180">
        <f t="shared" ca="1" si="193"/>
        <v>1.0324175708128045</v>
      </c>
      <c r="BC102" s="180">
        <f t="shared" ca="1" si="193"/>
        <v>1.0338727786480528</v>
      </c>
      <c r="BD102" s="180">
        <f t="shared" ca="1" si="193"/>
        <v>1.0352870616297023</v>
      </c>
      <c r="BE102" s="180">
        <f t="shared" ca="1" si="193"/>
        <v>1.0366621212488509</v>
      </c>
      <c r="BF102" s="180">
        <f t="shared" ca="1" si="193"/>
        <v>1.0379995660175623</v>
      </c>
      <c r="BG102" s="180">
        <f t="shared" ca="1" si="193"/>
        <v>1.0393009177307744</v>
      </c>
      <c r="BH102" s="180">
        <f t="shared" ca="1" si="193"/>
        <v>1.3492144588570416</v>
      </c>
      <c r="BI102" s="15" t="s">
        <v>41</v>
      </c>
      <c r="BJ102" s="181" t="s">
        <v>77</v>
      </c>
      <c r="BK102" s="99"/>
      <c r="BL102" s="99"/>
      <c r="BM102" s="99"/>
      <c r="BN102" s="99"/>
      <c r="BO102" s="99"/>
      <c r="BP102" s="230"/>
      <c r="BQ102" s="230"/>
      <c r="BR102" s="230"/>
      <c r="BS102" s="230"/>
      <c r="BT102" s="230"/>
      <c r="BU102" s="230"/>
      <c r="BV102" s="99"/>
      <c r="BW102" s="99"/>
      <c r="BX102" s="99"/>
      <c r="BY102" s="99"/>
    </row>
    <row r="103" spans="1:77" s="4" customFormat="1" x14ac:dyDescent="0.3">
      <c r="A103" s="21"/>
      <c r="B103" s="289" t="s">
        <v>273</v>
      </c>
      <c r="C103" s="290"/>
      <c r="D103" s="291"/>
      <c r="E103" s="21"/>
      <c r="F103" s="21"/>
      <c r="G103" s="197"/>
      <c r="H103" s="183" t="s">
        <v>322</v>
      </c>
      <c r="I103" s="180">
        <f t="shared" ref="I103:AN103" ca="1" si="194">I100*I98/(L_buck*10^-6*I96*10^3)</f>
        <v>0.32333344124737645</v>
      </c>
      <c r="J103" s="180">
        <f t="shared" ca="1" si="194"/>
        <v>4.5785335633072723E-2</v>
      </c>
      <c r="K103" s="180">
        <f t="shared" ca="1" si="194"/>
        <v>6.7234828168764402E-2</v>
      </c>
      <c r="L103" s="180">
        <f t="shared" ca="1" si="194"/>
        <v>8.71137151275546E-2</v>
      </c>
      <c r="M103" s="180">
        <f t="shared" ca="1" si="194"/>
        <v>0.10558762104102926</v>
      </c>
      <c r="N103" s="180">
        <f t="shared" ca="1" si="194"/>
        <v>0.12279978344965105</v>
      </c>
      <c r="O103" s="180">
        <f t="shared" ca="1" si="194"/>
        <v>0.13955875450208885</v>
      </c>
      <c r="P103" s="180">
        <f t="shared" ca="1" si="194"/>
        <v>0.15456189207756693</v>
      </c>
      <c r="Q103" s="180">
        <f t="shared" ca="1" si="194"/>
        <v>0.16863576030812782</v>
      </c>
      <c r="R103" s="180">
        <f t="shared" ca="1" si="194"/>
        <v>0.18186383218211505</v>
      </c>
      <c r="S103" s="180">
        <f t="shared" ca="1" si="194"/>
        <v>0.19431990577679101</v>
      </c>
      <c r="T103" s="180">
        <f t="shared" ca="1" si="194"/>
        <v>0.20606946191659464</v>
      </c>
      <c r="U103" s="180">
        <f t="shared" ca="1" si="194"/>
        <v>0.21717080021914867</v>
      </c>
      <c r="V103" s="180">
        <f t="shared" ca="1" si="194"/>
        <v>0.22767599446839787</v>
      </c>
      <c r="W103" s="180">
        <f t="shared" ca="1" si="194"/>
        <v>0.23763169986409285</v>
      </c>
      <c r="X103" s="180">
        <f t="shared" ca="1" si="194"/>
        <v>0.24707983818558923</v>
      </c>
      <c r="Y103" s="180">
        <f t="shared" ca="1" si="194"/>
        <v>0.2560581818212509</v>
      </c>
      <c r="Z103" s="180">
        <f t="shared" ca="1" si="194"/>
        <v>0.26460085361577423</v>
      </c>
      <c r="AA103" s="180">
        <f t="shared" ca="1" si="194"/>
        <v>0.27273875632491518</v>
      </c>
      <c r="AB103" s="180">
        <f t="shared" ca="1" si="194"/>
        <v>0.28049994295115777</v>
      </c>
      <c r="AC103" s="180">
        <f t="shared" ca="1" si="194"/>
        <v>0.287909937221487</v>
      </c>
      <c r="AD103" s="180">
        <f t="shared" ca="1" si="194"/>
        <v>0.29499201185037199</v>
      </c>
      <c r="AE103" s="180">
        <f t="shared" ca="1" si="194"/>
        <v>0.30176743092351888</v>
      </c>
      <c r="AF103" s="180">
        <f t="shared" ca="1" si="194"/>
        <v>0.30825566167624752</v>
      </c>
      <c r="AG103" s="180">
        <f t="shared" ca="1" si="194"/>
        <v>0.31447456007428332</v>
      </c>
      <c r="AH103" s="180">
        <f t="shared" ca="1" si="194"/>
        <v>0.32044053389517574</v>
      </c>
      <c r="AI103" s="180">
        <f t="shared" ca="1" si="194"/>
        <v>0.32616868642470898</v>
      </c>
      <c r="AJ103" s="180">
        <f t="shared" ca="1" si="194"/>
        <v>0.33167294340033759</v>
      </c>
      <c r="AK103" s="180">
        <f t="shared" ca="1" si="194"/>
        <v>0.33696616543365365</v>
      </c>
      <c r="AL103" s="180">
        <f t="shared" ca="1" si="194"/>
        <v>0.34206024781087713</v>
      </c>
      <c r="AM103" s="180">
        <f t="shared" ca="1" si="194"/>
        <v>0.34696620929214089</v>
      </c>
      <c r="AN103" s="180">
        <f t="shared" ca="1" si="194"/>
        <v>0.35169427129708669</v>
      </c>
      <c r="AO103" s="180">
        <f t="shared" ref="AO103:BH103" ca="1" si="195">AO100*AO98/(L_buck*10^-6*AO96*10^3)</f>
        <v>0.35625392866808336</v>
      </c>
      <c r="AP103" s="180">
        <f t="shared" ca="1" si="195"/>
        <v>0.36065401303679961</v>
      </c>
      <c r="AQ103" s="180">
        <f t="shared" ca="1" si="195"/>
        <v>0.36490274967970687</v>
      </c>
      <c r="AR103" s="180">
        <f t="shared" ca="1" si="195"/>
        <v>0.36900780862908461</v>
      </c>
      <c r="AS103" s="180">
        <f t="shared" ca="1" si="195"/>
        <v>0.37297635070477142</v>
      </c>
      <c r="AT103" s="180">
        <f t="shared" ca="1" si="195"/>
        <v>0.3768150690453852</v>
      </c>
      <c r="AU103" s="180">
        <f t="shared" ca="1" si="195"/>
        <v>0.38053022664365566</v>
      </c>
      <c r="AV103" s="180">
        <f t="shared" ca="1" si="195"/>
        <v>0.38412769032692706</v>
      </c>
      <c r="AW103" s="180">
        <f t="shared" ca="1" si="195"/>
        <v>0.38761296156916192</v>
      </c>
      <c r="AX103" s="180">
        <f t="shared" ca="1" si="195"/>
        <v>0.39099120447357039</v>
      </c>
      <c r="AY103" s="180">
        <f t="shared" ca="1" si="195"/>
        <v>0.3942672712241691</v>
      </c>
      <c r="AZ103" s="180">
        <f t="shared" ca="1" si="195"/>
        <v>0.39744572526918898</v>
      </c>
      <c r="BA103" s="180">
        <f t="shared" ca="1" si="195"/>
        <v>0.40053086246852415</v>
      </c>
      <c r="BB103" s="180">
        <f t="shared" ca="1" si="195"/>
        <v>0.40352673041065557</v>
      </c>
      <c r="BC103" s="180">
        <f t="shared" ca="1" si="195"/>
        <v>0.40643714608115222</v>
      </c>
      <c r="BD103" s="180">
        <f t="shared" ca="1" si="195"/>
        <v>0.409265712044451</v>
      </c>
      <c r="BE103" s="180">
        <f t="shared" ca="1" si="195"/>
        <v>0.41201583128274855</v>
      </c>
      <c r="BF103" s="180">
        <f t="shared" ca="1" si="195"/>
        <v>0.41469072082017111</v>
      </c>
      <c r="BG103" s="180">
        <f t="shared" ca="1" si="195"/>
        <v>0.41729342424659527</v>
      </c>
      <c r="BH103" s="180">
        <f t="shared" ca="1" si="195"/>
        <v>1.0371205064991296</v>
      </c>
      <c r="BI103" s="183" t="s">
        <v>322</v>
      </c>
      <c r="BJ103" s="181"/>
      <c r="BK103" s="99"/>
      <c r="BL103" s="99"/>
      <c r="BM103" s="99"/>
      <c r="BN103" s="99"/>
      <c r="BO103" s="99"/>
      <c r="BP103" s="230"/>
      <c r="BQ103" s="230"/>
      <c r="BR103" s="230"/>
      <c r="BS103" s="230"/>
      <c r="BT103" s="230"/>
      <c r="BU103" s="230"/>
      <c r="BV103" s="99"/>
      <c r="BW103" s="99"/>
      <c r="BX103" s="99"/>
      <c r="BY103" s="99"/>
    </row>
    <row r="104" spans="1:77" s="4" customFormat="1" x14ac:dyDescent="0.3">
      <c r="A104" s="21"/>
      <c r="B104" s="106" t="s">
        <v>114</v>
      </c>
      <c r="C104" s="101">
        <v>0.2</v>
      </c>
      <c r="D104" s="141" t="s">
        <v>165</v>
      </c>
      <c r="E104" s="21"/>
      <c r="F104" s="21"/>
      <c r="G104" s="197"/>
      <c r="H104" s="183" t="s">
        <v>59</v>
      </c>
      <c r="I104" s="180">
        <f ca="1">SQRT((I102-I103/2)^2+I103^2/12)</f>
        <v>0.83588184101928786</v>
      </c>
      <c r="J104" s="180">
        <f ca="1">SQRT((J102-J103/2)^2+J103^2/12)</f>
        <v>0.83075935186228322</v>
      </c>
      <c r="K104" s="180">
        <f t="shared" ref="K104:BH104" ca="1" si="196">SQRT((K102-K103/2)^2+K103^2/12)</f>
        <v>0.83088092977872696</v>
      </c>
      <c r="L104" s="180">
        <f t="shared" ca="1" si="196"/>
        <v>0.83103478220850169</v>
      </c>
      <c r="M104" s="180">
        <f t="shared" ca="1" si="196"/>
        <v>0.83121325268337753</v>
      </c>
      <c r="N104" s="180">
        <f t="shared" ca="1" si="196"/>
        <v>0.83141028270924189</v>
      </c>
      <c r="O104" s="180">
        <f t="shared" ca="1" si="196"/>
        <v>0.8316306049702813</v>
      </c>
      <c r="P104" s="180">
        <f t="shared" ca="1" si="196"/>
        <v>0.83185166396035093</v>
      </c>
      <c r="Q104" s="180">
        <f t="shared" ca="1" si="196"/>
        <v>0.83207946992136106</v>
      </c>
      <c r="R104" s="180">
        <f t="shared" ca="1" si="196"/>
        <v>0.83231160856259356</v>
      </c>
      <c r="S104" s="180">
        <f t="shared" ca="1" si="196"/>
        <v>0.83254615173883706</v>
      </c>
      <c r="T104" s="180">
        <f t="shared" ca="1" si="196"/>
        <v>0.83278156072762421</v>
      </c>
      <c r="U104" s="180">
        <f t="shared" ca="1" si="196"/>
        <v>0.83301660987784254</v>
      </c>
      <c r="V104" s="180">
        <f t="shared" ca="1" si="196"/>
        <v>0.83325032603143101</v>
      </c>
      <c r="W104" s="180">
        <f t="shared" ca="1" si="196"/>
        <v>0.83348194023130839</v>
      </c>
      <c r="X104" s="180">
        <f t="shared" ca="1" si="196"/>
        <v>0.83371084905371895</v>
      </c>
      <c r="Y104" s="180">
        <f t="shared" ca="1" si="196"/>
        <v>0.83393658352010713</v>
      </c>
      <c r="Z104" s="180">
        <f t="shared" ca="1" si="196"/>
        <v>0.83415878400811949</v>
      </c>
      <c r="AA104" s="180">
        <f t="shared" ca="1" si="196"/>
        <v>0.83437717993334815</v>
      </c>
      <c r="AB104" s="180">
        <f t="shared" ca="1" si="196"/>
        <v>0.83459157324187916</v>
      </c>
      <c r="AC104" s="180">
        <f t="shared" ca="1" si="196"/>
        <v>0.83480182495964972</v>
      </c>
      <c r="AD104" s="180">
        <f t="shared" ca="1" si="196"/>
        <v>0.83500784420348351</v>
      </c>
      <c r="AE104" s="180">
        <f t="shared" ca="1" si="196"/>
        <v>0.83520957918191796</v>
      </c>
      <c r="AF104" s="180">
        <f t="shared" ca="1" si="196"/>
        <v>0.83540700980999472</v>
      </c>
      <c r="AG104" s="180">
        <f t="shared" ca="1" si="196"/>
        <v>0.83560014163746266</v>
      </c>
      <c r="AH104" s="180">
        <f t="shared" ca="1" si="196"/>
        <v>0.83578900084908203</v>
      </c>
      <c r="AI104" s="180">
        <f t="shared" ca="1" si="196"/>
        <v>0.83597363014255599</v>
      </c>
      <c r="AJ104" s="180">
        <f t="shared" ca="1" si="196"/>
        <v>0.83615408532680657</v>
      </c>
      <c r="AK104" s="180">
        <f t="shared" ca="1" si="196"/>
        <v>0.83633043251295702</v>
      </c>
      <c r="AL104" s="180">
        <f t="shared" ca="1" si="196"/>
        <v>0.83650274579411343</v>
      </c>
      <c r="AM104" s="180">
        <f t="shared" ca="1" si="196"/>
        <v>0.83667110532909006</v>
      </c>
      <c r="AN104" s="180">
        <f t="shared" ca="1" si="196"/>
        <v>0.8368355957605933</v>
      </c>
      <c r="AO104" s="180">
        <f t="shared" ca="1" si="196"/>
        <v>0.83699630491080534</v>
      </c>
      <c r="AP104" s="180">
        <f t="shared" ca="1" si="196"/>
        <v>0.83715332270738618</v>
      </c>
      <c r="AQ104" s="180">
        <f t="shared" ca="1" si="196"/>
        <v>0.83730674030113106</v>
      </c>
      <c r="AR104" s="180">
        <f t="shared" ca="1" si="196"/>
        <v>0.83745664934321107</v>
      </c>
      <c r="AS104" s="180">
        <f t="shared" ca="1" si="196"/>
        <v>0.83760314139541991</v>
      </c>
      <c r="AT104" s="180">
        <f t="shared" ca="1" si="196"/>
        <v>0.83774630745134382</v>
      </c>
      <c r="AU104" s="180">
        <f t="shared" ca="1" si="196"/>
        <v>0.83788623755008895</v>
      </c>
      <c r="AV104" s="180">
        <f t="shared" ca="1" si="196"/>
        <v>0.83802302046724608</v>
      </c>
      <c r="AW104" s="180">
        <f t="shared" ca="1" si="196"/>
        <v>0.83815674347031088</v>
      </c>
      <c r="AX104" s="180">
        <f t="shared" ca="1" si="196"/>
        <v>0.83828749212786735</v>
      </c>
      <c r="AY104" s="180">
        <f t="shared" ca="1" si="196"/>
        <v>0.83841535016358948</v>
      </c>
      <c r="AZ104" s="180">
        <f t="shared" ca="1" si="196"/>
        <v>0.83854039934755142</v>
      </c>
      <c r="BA104" s="180">
        <f t="shared" ca="1" si="196"/>
        <v>0.8386627194185613</v>
      </c>
      <c r="BB104" s="180">
        <f t="shared" ca="1" si="196"/>
        <v>0.83878238803222838</v>
      </c>
      <c r="BC104" s="180">
        <f t="shared" ca="1" si="196"/>
        <v>0.83889948073032217</v>
      </c>
      <c r="BD104" s="180">
        <f t="shared" ca="1" si="196"/>
        <v>0.83901407092769265</v>
      </c>
      <c r="BE104" s="180">
        <f t="shared" ca="1" si="196"/>
        <v>0.83912622991360641</v>
      </c>
      <c r="BF104" s="180">
        <f t="shared" ca="1" si="196"/>
        <v>0.83923602686486098</v>
      </c>
      <c r="BG104" s="180">
        <f t="shared" ca="1" si="196"/>
        <v>0.83934352886844976</v>
      </c>
      <c r="BH104" s="180">
        <f t="shared" ca="1" si="196"/>
        <v>0.88296167605214093</v>
      </c>
      <c r="BI104" s="183" t="s">
        <v>59</v>
      </c>
      <c r="BJ104" s="181"/>
      <c r="BK104" s="99"/>
      <c r="BL104" s="99"/>
      <c r="BM104" s="99"/>
      <c r="BN104" s="99"/>
      <c r="BO104" s="99"/>
      <c r="BP104" s="230"/>
      <c r="BQ104" s="230"/>
      <c r="BR104" s="230"/>
      <c r="BS104" s="230"/>
      <c r="BT104" s="230"/>
      <c r="BU104" s="230"/>
      <c r="BV104" s="99"/>
      <c r="BW104" s="99"/>
      <c r="BX104" s="99"/>
      <c r="BY104" s="99"/>
    </row>
    <row r="105" spans="1:77" s="4" customFormat="1" x14ac:dyDescent="0.3">
      <c r="A105" s="21"/>
      <c r="B105" s="106" t="s">
        <v>115</v>
      </c>
      <c r="C105" s="108">
        <f>ROUNDUP((Vreg-Vout_sync_buck)*Vout_sync_buck/(Vreg*fsw*10^-3*k_ripple2*Iout_sync_buck),2)</f>
        <v>4.5199999999999996</v>
      </c>
      <c r="D105" s="141" t="s">
        <v>166</v>
      </c>
      <c r="E105" s="6"/>
      <c r="F105" s="21"/>
      <c r="G105" s="197"/>
      <c r="H105" s="15" t="s">
        <v>8</v>
      </c>
      <c r="I105" s="185">
        <f t="shared" ref="I105" ca="1" si="197">SQRT(I98*((I102-I103/2)^2+I103^2/12))</f>
        <v>0.57269954731198913</v>
      </c>
      <c r="J105" s="185">
        <f ca="1">SQRT(J98*((J102-J103/2)^2+J103^2/12))</f>
        <v>0.79904780422445143</v>
      </c>
      <c r="K105" s="185">
        <f t="shared" ref="K105:BH105" ca="1" si="198">SQRT(K98*((K102-K103/2)^2+K103^2/12))</f>
        <v>0.7838522619530951</v>
      </c>
      <c r="L105" s="185">
        <f t="shared" ca="1" si="198"/>
        <v>0.7695241113801371</v>
      </c>
      <c r="M105" s="185">
        <f t="shared" ca="1" si="198"/>
        <v>0.75598128069238857</v>
      </c>
      <c r="N105" s="185">
        <f t="shared" ca="1" si="198"/>
        <v>0.74315242530327819</v>
      </c>
      <c r="O105" s="185">
        <f t="shared" ca="1" si="198"/>
        <v>0.73045258100617472</v>
      </c>
      <c r="P105" s="185">
        <f t="shared" ca="1" si="198"/>
        <v>0.71889734854329634</v>
      </c>
      <c r="Q105" s="185">
        <f t="shared" ca="1" si="198"/>
        <v>0.7078883973294422</v>
      </c>
      <c r="R105" s="185">
        <f t="shared" ca="1" si="198"/>
        <v>0.69738295214150459</v>
      </c>
      <c r="S105" s="185">
        <f t="shared" ca="1" si="198"/>
        <v>0.6873428797340303</v>
      </c>
      <c r="T105" s="185">
        <f t="shared" ca="1" si="198"/>
        <v>0.67773405061134873</v>
      </c>
      <c r="U105" s="185">
        <f t="shared" ca="1" si="198"/>
        <v>0.66852580602509748</v>
      </c>
      <c r="V105" s="185">
        <f t="shared" ca="1" si="198"/>
        <v>0.65969051015414926</v>
      </c>
      <c r="W105" s="185">
        <f t="shared" ca="1" si="198"/>
        <v>0.65120317171852427</v>
      </c>
      <c r="X105" s="185">
        <f t="shared" ca="1" si="198"/>
        <v>0.64304112255859558</v>
      </c>
      <c r="Y105" s="185">
        <f t="shared" ca="1" si="198"/>
        <v>0.63518374323630922</v>
      </c>
      <c r="Z105" s="185">
        <f t="shared" ca="1" si="198"/>
        <v>0.62761222767495495</v>
      </c>
      <c r="AA105" s="185">
        <f t="shared" ca="1" si="198"/>
        <v>0.62030938038619843</v>
      </c>
      <c r="AB105" s="185">
        <f t="shared" ca="1" si="198"/>
        <v>0.61325944103937557</v>
      </c>
      <c r="AC105" s="185">
        <f t="shared" ca="1" si="198"/>
        <v>0.60644793208410364</v>
      </c>
      <c r="AD105" s="185">
        <f t="shared" ca="1" si="198"/>
        <v>0.59986152589979935</v>
      </c>
      <c r="AE105" s="185">
        <f t="shared" ca="1" si="198"/>
        <v>0.59348792855756316</v>
      </c>
      <c r="AF105" s="185">
        <f t="shared" ca="1" si="198"/>
        <v>0.58731577777365762</v>
      </c>
      <c r="AG105" s="185">
        <f t="shared" ca="1" si="198"/>
        <v>0.58133455303446913</v>
      </c>
      <c r="AH105" s="185">
        <f t="shared" ca="1" si="198"/>
        <v>0.57553449619962904</v>
      </c>
      <c r="AI105" s="185">
        <f t="shared" ca="1" si="198"/>
        <v>0.56990654115784023</v>
      </c>
      <c r="AJ105" s="185">
        <f t="shared" ca="1" si="198"/>
        <v>0.56444225133055581</v>
      </c>
      <c r="AK105" s="185">
        <f t="shared" ca="1" si="198"/>
        <v>0.55913376400116765</v>
      </c>
      <c r="AL105" s="185">
        <f t="shared" ca="1" si="198"/>
        <v>0.55397374059900362</v>
      </c>
      <c r="AM105" s="185">
        <f t="shared" ca="1" si="198"/>
        <v>0.54895532219394327</v>
      </c>
      <c r="AN105" s="185">
        <f t="shared" ca="1" si="198"/>
        <v>0.54407208956343689</v>
      </c>
      <c r="AO105" s="185">
        <f t="shared" ca="1" si="198"/>
        <v>0.53931802728281764</v>
      </c>
      <c r="AP105" s="185">
        <f t="shared" ca="1" si="198"/>
        <v>0.53468749136497218</v>
      </c>
      <c r="AQ105" s="185">
        <f t="shared" ca="1" si="198"/>
        <v>0.53017518003912123</v>
      </c>
      <c r="AR105" s="185">
        <f t="shared" ca="1" si="198"/>
        <v>0.52577610731254332</v>
      </c>
      <c r="AS105" s="185">
        <f t="shared" ca="1" si="198"/>
        <v>0.5214855790051941</v>
      </c>
      <c r="AT105" s="185">
        <f t="shared" ca="1" si="198"/>
        <v>0.51729917098659295</v>
      </c>
      <c r="AU105" s="185">
        <f t="shared" ca="1" si="198"/>
        <v>0.51321270937816288</v>
      </c>
      <c r="AV105" s="185">
        <f t="shared" ca="1" si="198"/>
        <v>0.50922225251328113</v>
      </c>
      <c r="AW105" s="185">
        <f t="shared" ca="1" si="198"/>
        <v>0.5053240744723756</v>
      </c>
      <c r="AX105" s="185">
        <f t="shared" ca="1" si="198"/>
        <v>0.50151465003208529</v>
      </c>
      <c r="AY105" s="185">
        <f t="shared" ca="1" si="198"/>
        <v>0.49779064088629882</v>
      </c>
      <c r="AZ105" s="185">
        <f t="shared" ca="1" si="198"/>
        <v>0.49414888301321813</v>
      </c>
      <c r="BA105" s="185">
        <f t="shared" ca="1" si="198"/>
        <v>0.49058637507682856</v>
      </c>
      <c r="BB105" s="185">
        <f t="shared" ca="1" si="198"/>
        <v>0.48710026776357945</v>
      </c>
      <c r="BC105" s="185">
        <f t="shared" ca="1" si="198"/>
        <v>0.48368785396595054</v>
      </c>
      <c r="BD105" s="185">
        <f t="shared" ca="1" si="198"/>
        <v>0.48034655973412088</v>
      </c>
      <c r="BE105" s="185">
        <f t="shared" ca="1" si="198"/>
        <v>0.47707393592532854</v>
      </c>
      <c r="BF105" s="185">
        <f t="shared" ca="1" si="198"/>
        <v>0.47386765048789925</v>
      </c>
      <c r="BG105" s="185">
        <f t="shared" ca="1" si="198"/>
        <v>0.4707254813234209</v>
      </c>
      <c r="BH105" s="185">
        <f t="shared" ca="1" si="198"/>
        <v>0.35096512902917226</v>
      </c>
      <c r="BI105" s="15" t="s">
        <v>8</v>
      </c>
      <c r="BJ105" s="181"/>
      <c r="BK105" s="99"/>
      <c r="BL105" s="99"/>
      <c r="BM105" s="99"/>
      <c r="BN105" s="99"/>
      <c r="BO105" s="99"/>
      <c r="BP105" s="230"/>
      <c r="BQ105" s="230"/>
      <c r="BR105" s="230"/>
      <c r="BS105" s="230"/>
      <c r="BT105" s="230"/>
      <c r="BU105" s="230"/>
      <c r="BV105" s="99"/>
      <c r="BW105" s="99"/>
      <c r="BX105" s="99"/>
      <c r="BY105" s="99"/>
    </row>
    <row r="106" spans="1:77" s="4" customFormat="1" x14ac:dyDescent="0.3">
      <c r="A106" s="21"/>
      <c r="B106" s="46" t="s">
        <v>116</v>
      </c>
      <c r="C106" s="53">
        <f ca="1">IF(Topology="buck",MAX(J192:BG192),MAX(J45:BG45))</f>
        <v>0.7009698118777361</v>
      </c>
      <c r="D106" s="79" t="s">
        <v>169</v>
      </c>
      <c r="E106" s="6"/>
      <c r="F106" s="145"/>
      <c r="G106" s="197"/>
      <c r="H106" s="15" t="s">
        <v>45</v>
      </c>
      <c r="I106" s="180">
        <f ca="1">(I102-I103/2)*(1-I98)</f>
        <v>0.44072643493931724</v>
      </c>
      <c r="J106" s="180">
        <f ca="1">(J102-J103/2)*(1-J98)</f>
        <v>6.2204735621662732E-2</v>
      </c>
      <c r="K106" s="180">
        <f t="shared" ref="K106:BH106" ca="1" si="199">(K102-K103/2)*(1-K98)</f>
        <v>9.1370528096729631E-2</v>
      </c>
      <c r="L106" s="180">
        <f t="shared" ca="1" si="199"/>
        <v>0.11841425534692031</v>
      </c>
      <c r="M106" s="180">
        <f t="shared" ca="1" si="199"/>
        <v>0.14355818377213239</v>
      </c>
      <c r="N106" s="180">
        <f t="shared" ca="1" si="199"/>
        <v>0.16699475338923883</v>
      </c>
      <c r="O106" s="180">
        <f t="shared" ca="1" si="199"/>
        <v>0.18982337566063204</v>
      </c>
      <c r="P106" s="180">
        <f t="shared" ca="1" si="199"/>
        <v>0.21026782866345034</v>
      </c>
      <c r="Q106" s="180">
        <f t="shared" ca="1" si="199"/>
        <v>0.22945244604609782</v>
      </c>
      <c r="R106" s="180">
        <f t="shared" ca="1" si="199"/>
        <v>0.24748978739965477</v>
      </c>
      <c r="S106" s="180">
        <f t="shared" ca="1" si="199"/>
        <v>0.26447943990207545</v>
      </c>
      <c r="T106" s="180">
        <f t="shared" ca="1" si="199"/>
        <v>0.2805098278234669</v>
      </c>
      <c r="U106" s="180">
        <f t="shared" ca="1" si="199"/>
        <v>0.29565972853691225</v>
      </c>
      <c r="V106" s="180">
        <f t="shared" ca="1" si="199"/>
        <v>0.30999954888722708</v>
      </c>
      <c r="W106" s="180">
        <f t="shared" ca="1" si="199"/>
        <v>0.3235924048131173</v>
      </c>
      <c r="X106" s="180">
        <f t="shared" ca="1" si="199"/>
        <v>0.33649503859600677</v>
      </c>
      <c r="Y106" s="180">
        <f t="shared" ca="1" si="199"/>
        <v>0.34875860143747506</v>
      </c>
      <c r="Z106" s="180">
        <f t="shared" ca="1" si="199"/>
        <v>0.36042932381258275</v>
      </c>
      <c r="AA106" s="180">
        <f t="shared" ca="1" si="199"/>
        <v>0.371549091883141</v>
      </c>
      <c r="AB106" s="180">
        <f t="shared" ca="1" si="199"/>
        <v>0.38215594493790545</v>
      </c>
      <c r="AC106" s="180">
        <f t="shared" ca="1" si="199"/>
        <v>0.39228450616953486</v>
      </c>
      <c r="AD106" s="180">
        <f t="shared" ca="1" si="199"/>
        <v>0.4019663569586801</v>
      </c>
      <c r="AE106" s="180">
        <f t="shared" ca="1" si="199"/>
        <v>0.41123036310441857</v>
      </c>
      <c r="AF106" s="180">
        <f t="shared" ca="1" si="199"/>
        <v>0.42010296003285019</v>
      </c>
      <c r="AG106" s="180">
        <f t="shared" ca="1" si="199"/>
        <v>0.42860840286631824</v>
      </c>
      <c r="AH106" s="180">
        <f t="shared" ca="1" si="199"/>
        <v>0.43676898629300348</v>
      </c>
      <c r="AI106" s="180">
        <f t="shared" ca="1" si="199"/>
        <v>0.44460523840018845</v>
      </c>
      <c r="AJ106" s="180">
        <f t="shared" ca="1" si="199"/>
        <v>0.45213609199243004</v>
      </c>
      <c r="AK106" s="180">
        <f t="shared" ca="1" si="199"/>
        <v>0.45937903638288469</v>
      </c>
      <c r="AL106" s="180">
        <f t="shared" ca="1" si="199"/>
        <v>0.46635025220196202</v>
      </c>
      <c r="AM106" s="180">
        <f t="shared" ca="1" si="199"/>
        <v>0.47306473139616517</v>
      </c>
      <c r="AN106" s="180">
        <f t="shared" ca="1" si="199"/>
        <v>0.47953638427843609</v>
      </c>
      <c r="AO106" s="180">
        <f t="shared" ca="1" si="199"/>
        <v>0.48577813522907709</v>
      </c>
      <c r="AP106" s="180">
        <f t="shared" ca="1" si="199"/>
        <v>0.49180200842485539</v>
      </c>
      <c r="AQ106" s="180">
        <f t="shared" ca="1" si="199"/>
        <v>0.49761920478630106</v>
      </c>
      <c r="AR106" s="180">
        <f t="shared" ca="1" si="199"/>
        <v>0.50324017117384057</v>
      </c>
      <c r="AS106" s="180">
        <f t="shared" ca="1" si="199"/>
        <v>0.5086746627276133</v>
      </c>
      <c r="AT106" s="180">
        <f t="shared" ca="1" si="199"/>
        <v>0.51393179912980869</v>
      </c>
      <c r="AU106" s="180">
        <f t="shared" ca="1" si="199"/>
        <v>0.51902011546897975</v>
      </c>
      <c r="AV106" s="180">
        <f t="shared" ca="1" si="199"/>
        <v>0.52394760830043197</v>
      </c>
      <c r="AW106" s="180">
        <f t="shared" ca="1" si="199"/>
        <v>0.52872177742329218</v>
      </c>
      <c r="AX106" s="180">
        <f t="shared" ca="1" si="199"/>
        <v>0.53334966383143489</v>
      </c>
      <c r="AY106" s="180">
        <f t="shared" ca="1" si="199"/>
        <v>0.53783788424056789</v>
      </c>
      <c r="AZ106" s="180">
        <f t="shared" ca="1" si="199"/>
        <v>0.5421926625461867</v>
      </c>
      <c r="BA106" s="180">
        <f t="shared" ca="1" si="199"/>
        <v>0.54641985852577557</v>
      </c>
      <c r="BB106" s="180">
        <f t="shared" ca="1" si="199"/>
        <v>0.55052499406260469</v>
      </c>
      <c r="BC106" s="180">
        <f t="shared" ca="1" si="199"/>
        <v>0.55451327713706422</v>
      </c>
      <c r="BD106" s="180">
        <f t="shared" ca="1" si="199"/>
        <v>0.55838962380398616</v>
      </c>
      <c r="BE106" s="180">
        <f t="shared" ca="1" si="199"/>
        <v>0.5621586783503375</v>
      </c>
      <c r="BF106" s="180">
        <f t="shared" ca="1" si="199"/>
        <v>0.56582483180653476</v>
      </c>
      <c r="BG106" s="180">
        <f t="shared" ca="1" si="199"/>
        <v>0.56939223896603519</v>
      </c>
      <c r="BH106" s="180">
        <f t="shared" ca="1" si="199"/>
        <v>0.69941472683080497</v>
      </c>
      <c r="BI106" s="15" t="s">
        <v>45</v>
      </c>
      <c r="BJ106" s="181"/>
      <c r="BK106" s="99"/>
      <c r="BL106" s="99"/>
      <c r="BM106" s="99"/>
      <c r="BN106" s="99"/>
      <c r="BO106" s="99"/>
      <c r="BP106" s="230"/>
      <c r="BQ106" s="230"/>
      <c r="BR106" s="230"/>
      <c r="BS106" s="230"/>
      <c r="BT106" s="230"/>
      <c r="BU106" s="230"/>
      <c r="BV106" s="99"/>
      <c r="BW106" s="99"/>
      <c r="BX106" s="99"/>
      <c r="BY106" s="99"/>
    </row>
    <row r="107" spans="1:77" s="4" customFormat="1" x14ac:dyDescent="0.3">
      <c r="A107" s="21"/>
      <c r="B107" s="46" t="s">
        <v>127</v>
      </c>
      <c r="C107" s="53">
        <f ca="1">IF(Topology="buck",MAX(J187:BG187),MAX(J43:BG43))</f>
        <v>0.76384380542954944</v>
      </c>
      <c r="D107" s="79" t="s">
        <v>167</v>
      </c>
      <c r="E107" s="6"/>
      <c r="F107" s="21"/>
      <c r="G107" s="197"/>
      <c r="H107" s="15" t="s">
        <v>132</v>
      </c>
      <c r="I107" s="180">
        <f t="shared" ref="I107" ca="1" si="200">SQRT(((I102-I103/2-Iout_PreReg)^2+I103^2/12))</f>
        <v>9.333832467109042E-2</v>
      </c>
      <c r="J107" s="180">
        <f t="shared" ref="J107:AO107" ca="1" si="201">SQRT(((J102-J103/2-Iout_PreReg)^2+J103^2/12))</f>
        <v>1.321708792634595E-2</v>
      </c>
      <c r="K107" s="180">
        <f t="shared" ca="1" si="201"/>
        <v>1.940902307107718E-2</v>
      </c>
      <c r="L107" s="180">
        <f t="shared" ca="1" si="201"/>
        <v>2.514756343950101E-2</v>
      </c>
      <c r="M107" s="180">
        <f t="shared" ca="1" si="201"/>
        <v>3.0480520715565219E-2</v>
      </c>
      <c r="N107" s="180">
        <f t="shared" ca="1" si="201"/>
        <v>3.5449244015541892E-2</v>
      </c>
      <c r="O107" s="180">
        <f t="shared" ca="1" si="201"/>
        <v>4.0287142239774948E-2</v>
      </c>
      <c r="P107" s="180">
        <f t="shared" ca="1" si="201"/>
        <v>4.4618174998720582E-2</v>
      </c>
      <c r="Q107" s="180">
        <f t="shared" ca="1" si="201"/>
        <v>4.8680950804447405E-2</v>
      </c>
      <c r="R107" s="180">
        <f t="shared" ca="1" si="201"/>
        <v>5.2499566233100529E-2</v>
      </c>
      <c r="S107" s="180">
        <f t="shared" ca="1" si="201"/>
        <v>5.6095324954566497E-2</v>
      </c>
      <c r="T107" s="180">
        <f t="shared" ca="1" si="201"/>
        <v>5.9487129654653623E-2</v>
      </c>
      <c r="U107" s="180">
        <f t="shared" ca="1" si="201"/>
        <v>6.2691809983325963E-2</v>
      </c>
      <c r="V107" s="180">
        <f t="shared" ca="1" si="201"/>
        <v>6.5724398347172627E-2</v>
      </c>
      <c r="W107" s="180">
        <f t="shared" ca="1" si="201"/>
        <v>6.8598362942261182E-2</v>
      </c>
      <c r="X107" s="180">
        <f t="shared" ca="1" si="201"/>
        <v>7.1325805543889564E-2</v>
      </c>
      <c r="Y107" s="180">
        <f t="shared" ca="1" si="201"/>
        <v>7.3917630101352674E-2</v>
      </c>
      <c r="Z107" s="180">
        <f t="shared" ca="1" si="201"/>
        <v>7.6383687031436012E-2</v>
      </c>
      <c r="AA107" s="180">
        <f t="shared" ca="1" si="201"/>
        <v>7.8732897191316764E-2</v>
      </c>
      <c r="AB107" s="180">
        <f t="shared" ca="1" si="201"/>
        <v>8.0973358785262808E-2</v>
      </c>
      <c r="AC107" s="180">
        <f t="shared" ca="1" si="201"/>
        <v>8.3112439878596886E-2</v>
      </c>
      <c r="AD107" s="180">
        <f t="shared" ca="1" si="201"/>
        <v>8.515685872530078E-2</v>
      </c>
      <c r="AE107" s="180">
        <f t="shared" ca="1" si="201"/>
        <v>8.7112753738177715E-2</v>
      </c>
      <c r="AF107" s="180">
        <f t="shared" ca="1" si="201"/>
        <v>8.8985744624003854E-2</v>
      </c>
      <c r="AG107" s="180">
        <f t="shared" ca="1" si="201"/>
        <v>9.07809859560883E-2</v>
      </c>
      <c r="AH107" s="180">
        <f t="shared" ca="1" si="201"/>
        <v>9.2503214251823562E-2</v>
      </c>
      <c r="AI107" s="180">
        <f t="shared" ca="1" si="201"/>
        <v>9.4156789454266185E-2</v>
      </c>
      <c r="AJ107" s="180">
        <f t="shared" ca="1" si="201"/>
        <v>9.5745731577550217E-2</v>
      </c>
      <c r="AK107" s="180">
        <f t="shared" ca="1" si="201"/>
        <v>9.7273753160457943E-2</v>
      </c>
      <c r="AL107" s="180">
        <f t="shared" ca="1" si="201"/>
        <v>9.8744288076340003E-2</v>
      </c>
      <c r="AM107" s="180">
        <f t="shared" ca="1" si="201"/>
        <v>0.10016051716726079</v>
      </c>
      <c r="AN107" s="180">
        <f t="shared" ca="1" si="201"/>
        <v>0.10152539110291114</v>
      </c>
      <c r="AO107" s="180">
        <f t="shared" ca="1" si="201"/>
        <v>0.10284165080818984</v>
      </c>
      <c r="AP107" s="180">
        <f t="shared" ref="AP107:BH107" ca="1" si="202">SQRT(((AP102-AP103/2-Iout_PreReg)^2+AP103^2/12))</f>
        <v>0.10411184575555753</v>
      </c>
      <c r="AQ107" s="180">
        <f t="shared" ca="1" si="202"/>
        <v>0.10533835037780669</v>
      </c>
      <c r="AR107" s="180">
        <f t="shared" ca="1" si="202"/>
        <v>0.10652337882253794</v>
      </c>
      <c r="AS107" s="180">
        <f t="shared" ca="1" si="202"/>
        <v>0.10766899824038202</v>
      </c>
      <c r="AT107" s="180">
        <f t="shared" ca="1" si="202"/>
        <v>0.10877714077403028</v>
      </c>
      <c r="AU107" s="180">
        <f t="shared" ca="1" si="202"/>
        <v>0.10984961439375195</v>
      </c>
      <c r="AV107" s="180">
        <f t="shared" ca="1" si="202"/>
        <v>0.11088811270672028</v>
      </c>
      <c r="AW107" s="180">
        <f t="shared" ca="1" si="202"/>
        <v>0.11189422385167185</v>
      </c>
      <c r="AX107" s="180">
        <f t="shared" ca="1" si="202"/>
        <v>0.11286943857679593</v>
      </c>
      <c r="AY107" s="180">
        <f t="shared" ca="1" si="202"/>
        <v>0.11381515758696661</v>
      </c>
      <c r="AZ107" s="180">
        <f t="shared" ca="1" si="202"/>
        <v>0.11473269823621615</v>
      </c>
      <c r="BA107" s="180">
        <f t="shared" ca="1" si="202"/>
        <v>0.11562330063247769</v>
      </c>
      <c r="BB107" s="180">
        <f t="shared" ca="1" si="202"/>
        <v>0.11648813321390077</v>
      </c>
      <c r="BC107" s="180">
        <f t="shared" ca="1" si="202"/>
        <v>0.11732829784930823</v>
      </c>
      <c r="BD107" s="180">
        <f t="shared" ca="1" si="202"/>
        <v>0.11814483450947383</v>
      </c>
      <c r="BE107" s="180">
        <f t="shared" ca="1" si="202"/>
        <v>0.11893872555074116</v>
      </c>
      <c r="BF107" s="180">
        <f t="shared" ca="1" si="202"/>
        <v>0.11971089964798287</v>
      </c>
      <c r="BG107" s="180">
        <f t="shared" ca="1" si="202"/>
        <v>0.12046223540991624</v>
      </c>
      <c r="BH107" s="180">
        <f t="shared" ca="1" si="202"/>
        <v>0.2993909018046767</v>
      </c>
      <c r="BI107" s="15"/>
      <c r="BJ107" s="181"/>
      <c r="BK107" s="99"/>
      <c r="BL107" s="99"/>
      <c r="BM107" s="99"/>
      <c r="BN107" s="99"/>
      <c r="BO107" s="99"/>
      <c r="BP107" s="230"/>
      <c r="BQ107" s="230"/>
      <c r="BR107" s="230"/>
      <c r="BS107" s="230"/>
      <c r="BT107" s="230"/>
      <c r="BU107" s="230"/>
      <c r="BV107" s="99"/>
      <c r="BW107" s="99"/>
      <c r="BX107" s="99"/>
      <c r="BY107" s="99"/>
    </row>
    <row r="108" spans="1:77" s="4" customFormat="1" x14ac:dyDescent="0.3">
      <c r="A108" s="21"/>
      <c r="B108" s="106" t="s">
        <v>117</v>
      </c>
      <c r="C108" s="109">
        <f ca="1">ROUNDDOWN(0.033*Vout_sync_buck*Iout_sync_buck/C106^2*1000,0)</f>
        <v>155</v>
      </c>
      <c r="D108" s="110" t="s">
        <v>168</v>
      </c>
      <c r="E108" s="6"/>
      <c r="F108" s="21"/>
      <c r="G108" s="170" t="s">
        <v>11</v>
      </c>
      <c r="H108" s="15" t="s">
        <v>60</v>
      </c>
      <c r="I108" s="186">
        <f ca="1">IF(I2&gt;7,Buck_RdsON_factor_7V*(I89-150)+Rds_ON_150_7V,IF(I2&lt;5,Buck_RdsON_factor_5V*(I89-150)+Rds_ON_150,Buck_RdsON_factor_6V*(I89-150)+Rds_ON_150_6V))</f>
        <v>0.17412949151200519</v>
      </c>
      <c r="J108" s="186">
        <f t="shared" ref="J108:AO108" ca="1" si="203">IF(J87&gt;7,Buck_RdsON_factor_7V*(J89-150)+Rds_ON_150_7V,IF(J87&lt;5,Buck_RdsON_factor_5V*(J89-150)+Rds_ON_150,Buck_RdsON_factor_6V*(J89-150)+Rds_ON_150_6V))</f>
        <v>0.18545009760466463</v>
      </c>
      <c r="K108" s="186">
        <f t="shared" ca="1" si="203"/>
        <v>0.18544958107062257</v>
      </c>
      <c r="L108" s="186">
        <f t="shared" ca="1" si="203"/>
        <v>0.18545721470515816</v>
      </c>
      <c r="M108" s="186">
        <f t="shared" ca="1" si="203"/>
        <v>0.18547240208920238</v>
      </c>
      <c r="N108" s="186">
        <f t="shared" ca="1" si="203"/>
        <v>0.18549463393801854</v>
      </c>
      <c r="O108" s="186">
        <f t="shared" ca="1" si="203"/>
        <v>0.17253105203211533</v>
      </c>
      <c r="P108" s="186">
        <f t="shared" ca="1" si="203"/>
        <v>0.17256988277671062</v>
      </c>
      <c r="Q108" s="186">
        <f t="shared" ca="1" si="203"/>
        <v>0.17261440373960982</v>
      </c>
      <c r="R108" s="186">
        <f t="shared" ca="1" si="203"/>
        <v>0.17266434820260343</v>
      </c>
      <c r="S108" s="186">
        <f t="shared" ca="1" si="203"/>
        <v>0.17271948194124395</v>
      </c>
      <c r="T108" s="186">
        <f t="shared" ca="1" si="203"/>
        <v>0.17277959836073986</v>
      </c>
      <c r="U108" s="186">
        <f t="shared" ca="1" si="203"/>
        <v>0.17284451448862781</v>
      </c>
      <c r="V108" s="186">
        <f t="shared" ca="1" si="203"/>
        <v>0.17291406765194439</v>
      </c>
      <c r="W108" s="186">
        <f t="shared" ca="1" si="203"/>
        <v>0.17298811270529107</v>
      </c>
      <c r="X108" s="186">
        <f t="shared" ca="1" si="203"/>
        <v>0.17306651970532924</v>
      </c>
      <c r="Y108" s="186">
        <f t="shared" ca="1" si="203"/>
        <v>0.17314917194940324</v>
      </c>
      <c r="Z108" s="186">
        <f t="shared" ca="1" si="203"/>
        <v>0.17323596431297722</v>
      </c>
      <c r="AA108" s="186">
        <f t="shared" ca="1" si="203"/>
        <v>0.17332680183370017</v>
      </c>
      <c r="AB108" s="186">
        <f t="shared" ca="1" si="203"/>
        <v>0.17342159850013483</v>
      </c>
      <c r="AC108" s="186">
        <f t="shared" ca="1" si="203"/>
        <v>0.17352027621119887</v>
      </c>
      <c r="AD108" s="186">
        <f t="shared" ca="1" si="203"/>
        <v>0.17362276387869147</v>
      </c>
      <c r="AE108" s="186">
        <f t="shared" ca="1" si="203"/>
        <v>0.17372899665030261</v>
      </c>
      <c r="AF108" s="186">
        <f t="shared" ca="1" si="203"/>
        <v>0.17383891523451556</v>
      </c>
      <c r="AG108" s="186">
        <f t="shared" ca="1" si="203"/>
        <v>0.17395246531203989</v>
      </c>
      <c r="AH108" s="186">
        <f t="shared" ca="1" si="203"/>
        <v>0.17406959702101843</v>
      </c>
      <c r="AI108" s="186">
        <f t="shared" ca="1" si="203"/>
        <v>0.17419026450536912</v>
      </c>
      <c r="AJ108" s="186">
        <f t="shared" ca="1" si="203"/>
        <v>0.17431442551735002</v>
      </c>
      <c r="AK108" s="186">
        <f t="shared" ca="1" si="203"/>
        <v>0.17444204106685379</v>
      </c>
      <c r="AL108" s="186">
        <f t="shared" ca="1" si="203"/>
        <v>0.17457307511110451</v>
      </c>
      <c r="AM108" s="186">
        <f t="shared" ca="1" si="203"/>
        <v>0.17470749427939558</v>
      </c>
      <c r="AN108" s="186">
        <f t="shared" ca="1" si="203"/>
        <v>0.17484526762831021</v>
      </c>
      <c r="AO108" s="186">
        <f t="shared" ca="1" si="203"/>
        <v>0.17498636642353438</v>
      </c>
      <c r="AP108" s="186">
        <f t="shared" ref="AP108:BH108" ca="1" si="204">IF(AP87&gt;7,Buck_RdsON_factor_7V*(AP89-150)+Rds_ON_150_7V,IF(AP87&lt;5,Buck_RdsON_factor_5V*(AP89-150)+Rds_ON_150,Buck_RdsON_factor_6V*(AP89-150)+Rds_ON_150_6V))</f>
        <v>0.17513076394493257</v>
      </c>
      <c r="AQ108" s="186">
        <f t="shared" ca="1" si="204"/>
        <v>0.17527843531202697</v>
      </c>
      <c r="AR108" s="186">
        <f t="shared" ca="1" si="204"/>
        <v>0.17542935732741788</v>
      </c>
      <c r="AS108" s="186">
        <f t="shared" ca="1" si="204"/>
        <v>0.17558350833601802</v>
      </c>
      <c r="AT108" s="186">
        <f t="shared" ca="1" si="204"/>
        <v>0.17574086809825898</v>
      </c>
      <c r="AU108" s="186">
        <f t="shared" ca="1" si="204"/>
        <v>0.17590141767566964</v>
      </c>
      <c r="AV108" s="186">
        <f t="shared" ca="1" si="204"/>
        <v>0.17606513932743389</v>
      </c>
      <c r="AW108" s="186">
        <f t="shared" ca="1" si="204"/>
        <v>0.17623201641671202</v>
      </c>
      <c r="AX108" s="186">
        <f t="shared" ca="1" si="204"/>
        <v>0.17640203332566226</v>
      </c>
      <c r="AY108" s="186">
        <f t="shared" ca="1" si="204"/>
        <v>0.17657517537822953</v>
      </c>
      <c r="AZ108" s="186">
        <f t="shared" ca="1" si="204"/>
        <v>0.17675142876988242</v>
      </c>
      <c r="BA108" s="186">
        <f t="shared" ca="1" si="204"/>
        <v>0.17693078050357602</v>
      </c>
      <c r="BB108" s="186">
        <f t="shared" ca="1" si="204"/>
        <v>0.17711321833130383</v>
      </c>
      <c r="BC108" s="186">
        <f t="shared" ca="1" si="204"/>
        <v>0.17729873070067567</v>
      </c>
      <c r="BD108" s="186">
        <f t="shared" ca="1" si="204"/>
        <v>0.17748730670602186</v>
      </c>
      <c r="BE108" s="186">
        <f t="shared" ca="1" si="204"/>
        <v>0.1776789360435814</v>
      </c>
      <c r="BF108" s="186">
        <f t="shared" ca="1" si="204"/>
        <v>0.17787360897037974</v>
      </c>
      <c r="BG108" s="186">
        <f t="shared" ca="1" si="204"/>
        <v>0.17807131626644512</v>
      </c>
      <c r="BH108" s="186">
        <f t="shared" ca="1" si="204"/>
        <v>0.185216561767819</v>
      </c>
      <c r="BI108" s="15" t="s">
        <v>60</v>
      </c>
      <c r="BJ108" s="169" t="s">
        <v>11</v>
      </c>
      <c r="BK108" s="99"/>
      <c r="BL108" s="99"/>
      <c r="BM108" s="99"/>
      <c r="BN108" s="99"/>
      <c r="BO108" s="99"/>
      <c r="BP108" s="230"/>
      <c r="BQ108" s="230"/>
      <c r="BR108" s="230"/>
      <c r="BS108" s="230"/>
      <c r="BT108" s="230"/>
      <c r="BU108" s="230"/>
      <c r="BV108" s="99"/>
      <c r="BW108" s="99"/>
      <c r="BX108" s="99"/>
      <c r="BY108" s="99"/>
    </row>
    <row r="109" spans="1:77" s="4" customFormat="1" x14ac:dyDescent="0.3">
      <c r="A109" s="21"/>
      <c r="B109" s="268" t="s">
        <v>347</v>
      </c>
      <c r="C109" s="278">
        <v>4.7</v>
      </c>
      <c r="D109" s="80" t="s">
        <v>171</v>
      </c>
      <c r="E109" s="6"/>
      <c r="F109" s="21"/>
      <c r="G109" s="170"/>
      <c r="H109" s="187" t="s">
        <v>5</v>
      </c>
      <c r="I109" s="188">
        <f t="shared" ref="I109" ca="1" si="205">I105^2*I108</f>
        <v>5.7111821483471263E-2</v>
      </c>
      <c r="J109" s="188">
        <f ca="1">J105^2*J108</f>
        <v>0.11840569493106272</v>
      </c>
      <c r="K109" s="188">
        <f t="shared" ref="K109:BH109" ca="1" si="206">K105^2*K108</f>
        <v>0.11394474175069981</v>
      </c>
      <c r="L109" s="188">
        <f t="shared" ca="1" si="206"/>
        <v>0.10982170885313725</v>
      </c>
      <c r="M109" s="188">
        <f t="shared" ca="1" si="206"/>
        <v>0.10599890533004462</v>
      </c>
      <c r="N109" s="188">
        <f t="shared" ca="1" si="206"/>
        <v>0.10244414675722381</v>
      </c>
      <c r="O109" s="188">
        <f t="shared" ca="1" si="206"/>
        <v>9.2055836011977574E-2</v>
      </c>
      <c r="P109" s="188">
        <f t="shared" ca="1" si="206"/>
        <v>8.9186427465870854E-2</v>
      </c>
      <c r="Q109" s="188">
        <f t="shared" ca="1" si="206"/>
        <v>8.6498110478608448E-2</v>
      </c>
      <c r="R109" s="188">
        <f t="shared" ca="1" si="206"/>
        <v>8.3974093979166248E-2</v>
      </c>
      <c r="S109" s="188">
        <f t="shared" ca="1" si="206"/>
        <v>8.1599632520135051E-2</v>
      </c>
      <c r="T109" s="188">
        <f t="shared" ca="1" si="206"/>
        <v>7.9361720061078722E-2</v>
      </c>
      <c r="U109" s="188">
        <f t="shared" ca="1" si="206"/>
        <v>7.7248837689834482E-2</v>
      </c>
      <c r="V109" s="188">
        <f t="shared" ca="1" si="206"/>
        <v>7.5250744436033135E-2</v>
      </c>
      <c r="W109" s="188">
        <f t="shared" ca="1" si="206"/>
        <v>7.3358302765717309E-2</v>
      </c>
      <c r="X109" s="188">
        <f t="shared" ca="1" si="206"/>
        <v>7.1563332180708775E-2</v>
      </c>
      <c r="Y109" s="188">
        <f t="shared" ca="1" si="206"/>
        <v>6.9858485741394374E-2</v>
      </c>
      <c r="Z109" s="188">
        <f t="shared" ca="1" si="206"/>
        <v>6.8237145401141799E-2</v>
      </c>
      <c r="AA109" s="188">
        <f t="shared" ca="1" si="206"/>
        <v>6.6693332867044638E-2</v>
      </c>
      <c r="AB109" s="188">
        <f t="shared" ca="1" si="206"/>
        <v>6.5221633345136712E-2</v>
      </c>
      <c r="AC109" s="188">
        <f t="shared" ca="1" si="206"/>
        <v>6.3817130032687491E-2</v>
      </c>
      <c r="AD109" s="188">
        <f t="shared" ca="1" si="206"/>
        <v>6.2475347618355756E-2</v>
      </c>
      <c r="AE109" s="188">
        <f t="shared" ca="1" si="206"/>
        <v>6.1192203367236166E-2</v>
      </c>
      <c r="AF109" s="188">
        <f t="shared" ca="1" si="206"/>
        <v>5.9963964620540988E-2</v>
      </c>
      <c r="AG109" s="188">
        <f t="shared" ca="1" si="206"/>
        <v>5.8787211742748202E-2</v>
      </c>
      <c r="AH109" s="188">
        <f t="shared" ca="1" si="206"/>
        <v>5.7658805713144232E-2</v>
      </c>
      <c r="AI109" s="188">
        <f t="shared" ca="1" si="206"/>
        <v>5.657585969197166E-2</v>
      </c>
      <c r="AJ109" s="188">
        <f t="shared" ca="1" si="206"/>
        <v>5.5535714000177427E-2</v>
      </c>
      <c r="AK109" s="188">
        <f t="shared" ca="1" si="206"/>
        <v>5.4535914040969871E-2</v>
      </c>
      <c r="AL109" s="188">
        <f t="shared" ca="1" si="206"/>
        <v>5.357419076488186E-2</v>
      </c>
      <c r="AM109" s="188">
        <f t="shared" ca="1" si="206"/>
        <v>5.2648443340833261E-2</v>
      </c>
      <c r="AN109" s="188">
        <f t="shared" ca="1" si="206"/>
        <v>5.1756723746191301E-2</v>
      </c>
      <c r="AO109" s="188">
        <f t="shared" ca="1" si="206"/>
        <v>5.0897223030947444E-2</v>
      </c>
      <c r="AP109" s="188">
        <f t="shared" ca="1" si="206"/>
        <v>5.0068259046385934E-2</v>
      </c>
      <c r="AQ109" s="188">
        <f t="shared" ca="1" si="206"/>
        <v>4.9268265458245454E-2</v>
      </c>
      <c r="AR109" s="188">
        <f t="shared" ca="1" si="206"/>
        <v>4.8495781889347264E-2</v>
      </c>
      <c r="AS109" s="188">
        <f t="shared" ca="1" si="206"/>
        <v>4.7749445057789691E-2</v>
      </c>
      <c r="AT109" s="188">
        <f t="shared" ca="1" si="206"/>
        <v>4.702798079473558E-2</v>
      </c>
      <c r="AU109" s="188">
        <f t="shared" ca="1" si="206"/>
        <v>4.6330196841079342E-2</v>
      </c>
      <c r="AV109" s="188">
        <f t="shared" ca="1" si="206"/>
        <v>4.5654976335307768E-2</v>
      </c>
      <c r="AW109" s="188">
        <f t="shared" ca="1" si="206"/>
        <v>4.5001271916023031E-2</v>
      </c>
      <c r="AX109" s="188">
        <f t="shared" ca="1" si="206"/>
        <v>4.4368100372173529E-2</v>
      </c>
      <c r="AY109" s="188">
        <f t="shared" ca="1" si="206"/>
        <v>4.3754537782281118E-2</v>
      </c>
      <c r="AZ109" s="188">
        <f t="shared" ca="1" si="206"/>
        <v>4.3159715091068196E-2</v>
      </c>
      <c r="BA109" s="188">
        <f t="shared" ca="1" si="206"/>
        <v>4.2582814078043707E-2</v>
      </c>
      <c r="BB109" s="188">
        <f t="shared" ca="1" si="206"/>
        <v>4.2023063677945352E-2</v>
      </c>
      <c r="BC109" s="188">
        <f t="shared" ca="1" si="206"/>
        <v>4.1479736617575244E-2</v>
      </c>
      <c r="BD109" s="188">
        <f t="shared" ca="1" si="206"/>
        <v>4.0952146337609671E-2</v>
      </c>
      <c r="BE109" s="188">
        <f t="shared" ca="1" si="206"/>
        <v>4.0439644171492255E-2</v>
      </c>
      <c r="BF109" s="188">
        <f t="shared" ca="1" si="206"/>
        <v>3.9941616756609177E-2</v>
      </c>
      <c r="BG109" s="188">
        <f t="shared" ca="1" si="206"/>
        <v>3.9457483655650924E-2</v>
      </c>
      <c r="BH109" s="188">
        <f t="shared" ca="1" si="206"/>
        <v>2.2814331857289358E-2</v>
      </c>
      <c r="BI109" s="187" t="s">
        <v>5</v>
      </c>
      <c r="BJ109" s="169"/>
      <c r="BK109" s="99"/>
      <c r="BL109" s="99"/>
      <c r="BM109" s="99"/>
      <c r="BN109" s="99"/>
      <c r="BO109" s="99"/>
      <c r="BP109" s="230"/>
      <c r="BQ109" s="230"/>
      <c r="BR109" s="230"/>
      <c r="BS109" s="230"/>
      <c r="BT109" s="230"/>
      <c r="BU109" s="230"/>
      <c r="BV109" s="99"/>
      <c r="BW109" s="99"/>
      <c r="BX109" s="99"/>
      <c r="BY109" s="99"/>
    </row>
    <row r="110" spans="1:77" s="4" customFormat="1" x14ac:dyDescent="0.3">
      <c r="A110" s="21"/>
      <c r="B110" s="43" t="s">
        <v>46</v>
      </c>
      <c r="C110" s="120">
        <v>95</v>
      </c>
      <c r="D110" s="80" t="s">
        <v>170</v>
      </c>
      <c r="E110" s="6"/>
      <c r="F110" s="21"/>
      <c r="G110" s="170"/>
      <c r="H110" s="187" t="s">
        <v>6</v>
      </c>
      <c r="I110" s="188">
        <f t="shared" ref="I110:AN110" ca="1" si="207">IF(I98=1,0,0.5*I87*Iout_PreReg*I96*10^3*(I87/SLEW_rate+I87/1.5)*10^-9)</f>
        <v>0.21264747663551403</v>
      </c>
      <c r="J110" s="188">
        <f t="shared" ca="1" si="207"/>
        <v>5.3161869158878508E-2</v>
      </c>
      <c r="K110" s="188">
        <f t="shared" ca="1" si="207"/>
        <v>5.7590179792687643E-2</v>
      </c>
      <c r="L110" s="188">
        <f t="shared" ca="1" si="207"/>
        <v>6.2195622851849118E-2</v>
      </c>
      <c r="M110" s="188">
        <f t="shared" ca="1" si="207"/>
        <v>6.6978198336362996E-2</v>
      </c>
      <c r="N110" s="188">
        <f t="shared" ca="1" si="207"/>
        <v>7.19379062462292E-2</v>
      </c>
      <c r="O110" s="188">
        <f t="shared" ca="1" si="207"/>
        <v>7.7074746581447806E-2</v>
      </c>
      <c r="P110" s="188">
        <f t="shared" ca="1" si="207"/>
        <v>8.2388719342018746E-2</v>
      </c>
      <c r="Q110" s="188">
        <f t="shared" ca="1" si="207"/>
        <v>8.787982452794206E-2</v>
      </c>
      <c r="R110" s="188">
        <f t="shared" ca="1" si="207"/>
        <v>9.354806213921775E-2</v>
      </c>
      <c r="S110" s="188">
        <f t="shared" ca="1" si="207"/>
        <v>9.93934321758458E-2</v>
      </c>
      <c r="T110" s="188">
        <f t="shared" ca="1" si="207"/>
        <v>0.1054159346378262</v>
      </c>
      <c r="U110" s="188">
        <f t="shared" ca="1" si="207"/>
        <v>0.11161556952515893</v>
      </c>
      <c r="V110" s="188">
        <f t="shared" ca="1" si="207"/>
        <v>0.11799233683784405</v>
      </c>
      <c r="W110" s="188">
        <f t="shared" ca="1" si="207"/>
        <v>0.12454623657588153</v>
      </c>
      <c r="X110" s="188">
        <f t="shared" ca="1" si="207"/>
        <v>0.1312772687392714</v>
      </c>
      <c r="Y110" s="188">
        <f t="shared" ca="1" si="207"/>
        <v>0.13818543332801358</v>
      </c>
      <c r="Z110" s="188">
        <f t="shared" ca="1" si="207"/>
        <v>0.14527073034210819</v>
      </c>
      <c r="AA110" s="188">
        <f t="shared" ca="1" si="207"/>
        <v>0.1525331597815551</v>
      </c>
      <c r="AB110" s="188">
        <f t="shared" ca="1" si="207"/>
        <v>0.1599727216463544</v>
      </c>
      <c r="AC110" s="188">
        <f t="shared" ca="1" si="207"/>
        <v>0.16758941593650611</v>
      </c>
      <c r="AD110" s="188">
        <f t="shared" ca="1" si="207"/>
        <v>0.17538324265201014</v>
      </c>
      <c r="AE110" s="188">
        <f t="shared" ca="1" si="207"/>
        <v>0.18335420179286654</v>
      </c>
      <c r="AF110" s="188">
        <f t="shared" ca="1" si="207"/>
        <v>0.19150229335907526</v>
      </c>
      <c r="AG110" s="188">
        <f t="shared" ca="1" si="207"/>
        <v>0.19982751735063642</v>
      </c>
      <c r="AH110" s="188">
        <f t="shared" ca="1" si="207"/>
        <v>0.20832987376754986</v>
      </c>
      <c r="AI110" s="188">
        <f t="shared" ca="1" si="207"/>
        <v>0.21700936260981576</v>
      </c>
      <c r="AJ110" s="188">
        <f t="shared" ca="1" si="207"/>
        <v>0.22586598387743392</v>
      </c>
      <c r="AK110" s="188">
        <f t="shared" ca="1" si="207"/>
        <v>0.23489973757040447</v>
      </c>
      <c r="AL110" s="188">
        <f t="shared" ca="1" si="207"/>
        <v>0.24411062368872749</v>
      </c>
      <c r="AM110" s="188">
        <f t="shared" ca="1" si="207"/>
        <v>0.25349864223240276</v>
      </c>
      <c r="AN110" s="188">
        <f t="shared" ca="1" si="207"/>
        <v>0.26306379320143047</v>
      </c>
      <c r="AO110" s="188">
        <f t="shared" ref="AO110:BH110" ca="1" si="208">IF(AO98=1,0,0.5*AO87*Iout_PreReg*AO96*10^3*(AO87/SLEW_rate+AO87/1.5)*10^-9)</f>
        <v>0.27280607659581046</v>
      </c>
      <c r="AP110" s="188">
        <f t="shared" ca="1" si="208"/>
        <v>0.2827254924155429</v>
      </c>
      <c r="AQ110" s="188">
        <f t="shared" ca="1" si="208"/>
        <v>0.29282204066062767</v>
      </c>
      <c r="AR110" s="188">
        <f t="shared" ca="1" si="208"/>
        <v>0.30309572133106477</v>
      </c>
      <c r="AS110" s="188">
        <f t="shared" ca="1" si="208"/>
        <v>0.31354653442685426</v>
      </c>
      <c r="AT110" s="188">
        <f t="shared" ca="1" si="208"/>
        <v>0.32417447994799609</v>
      </c>
      <c r="AU110" s="188">
        <f t="shared" ca="1" si="208"/>
        <v>0.3349795578944903</v>
      </c>
      <c r="AV110" s="188">
        <f t="shared" ca="1" si="208"/>
        <v>0.3459617682663369</v>
      </c>
      <c r="AW110" s="188">
        <f t="shared" ca="1" si="208"/>
        <v>0.35712111106353583</v>
      </c>
      <c r="AX110" s="188">
        <f t="shared" ca="1" si="208"/>
        <v>0.36845758628608716</v>
      </c>
      <c r="AY110" s="188">
        <f t="shared" ca="1" si="208"/>
        <v>0.37997119393399093</v>
      </c>
      <c r="AZ110" s="188">
        <f t="shared" ca="1" si="208"/>
        <v>0.39166193400724708</v>
      </c>
      <c r="BA110" s="188">
        <f t="shared" ca="1" si="208"/>
        <v>0.40352980650585552</v>
      </c>
      <c r="BB110" s="188">
        <f t="shared" ca="1" si="208"/>
        <v>0.41557481142981645</v>
      </c>
      <c r="BC110" s="188">
        <f t="shared" ca="1" si="208"/>
        <v>0.42779694877912972</v>
      </c>
      <c r="BD110" s="188">
        <f t="shared" ca="1" si="208"/>
        <v>0.44019621855379526</v>
      </c>
      <c r="BE110" s="188">
        <f t="shared" ca="1" si="208"/>
        <v>0.4527726207538133</v>
      </c>
      <c r="BF110" s="188">
        <f t="shared" ca="1" si="208"/>
        <v>0.46552615537918351</v>
      </c>
      <c r="BG110" s="188">
        <f t="shared" ca="1" si="208"/>
        <v>0.47845682242990623</v>
      </c>
      <c r="BH110" s="188">
        <f t="shared" ca="1" si="208"/>
        <v>0.94492424719203694</v>
      </c>
      <c r="BI110" s="187" t="s">
        <v>6</v>
      </c>
      <c r="BJ110" s="169"/>
      <c r="BK110" s="99"/>
      <c r="BL110" s="99"/>
      <c r="BM110" s="99"/>
      <c r="BN110" s="99"/>
      <c r="BO110" s="99"/>
      <c r="BP110" s="230"/>
      <c r="BQ110" s="230"/>
      <c r="BR110" s="230"/>
      <c r="BS110" s="230"/>
      <c r="BT110" s="230"/>
      <c r="BU110" s="230"/>
      <c r="BV110" s="99"/>
      <c r="BW110" s="99"/>
      <c r="BX110" s="99"/>
      <c r="BY110" s="99"/>
    </row>
    <row r="111" spans="1:77" s="4" customFormat="1" ht="15" thickBot="1" x14ac:dyDescent="0.35">
      <c r="A111" s="21"/>
      <c r="B111" s="44" t="s">
        <v>101</v>
      </c>
      <c r="C111" s="81">
        <f ca="1">I44/Iout_sync_buck</f>
        <v>0.18236125376184381</v>
      </c>
      <c r="D111" s="142" t="s">
        <v>190</v>
      </c>
      <c r="E111" s="6"/>
      <c r="F111" s="21"/>
      <c r="G111" s="170"/>
      <c r="H111" s="187" t="s">
        <v>9</v>
      </c>
      <c r="I111" s="188">
        <f ca="1">I109+I110</f>
        <v>0.2697592981189853</v>
      </c>
      <c r="J111" s="188">
        <f ca="1">J109+J110</f>
        <v>0.17156756408994123</v>
      </c>
      <c r="K111" s="188">
        <f t="shared" ref="K111:BH111" ca="1" si="209">K109+K110</f>
        <v>0.17153492154338745</v>
      </c>
      <c r="L111" s="188">
        <f t="shared" ca="1" si="209"/>
        <v>0.17201733170498637</v>
      </c>
      <c r="M111" s="188">
        <f t="shared" ca="1" si="209"/>
        <v>0.17297710366640762</v>
      </c>
      <c r="N111" s="188">
        <f t="shared" ca="1" si="209"/>
        <v>0.174382053003453</v>
      </c>
      <c r="O111" s="188">
        <f t="shared" ca="1" si="209"/>
        <v>0.16913058259342539</v>
      </c>
      <c r="P111" s="188">
        <f t="shared" ca="1" si="209"/>
        <v>0.1715751468078896</v>
      </c>
      <c r="Q111" s="188">
        <f t="shared" ca="1" si="209"/>
        <v>0.17437793500655052</v>
      </c>
      <c r="R111" s="188">
        <f t="shared" ca="1" si="209"/>
        <v>0.17752215611838401</v>
      </c>
      <c r="S111" s="188">
        <f t="shared" ca="1" si="209"/>
        <v>0.18099306469598087</v>
      </c>
      <c r="T111" s="188">
        <f t="shared" ca="1" si="209"/>
        <v>0.18477765469890492</v>
      </c>
      <c r="U111" s="188">
        <f t="shared" ca="1" si="209"/>
        <v>0.18886440721499342</v>
      </c>
      <c r="V111" s="188">
        <f t="shared" ca="1" si="209"/>
        <v>0.19324308127387718</v>
      </c>
      <c r="W111" s="188">
        <f t="shared" ca="1" si="209"/>
        <v>0.19790453934159885</v>
      </c>
      <c r="X111" s="188">
        <f t="shared" ca="1" si="209"/>
        <v>0.20284060091998019</v>
      </c>
      <c r="Y111" s="188">
        <f t="shared" ca="1" si="209"/>
        <v>0.20804391906940795</v>
      </c>
      <c r="Z111" s="188">
        <f t="shared" ca="1" si="209"/>
        <v>0.21350787574324998</v>
      </c>
      <c r="AA111" s="188">
        <f t="shared" ca="1" si="209"/>
        <v>0.21922649264859972</v>
      </c>
      <c r="AB111" s="188">
        <f t="shared" ca="1" si="209"/>
        <v>0.2251943549914911</v>
      </c>
      <c r="AC111" s="188">
        <f t="shared" ca="1" si="209"/>
        <v>0.23140654596919361</v>
      </c>
      <c r="AD111" s="188">
        <f t="shared" ca="1" si="209"/>
        <v>0.23785859027036588</v>
      </c>
      <c r="AE111" s="188">
        <f t="shared" ca="1" si="209"/>
        <v>0.2445464051601027</v>
      </c>
      <c r="AF111" s="188">
        <f t="shared" ca="1" si="209"/>
        <v>0.25146625797961625</v>
      </c>
      <c r="AG111" s="188">
        <f t="shared" ca="1" si="209"/>
        <v>0.25861472909338462</v>
      </c>
      <c r="AH111" s="188">
        <f t="shared" ca="1" si="209"/>
        <v>0.2659886794806941</v>
      </c>
      <c r="AI111" s="188">
        <f t="shared" ca="1" si="209"/>
        <v>0.27358522230178745</v>
      </c>
      <c r="AJ111" s="188">
        <f t="shared" ca="1" si="209"/>
        <v>0.28140169787761138</v>
      </c>
      <c r="AK111" s="188">
        <f t="shared" ca="1" si="209"/>
        <v>0.28943565161137436</v>
      </c>
      <c r="AL111" s="188">
        <f t="shared" ca="1" si="209"/>
        <v>0.29768481445360934</v>
      </c>
      <c r="AM111" s="188">
        <f t="shared" ca="1" si="209"/>
        <v>0.306147085573236</v>
      </c>
      <c r="AN111" s="188">
        <f t="shared" ca="1" si="209"/>
        <v>0.31482051694762175</v>
      </c>
      <c r="AO111" s="188">
        <f t="shared" ca="1" si="209"/>
        <v>0.32370329962675792</v>
      </c>
      <c r="AP111" s="188">
        <f t="shared" ca="1" si="209"/>
        <v>0.33279375146192886</v>
      </c>
      <c r="AQ111" s="188">
        <f t="shared" ca="1" si="209"/>
        <v>0.34209030611887314</v>
      </c>
      <c r="AR111" s="188">
        <f t="shared" ca="1" si="209"/>
        <v>0.35159150322041205</v>
      </c>
      <c r="AS111" s="188">
        <f t="shared" ca="1" si="209"/>
        <v>0.36129597948464398</v>
      </c>
      <c r="AT111" s="188">
        <f t="shared" ca="1" si="209"/>
        <v>0.37120246074273167</v>
      </c>
      <c r="AU111" s="188">
        <f t="shared" ca="1" si="209"/>
        <v>0.38130975473556966</v>
      </c>
      <c r="AV111" s="188">
        <f t="shared" ca="1" si="209"/>
        <v>0.39161674460164464</v>
      </c>
      <c r="AW111" s="188">
        <f t="shared" ca="1" si="209"/>
        <v>0.40212238297955888</v>
      </c>
      <c r="AX111" s="188">
        <f t="shared" ca="1" si="209"/>
        <v>0.41282568665826069</v>
      </c>
      <c r="AY111" s="188">
        <f t="shared" ca="1" si="209"/>
        <v>0.42372573171627204</v>
      </c>
      <c r="AZ111" s="188">
        <f t="shared" ca="1" si="209"/>
        <v>0.43482164909831528</v>
      </c>
      <c r="BA111" s="188">
        <f t="shared" ca="1" si="209"/>
        <v>0.44611262058389922</v>
      </c>
      <c r="BB111" s="188">
        <f t="shared" ca="1" si="209"/>
        <v>0.45759787510776179</v>
      </c>
      <c r="BC111" s="188">
        <f t="shared" ca="1" si="209"/>
        <v>0.46927668539670497</v>
      </c>
      <c r="BD111" s="188">
        <f t="shared" ca="1" si="209"/>
        <v>0.48114836489140494</v>
      </c>
      <c r="BE111" s="188">
        <f t="shared" ca="1" si="209"/>
        <v>0.49321226492530557</v>
      </c>
      <c r="BF111" s="188">
        <f t="shared" ca="1" si="209"/>
        <v>0.50546777213579275</v>
      </c>
      <c r="BG111" s="188">
        <f t="shared" ca="1" si="209"/>
        <v>0.51791430608555711</v>
      </c>
      <c r="BH111" s="188">
        <f t="shared" ca="1" si="209"/>
        <v>0.96773857904932625</v>
      </c>
      <c r="BI111" s="187" t="s">
        <v>9</v>
      </c>
      <c r="BJ111" s="169"/>
      <c r="BK111" s="99"/>
      <c r="BL111" s="99"/>
      <c r="BM111" s="99"/>
      <c r="BN111" s="99"/>
      <c r="BO111" s="99"/>
      <c r="BP111" s="230"/>
      <c r="BQ111" s="230"/>
      <c r="BR111" s="230"/>
      <c r="BS111" s="230"/>
      <c r="BT111" s="230"/>
      <c r="BU111" s="230"/>
      <c r="BV111" s="99"/>
      <c r="BW111" s="99"/>
      <c r="BX111" s="99"/>
      <c r="BY111" s="99"/>
    </row>
    <row r="112" spans="1:77" s="4" customFormat="1" ht="15" thickBot="1" x14ac:dyDescent="0.35">
      <c r="A112" s="21"/>
      <c r="B112" s="31"/>
      <c r="C112" s="31"/>
      <c r="D112" s="31"/>
      <c r="E112" s="6"/>
      <c r="F112" s="21"/>
      <c r="G112" s="170" t="s">
        <v>253</v>
      </c>
      <c r="H112" s="15" t="s">
        <v>76</v>
      </c>
      <c r="I112" s="168">
        <f t="shared" ref="I112:AN112" ca="1" si="210">IF(I99-3.3&lt;I113*Iout_3V3,I99-I113*Iout_3V3,3.3)</f>
        <v>3.3</v>
      </c>
      <c r="J112" s="168">
        <f t="shared" ca="1" si="210"/>
        <v>3.3</v>
      </c>
      <c r="K112" s="168">
        <f t="shared" ca="1" si="210"/>
        <v>3.3</v>
      </c>
      <c r="L112" s="168">
        <f t="shared" ca="1" si="210"/>
        <v>3.3</v>
      </c>
      <c r="M112" s="168">
        <f t="shared" ca="1" si="210"/>
        <v>3.3</v>
      </c>
      <c r="N112" s="168">
        <f t="shared" ca="1" si="210"/>
        <v>3.3</v>
      </c>
      <c r="O112" s="168">
        <f t="shared" ca="1" si="210"/>
        <v>3.3</v>
      </c>
      <c r="P112" s="168">
        <f t="shared" ca="1" si="210"/>
        <v>3.3</v>
      </c>
      <c r="Q112" s="168">
        <f t="shared" ca="1" si="210"/>
        <v>3.3</v>
      </c>
      <c r="R112" s="168">
        <f t="shared" ca="1" si="210"/>
        <v>3.3</v>
      </c>
      <c r="S112" s="168">
        <f t="shared" ca="1" si="210"/>
        <v>3.3</v>
      </c>
      <c r="T112" s="168">
        <f t="shared" ca="1" si="210"/>
        <v>3.3</v>
      </c>
      <c r="U112" s="168">
        <f t="shared" ca="1" si="210"/>
        <v>3.3</v>
      </c>
      <c r="V112" s="168">
        <f t="shared" ca="1" si="210"/>
        <v>3.3</v>
      </c>
      <c r="W112" s="168">
        <f t="shared" ca="1" si="210"/>
        <v>3.3</v>
      </c>
      <c r="X112" s="168">
        <f t="shared" ca="1" si="210"/>
        <v>3.3</v>
      </c>
      <c r="Y112" s="168">
        <f t="shared" ca="1" si="210"/>
        <v>3.3</v>
      </c>
      <c r="Z112" s="168">
        <f t="shared" ca="1" si="210"/>
        <v>3.3</v>
      </c>
      <c r="AA112" s="168">
        <f t="shared" ca="1" si="210"/>
        <v>3.3</v>
      </c>
      <c r="AB112" s="168">
        <f t="shared" ca="1" si="210"/>
        <v>3.3</v>
      </c>
      <c r="AC112" s="168">
        <f t="shared" ca="1" si="210"/>
        <v>3.3</v>
      </c>
      <c r="AD112" s="168">
        <f t="shared" ca="1" si="210"/>
        <v>3.3</v>
      </c>
      <c r="AE112" s="168">
        <f t="shared" ca="1" si="210"/>
        <v>3.3</v>
      </c>
      <c r="AF112" s="168">
        <f t="shared" ca="1" si="210"/>
        <v>3.3</v>
      </c>
      <c r="AG112" s="168">
        <f t="shared" ca="1" si="210"/>
        <v>3.3</v>
      </c>
      <c r="AH112" s="168">
        <f t="shared" ca="1" si="210"/>
        <v>3.3</v>
      </c>
      <c r="AI112" s="168">
        <f t="shared" ca="1" si="210"/>
        <v>3.3</v>
      </c>
      <c r="AJ112" s="168">
        <f t="shared" ca="1" si="210"/>
        <v>3.3</v>
      </c>
      <c r="AK112" s="168">
        <f t="shared" ca="1" si="210"/>
        <v>3.3</v>
      </c>
      <c r="AL112" s="168">
        <f t="shared" ca="1" si="210"/>
        <v>3.3</v>
      </c>
      <c r="AM112" s="168">
        <f t="shared" ca="1" si="210"/>
        <v>3.3</v>
      </c>
      <c r="AN112" s="168">
        <f t="shared" ca="1" si="210"/>
        <v>3.3</v>
      </c>
      <c r="AO112" s="168">
        <f t="shared" ref="AO112:BH112" ca="1" si="211">IF(AO99-3.3&lt;AO113*Iout_3V3,AO99-AO113*Iout_3V3,3.3)</f>
        <v>3.3</v>
      </c>
      <c r="AP112" s="168">
        <f t="shared" ca="1" si="211"/>
        <v>3.3</v>
      </c>
      <c r="AQ112" s="168">
        <f t="shared" ca="1" si="211"/>
        <v>3.3</v>
      </c>
      <c r="AR112" s="168">
        <f t="shared" ca="1" si="211"/>
        <v>3.3</v>
      </c>
      <c r="AS112" s="168">
        <f t="shared" ca="1" si="211"/>
        <v>3.3</v>
      </c>
      <c r="AT112" s="168">
        <f t="shared" ca="1" si="211"/>
        <v>3.3</v>
      </c>
      <c r="AU112" s="168">
        <f t="shared" ca="1" si="211"/>
        <v>3.3</v>
      </c>
      <c r="AV112" s="168">
        <f t="shared" ca="1" si="211"/>
        <v>3.3</v>
      </c>
      <c r="AW112" s="168">
        <f t="shared" ca="1" si="211"/>
        <v>3.3</v>
      </c>
      <c r="AX112" s="168">
        <f t="shared" ca="1" si="211"/>
        <v>3.3</v>
      </c>
      <c r="AY112" s="168">
        <f t="shared" ca="1" si="211"/>
        <v>3.3</v>
      </c>
      <c r="AZ112" s="168">
        <f t="shared" ca="1" si="211"/>
        <v>3.3</v>
      </c>
      <c r="BA112" s="168">
        <f t="shared" ca="1" si="211"/>
        <v>3.3</v>
      </c>
      <c r="BB112" s="168">
        <f t="shared" ca="1" si="211"/>
        <v>3.3</v>
      </c>
      <c r="BC112" s="168">
        <f t="shared" ca="1" si="211"/>
        <v>3.3</v>
      </c>
      <c r="BD112" s="168">
        <f t="shared" ca="1" si="211"/>
        <v>3.3</v>
      </c>
      <c r="BE112" s="168">
        <f t="shared" ca="1" si="211"/>
        <v>3.3</v>
      </c>
      <c r="BF112" s="168">
        <f t="shared" ca="1" si="211"/>
        <v>3.3</v>
      </c>
      <c r="BG112" s="168">
        <f t="shared" ca="1" si="211"/>
        <v>3.3</v>
      </c>
      <c r="BH112" s="168">
        <f t="shared" ca="1" si="211"/>
        <v>3.3</v>
      </c>
      <c r="BI112" s="15" t="s">
        <v>76</v>
      </c>
      <c r="BJ112" s="169" t="s">
        <v>0</v>
      </c>
      <c r="BK112" s="99"/>
      <c r="BL112" s="99"/>
      <c r="BM112" s="99"/>
      <c r="BN112" s="99"/>
      <c r="BO112" s="99"/>
      <c r="BP112" s="230"/>
      <c r="BQ112" s="230"/>
      <c r="BR112" s="230"/>
      <c r="BS112" s="230"/>
      <c r="BT112" s="230"/>
      <c r="BU112" s="230"/>
      <c r="BV112" s="99"/>
      <c r="BW112" s="99"/>
      <c r="BX112" s="99"/>
      <c r="BY112" s="99"/>
    </row>
    <row r="113" spans="1:77" s="4" customFormat="1" x14ac:dyDescent="0.3">
      <c r="A113" s="21"/>
      <c r="B113" s="289" t="s">
        <v>274</v>
      </c>
      <c r="C113" s="290"/>
      <c r="D113" s="291"/>
      <c r="E113" s="6"/>
      <c r="F113" s="146"/>
      <c r="G113" s="170"/>
      <c r="H113" s="15" t="s">
        <v>74</v>
      </c>
      <c r="I113" s="190">
        <f t="shared" ref="I113:AN113" ca="1" si="212">(Rds_ON_3V3_150-Rds_ON_3V3_min40)/190*(I89-150)+Rds_ON_3V3_150</f>
        <v>0.49274723821255351</v>
      </c>
      <c r="J113" s="190">
        <f t="shared" ca="1" si="212"/>
        <v>0.49002319279114781</v>
      </c>
      <c r="K113" s="190">
        <f t="shared" ca="1" si="212"/>
        <v>0.49002228721818525</v>
      </c>
      <c r="L113" s="190">
        <f t="shared" ca="1" si="212"/>
        <v>0.49003567029166833</v>
      </c>
      <c r="M113" s="190">
        <f t="shared" ca="1" si="212"/>
        <v>0.49006229638645071</v>
      </c>
      <c r="N113" s="190">
        <f t="shared" ca="1" si="212"/>
        <v>0.49010127263884845</v>
      </c>
      <c r="O113" s="190">
        <f t="shared" ca="1" si="212"/>
        <v>0.48995558579394705</v>
      </c>
      <c r="P113" s="190">
        <f t="shared" ca="1" si="212"/>
        <v>0.49002340315170728</v>
      </c>
      <c r="Q113" s="190">
        <f t="shared" ca="1" si="212"/>
        <v>0.4901011583969449</v>
      </c>
      <c r="R113" s="190">
        <f t="shared" ca="1" si="212"/>
        <v>0.49018838571000001</v>
      </c>
      <c r="S113" s="190">
        <f t="shared" ca="1" si="212"/>
        <v>0.49028467602111847</v>
      </c>
      <c r="T113" s="190">
        <f t="shared" ca="1" si="212"/>
        <v>0.49038966851535754</v>
      </c>
      <c r="U113" s="190">
        <f t="shared" ca="1" si="212"/>
        <v>0.49050304363384334</v>
      </c>
      <c r="V113" s="190">
        <f t="shared" ca="1" si="212"/>
        <v>0.49062451727049794</v>
      </c>
      <c r="W113" s="190">
        <f t="shared" ca="1" si="212"/>
        <v>0.49075383593089245</v>
      </c>
      <c r="X113" s="190">
        <f t="shared" ca="1" si="212"/>
        <v>0.49089077267078535</v>
      </c>
      <c r="Y113" s="190">
        <f t="shared" ca="1" si="212"/>
        <v>0.49103512367060448</v>
      </c>
      <c r="Z113" s="190">
        <f t="shared" ca="1" si="212"/>
        <v>0.49118670533180353</v>
      </c>
      <c r="AA113" s="190">
        <f t="shared" ca="1" si="212"/>
        <v>0.49134535180395139</v>
      </c>
      <c r="AB113" s="190">
        <f t="shared" ca="1" si="212"/>
        <v>0.49151091286926396</v>
      </c>
      <c r="AC113" s="190">
        <f t="shared" ca="1" si="212"/>
        <v>0.49168325212528224</v>
      </c>
      <c r="AD113" s="190">
        <f t="shared" ca="1" si="212"/>
        <v>0.49186224541744789</v>
      </c>
      <c r="AE113" s="190">
        <f t="shared" ca="1" si="212"/>
        <v>0.49204777948209949</v>
      </c>
      <c r="AF113" s="190">
        <f t="shared" ca="1" si="212"/>
        <v>0.49223975076742399</v>
      </c>
      <c r="AG113" s="190">
        <f t="shared" ca="1" si="212"/>
        <v>0.49243806440553278</v>
      </c>
      <c r="AH113" s="190">
        <f t="shared" ca="1" si="212"/>
        <v>0.49264263331338287</v>
      </c>
      <c r="AI113" s="190">
        <f t="shared" ca="1" si="212"/>
        <v>0.49285337740396168</v>
      </c>
      <c r="AJ113" s="190">
        <f t="shared" ca="1" si="212"/>
        <v>0.49307022289217312</v>
      </c>
      <c r="AK113" s="190">
        <f t="shared" ca="1" si="212"/>
        <v>0.49329310168233448</v>
      </c>
      <c r="AL113" s="190">
        <f t="shared" ca="1" si="212"/>
        <v>0.49352195082623668</v>
      </c>
      <c r="AM113" s="190">
        <f t="shared" ca="1" si="212"/>
        <v>0.49375671204240279</v>
      </c>
      <c r="AN113" s="190">
        <f t="shared" ca="1" si="212"/>
        <v>0.49399733128858375</v>
      </c>
      <c r="AO113" s="190">
        <f t="shared" ref="AO113:BH113" ca="1" si="213">(Rds_ON_3V3_150-Rds_ON_3V3_min40)/190*(AO89-150)+Rds_ON_3V3_150</f>
        <v>0.49424375838069812</v>
      </c>
      <c r="AP113" s="190">
        <f t="shared" ca="1" si="213"/>
        <v>0.4944959466523991</v>
      </c>
      <c r="AQ113" s="190">
        <f t="shared" ca="1" si="213"/>
        <v>0.49475385265027677</v>
      </c>
      <c r="AR113" s="190">
        <f t="shared" ca="1" si="213"/>
        <v>0.49501743586039365</v>
      </c>
      <c r="AS113" s="190">
        <f t="shared" ca="1" si="213"/>
        <v>0.4952866584624398</v>
      </c>
      <c r="AT113" s="190">
        <f t="shared" ca="1" si="213"/>
        <v>0.49556148510828918</v>
      </c>
      <c r="AU113" s="190">
        <f t="shared" ca="1" si="213"/>
        <v>0.49584188272216412</v>
      </c>
      <c r="AV113" s="190">
        <f t="shared" ca="1" si="213"/>
        <v>0.4961278203199751</v>
      </c>
      <c r="AW113" s="190">
        <f t="shared" ca="1" si="213"/>
        <v>0.49641926884571186</v>
      </c>
      <c r="AX113" s="190">
        <f t="shared" ca="1" si="213"/>
        <v>0.49671620102302994</v>
      </c>
      <c r="AY113" s="190">
        <f t="shared" ca="1" si="213"/>
        <v>0.49701859122040248</v>
      </c>
      <c r="AZ113" s="190">
        <f t="shared" ca="1" si="213"/>
        <v>0.49732641532840643</v>
      </c>
      <c r="BA113" s="190">
        <f t="shared" ca="1" si="213"/>
        <v>0.49763965064788279</v>
      </c>
      <c r="BB113" s="190">
        <f t="shared" ca="1" si="213"/>
        <v>0.49795827578785795</v>
      </c>
      <c r="BC113" s="190">
        <f t="shared" ca="1" si="213"/>
        <v>0.49828227057224228</v>
      </c>
      <c r="BD113" s="190">
        <f t="shared" ca="1" si="213"/>
        <v>0.49861161595443471</v>
      </c>
      <c r="BE113" s="190">
        <f t="shared" ca="1" si="213"/>
        <v>0.49894629393905937</v>
      </c>
      <c r="BF113" s="190">
        <f t="shared" ca="1" si="213"/>
        <v>0.49928628751014614</v>
      </c>
      <c r="BG113" s="190">
        <f t="shared" ca="1" si="213"/>
        <v>0.49963158056514195</v>
      </c>
      <c r="BH113" s="190">
        <f t="shared" ca="1" si="213"/>
        <v>0.51211065289562629</v>
      </c>
      <c r="BI113" s="15" t="s">
        <v>74</v>
      </c>
      <c r="BJ113" s="169"/>
      <c r="BK113" s="99"/>
      <c r="BL113" s="99"/>
      <c r="BM113" s="99"/>
      <c r="BN113" s="99"/>
      <c r="BO113" s="99"/>
      <c r="BP113" s="230"/>
      <c r="BQ113" s="230"/>
      <c r="BR113" s="230"/>
      <c r="BS113" s="230"/>
      <c r="BT113" s="230"/>
      <c r="BU113" s="230"/>
      <c r="BV113" s="99"/>
      <c r="BW113" s="99"/>
      <c r="BX113" s="99"/>
      <c r="BY113" s="99"/>
    </row>
    <row r="114" spans="1:77" s="4" customFormat="1" x14ac:dyDescent="0.3">
      <c r="A114" s="21"/>
      <c r="B114" s="106" t="s">
        <v>119</v>
      </c>
      <c r="C114" s="65">
        <v>5.0000000000000001E-3</v>
      </c>
      <c r="D114" s="141" t="s">
        <v>172</v>
      </c>
      <c r="E114" s="6"/>
      <c r="F114" s="21"/>
      <c r="G114" s="170"/>
      <c r="H114" s="187" t="s">
        <v>96</v>
      </c>
      <c r="I114" s="198">
        <f ca="1">I99-I112</f>
        <v>2.0499999999999998</v>
      </c>
      <c r="J114" s="198">
        <f t="shared" ref="J114:BH114" ca="1" si="214">J99-J112</f>
        <v>2.0499999999999998</v>
      </c>
      <c r="K114" s="198">
        <f t="shared" ca="1" si="214"/>
        <v>2.0499999999999998</v>
      </c>
      <c r="L114" s="198">
        <f t="shared" ca="1" si="214"/>
        <v>2.0499999999999998</v>
      </c>
      <c r="M114" s="198">
        <f t="shared" ca="1" si="214"/>
        <v>2.0499999999999998</v>
      </c>
      <c r="N114" s="198">
        <f t="shared" ca="1" si="214"/>
        <v>2.0499999999999998</v>
      </c>
      <c r="O114" s="198">
        <f t="shared" ca="1" si="214"/>
        <v>2.0499999999999998</v>
      </c>
      <c r="P114" s="198">
        <f t="shared" ca="1" si="214"/>
        <v>2.0499999999999998</v>
      </c>
      <c r="Q114" s="198">
        <f t="shared" ca="1" si="214"/>
        <v>2.0499999999999998</v>
      </c>
      <c r="R114" s="198">
        <f t="shared" ca="1" si="214"/>
        <v>2.0499999999999998</v>
      </c>
      <c r="S114" s="198">
        <f t="shared" ca="1" si="214"/>
        <v>2.0499999999999998</v>
      </c>
      <c r="T114" s="198">
        <f t="shared" ca="1" si="214"/>
        <v>2.0499999999999998</v>
      </c>
      <c r="U114" s="198">
        <f t="shared" ca="1" si="214"/>
        <v>2.0499999999999998</v>
      </c>
      <c r="V114" s="198">
        <f t="shared" ca="1" si="214"/>
        <v>2.0500000000000007</v>
      </c>
      <c r="W114" s="198">
        <f t="shared" ca="1" si="214"/>
        <v>2.0499999999999998</v>
      </c>
      <c r="X114" s="198">
        <f t="shared" ca="1" si="214"/>
        <v>2.0499999999999998</v>
      </c>
      <c r="Y114" s="198">
        <f t="shared" ca="1" si="214"/>
        <v>2.0499999999999998</v>
      </c>
      <c r="Z114" s="198">
        <f t="shared" ca="1" si="214"/>
        <v>2.0500000000000007</v>
      </c>
      <c r="AA114" s="198">
        <f t="shared" ca="1" si="214"/>
        <v>2.0499999999999998</v>
      </c>
      <c r="AB114" s="198">
        <f t="shared" ca="1" si="214"/>
        <v>2.0500000000000016</v>
      </c>
      <c r="AC114" s="198">
        <f t="shared" ca="1" si="214"/>
        <v>2.0499999999999998</v>
      </c>
      <c r="AD114" s="198">
        <f t="shared" ca="1" si="214"/>
        <v>2.0499999999999998</v>
      </c>
      <c r="AE114" s="198">
        <f t="shared" ca="1" si="214"/>
        <v>2.0500000000000007</v>
      </c>
      <c r="AF114" s="198">
        <f t="shared" ca="1" si="214"/>
        <v>2.0499999999999998</v>
      </c>
      <c r="AG114" s="198">
        <f t="shared" ca="1" si="214"/>
        <v>2.0499999999999998</v>
      </c>
      <c r="AH114" s="198">
        <f t="shared" ca="1" si="214"/>
        <v>2.0499999999999998</v>
      </c>
      <c r="AI114" s="198">
        <f t="shared" ca="1" si="214"/>
        <v>2.0499999999999989</v>
      </c>
      <c r="AJ114" s="198">
        <f t="shared" ca="1" si="214"/>
        <v>2.0499999999999998</v>
      </c>
      <c r="AK114" s="198">
        <f t="shared" ca="1" si="214"/>
        <v>2.0499999999999998</v>
      </c>
      <c r="AL114" s="198">
        <f t="shared" ca="1" si="214"/>
        <v>2.0499999999999998</v>
      </c>
      <c r="AM114" s="198">
        <f t="shared" ca="1" si="214"/>
        <v>2.0499999999999998</v>
      </c>
      <c r="AN114" s="198">
        <f t="shared" ca="1" si="214"/>
        <v>2.0499999999999998</v>
      </c>
      <c r="AO114" s="198">
        <f t="shared" ca="1" si="214"/>
        <v>2.0500000000000007</v>
      </c>
      <c r="AP114" s="198">
        <f t="shared" ca="1" si="214"/>
        <v>2.0499999999999998</v>
      </c>
      <c r="AQ114" s="198">
        <f t="shared" ca="1" si="214"/>
        <v>2.0500000000000007</v>
      </c>
      <c r="AR114" s="198">
        <f t="shared" ca="1" si="214"/>
        <v>2.0499999999999998</v>
      </c>
      <c r="AS114" s="198">
        <f t="shared" ca="1" si="214"/>
        <v>2.0499999999999998</v>
      </c>
      <c r="AT114" s="198">
        <f t="shared" ca="1" si="214"/>
        <v>2.0499999999999998</v>
      </c>
      <c r="AU114" s="198">
        <f t="shared" ca="1" si="214"/>
        <v>2.0499999999999989</v>
      </c>
      <c r="AV114" s="198">
        <f t="shared" ca="1" si="214"/>
        <v>2.0499999999999998</v>
      </c>
      <c r="AW114" s="198">
        <f t="shared" ca="1" si="214"/>
        <v>2.0499999999999989</v>
      </c>
      <c r="AX114" s="198">
        <f t="shared" ca="1" si="214"/>
        <v>2.0499999999999998</v>
      </c>
      <c r="AY114" s="198">
        <f t="shared" ca="1" si="214"/>
        <v>2.0499999999999998</v>
      </c>
      <c r="AZ114" s="198">
        <f t="shared" ca="1" si="214"/>
        <v>2.0499999999999998</v>
      </c>
      <c r="BA114" s="198">
        <f t="shared" ca="1" si="214"/>
        <v>2.0499999999999998</v>
      </c>
      <c r="BB114" s="198">
        <f t="shared" ca="1" si="214"/>
        <v>2.0499999999999998</v>
      </c>
      <c r="BC114" s="198">
        <f t="shared" ca="1" si="214"/>
        <v>2.0499999999999998</v>
      </c>
      <c r="BD114" s="198">
        <f t="shared" ca="1" si="214"/>
        <v>2.0499999999999998</v>
      </c>
      <c r="BE114" s="198">
        <f t="shared" ca="1" si="214"/>
        <v>2.0499999999999998</v>
      </c>
      <c r="BF114" s="198">
        <f t="shared" ca="1" si="214"/>
        <v>2.0499999999999998</v>
      </c>
      <c r="BG114" s="198">
        <f t="shared" ca="1" si="214"/>
        <v>2.0499999999999998</v>
      </c>
      <c r="BH114" s="198">
        <f t="shared" ca="1" si="214"/>
        <v>2.0500000000000007</v>
      </c>
      <c r="BI114" s="187" t="s">
        <v>96</v>
      </c>
      <c r="BJ114" s="169"/>
      <c r="BK114" s="99"/>
      <c r="BL114" s="99"/>
      <c r="BM114" s="99"/>
      <c r="BN114" s="99"/>
      <c r="BO114" s="99"/>
      <c r="BP114" s="230"/>
      <c r="BQ114" s="230"/>
      <c r="BR114" s="230"/>
      <c r="BS114" s="230"/>
      <c r="BT114" s="230"/>
      <c r="BU114" s="230"/>
      <c r="BV114" s="99"/>
      <c r="BW114" s="99"/>
      <c r="BX114" s="99"/>
      <c r="BY114" s="99"/>
    </row>
    <row r="115" spans="1:77" s="4" customFormat="1" x14ac:dyDescent="0.3">
      <c r="A115" s="21"/>
      <c r="B115" s="106" t="s">
        <v>120</v>
      </c>
      <c r="C115" s="312">
        <v>0.7</v>
      </c>
      <c r="D115" s="71" t="s">
        <v>355</v>
      </c>
      <c r="E115" s="6"/>
      <c r="F115" s="21"/>
      <c r="G115" s="170"/>
      <c r="H115" s="15" t="s">
        <v>75</v>
      </c>
      <c r="I115" s="172">
        <f t="shared" ref="I115:AN115" ca="1" si="215">(I99-I112)*Iout_3V3</f>
        <v>0</v>
      </c>
      <c r="J115" s="172">
        <f t="shared" ca="1" si="215"/>
        <v>0</v>
      </c>
      <c r="K115" s="172">
        <f t="shared" ca="1" si="215"/>
        <v>0</v>
      </c>
      <c r="L115" s="172">
        <f t="shared" ca="1" si="215"/>
        <v>0</v>
      </c>
      <c r="M115" s="172">
        <f t="shared" ca="1" si="215"/>
        <v>0</v>
      </c>
      <c r="N115" s="172">
        <f t="shared" ca="1" si="215"/>
        <v>0</v>
      </c>
      <c r="O115" s="172">
        <f t="shared" ca="1" si="215"/>
        <v>0</v>
      </c>
      <c r="P115" s="172">
        <f t="shared" ca="1" si="215"/>
        <v>0</v>
      </c>
      <c r="Q115" s="172">
        <f t="shared" ca="1" si="215"/>
        <v>0</v>
      </c>
      <c r="R115" s="172">
        <f t="shared" ca="1" si="215"/>
        <v>0</v>
      </c>
      <c r="S115" s="172">
        <f t="shared" ca="1" si="215"/>
        <v>0</v>
      </c>
      <c r="T115" s="172">
        <f t="shared" ca="1" si="215"/>
        <v>0</v>
      </c>
      <c r="U115" s="172">
        <f t="shared" ca="1" si="215"/>
        <v>0</v>
      </c>
      <c r="V115" s="172">
        <f t="shared" ca="1" si="215"/>
        <v>0</v>
      </c>
      <c r="W115" s="172">
        <f t="shared" ca="1" si="215"/>
        <v>0</v>
      </c>
      <c r="X115" s="172">
        <f t="shared" ca="1" si="215"/>
        <v>0</v>
      </c>
      <c r="Y115" s="172">
        <f t="shared" ca="1" si="215"/>
        <v>0</v>
      </c>
      <c r="Z115" s="172">
        <f t="shared" ca="1" si="215"/>
        <v>0</v>
      </c>
      <c r="AA115" s="172">
        <f t="shared" ca="1" si="215"/>
        <v>0</v>
      </c>
      <c r="AB115" s="172">
        <f t="shared" ca="1" si="215"/>
        <v>0</v>
      </c>
      <c r="AC115" s="172">
        <f t="shared" ca="1" si="215"/>
        <v>0</v>
      </c>
      <c r="AD115" s="172">
        <f t="shared" ca="1" si="215"/>
        <v>0</v>
      </c>
      <c r="AE115" s="172">
        <f t="shared" ca="1" si="215"/>
        <v>0</v>
      </c>
      <c r="AF115" s="172">
        <f t="shared" ca="1" si="215"/>
        <v>0</v>
      </c>
      <c r="AG115" s="172">
        <f t="shared" ca="1" si="215"/>
        <v>0</v>
      </c>
      <c r="AH115" s="172">
        <f t="shared" ca="1" si="215"/>
        <v>0</v>
      </c>
      <c r="AI115" s="172">
        <f t="shared" ca="1" si="215"/>
        <v>0</v>
      </c>
      <c r="AJ115" s="172">
        <f t="shared" ca="1" si="215"/>
        <v>0</v>
      </c>
      <c r="AK115" s="172">
        <f t="shared" ca="1" si="215"/>
        <v>0</v>
      </c>
      <c r="AL115" s="172">
        <f t="shared" ca="1" si="215"/>
        <v>0</v>
      </c>
      <c r="AM115" s="172">
        <f t="shared" ca="1" si="215"/>
        <v>0</v>
      </c>
      <c r="AN115" s="172">
        <f t="shared" ca="1" si="215"/>
        <v>0</v>
      </c>
      <c r="AO115" s="172">
        <f t="shared" ref="AO115:BH115" ca="1" si="216">(AO99-AO112)*Iout_3V3</f>
        <v>0</v>
      </c>
      <c r="AP115" s="172">
        <f t="shared" ca="1" si="216"/>
        <v>0</v>
      </c>
      <c r="AQ115" s="172">
        <f t="shared" ca="1" si="216"/>
        <v>0</v>
      </c>
      <c r="AR115" s="172">
        <f t="shared" ca="1" si="216"/>
        <v>0</v>
      </c>
      <c r="AS115" s="172">
        <f t="shared" ca="1" si="216"/>
        <v>0</v>
      </c>
      <c r="AT115" s="172">
        <f t="shared" ca="1" si="216"/>
        <v>0</v>
      </c>
      <c r="AU115" s="172">
        <f t="shared" ca="1" si="216"/>
        <v>0</v>
      </c>
      <c r="AV115" s="172">
        <f t="shared" ca="1" si="216"/>
        <v>0</v>
      </c>
      <c r="AW115" s="172">
        <f t="shared" ca="1" si="216"/>
        <v>0</v>
      </c>
      <c r="AX115" s="172">
        <f t="shared" ca="1" si="216"/>
        <v>0</v>
      </c>
      <c r="AY115" s="172">
        <f t="shared" ca="1" si="216"/>
        <v>0</v>
      </c>
      <c r="AZ115" s="172">
        <f t="shared" ca="1" si="216"/>
        <v>0</v>
      </c>
      <c r="BA115" s="172">
        <f t="shared" ca="1" si="216"/>
        <v>0</v>
      </c>
      <c r="BB115" s="172">
        <f t="shared" ca="1" si="216"/>
        <v>0</v>
      </c>
      <c r="BC115" s="172">
        <f t="shared" ca="1" si="216"/>
        <v>0</v>
      </c>
      <c r="BD115" s="172">
        <f t="shared" ca="1" si="216"/>
        <v>0</v>
      </c>
      <c r="BE115" s="172">
        <f t="shared" ca="1" si="216"/>
        <v>0</v>
      </c>
      <c r="BF115" s="172">
        <f t="shared" ca="1" si="216"/>
        <v>0</v>
      </c>
      <c r="BG115" s="172">
        <f t="shared" ca="1" si="216"/>
        <v>0</v>
      </c>
      <c r="BH115" s="172">
        <f t="shared" ca="1" si="216"/>
        <v>0</v>
      </c>
      <c r="BI115" s="15" t="s">
        <v>75</v>
      </c>
      <c r="BJ115" s="169"/>
      <c r="BK115" s="99"/>
      <c r="BL115" s="99"/>
      <c r="BM115" s="99"/>
      <c r="BN115" s="99"/>
      <c r="BO115" s="99"/>
      <c r="BP115" s="230"/>
      <c r="BQ115" s="230"/>
      <c r="BR115" s="230"/>
      <c r="BS115" s="230"/>
      <c r="BT115" s="230"/>
      <c r="BU115" s="230"/>
      <c r="BV115" s="99"/>
      <c r="BW115" s="99"/>
      <c r="BX115" s="99"/>
      <c r="BY115" s="99"/>
    </row>
    <row r="116" spans="1:77" s="4" customFormat="1" x14ac:dyDescent="0.3">
      <c r="A116" s="21"/>
      <c r="B116" s="106" t="s">
        <v>121</v>
      </c>
      <c r="C116" s="311">
        <v>0.05</v>
      </c>
      <c r="D116" s="71" t="s">
        <v>354</v>
      </c>
      <c r="E116" s="6"/>
      <c r="F116" s="21"/>
      <c r="G116" s="170" t="s">
        <v>264</v>
      </c>
      <c r="H116" s="15" t="s">
        <v>56</v>
      </c>
      <c r="I116" s="171">
        <f t="shared" ref="I116:AN116" ca="1" si="217">IF(Reset=1,Vreg-Vout_sync_buck,Vreg-Iout_sync_buck*(I128+DCR84*10^-3)-Vout_sync_buck)</f>
        <v>1.8441093559415966</v>
      </c>
      <c r="J116" s="171">
        <f t="shared" ca="1" si="217"/>
        <v>1.8452011663698205</v>
      </c>
      <c r="K116" s="171">
        <f t="shared" ca="1" si="217"/>
        <v>1.8452015293277935</v>
      </c>
      <c r="L116" s="171">
        <f t="shared" ca="1" si="217"/>
        <v>1.845196165327958</v>
      </c>
      <c r="M116" s="171">
        <f t="shared" ca="1" si="217"/>
        <v>1.8451854934618739</v>
      </c>
      <c r="N116" s="171">
        <f t="shared" ca="1" si="217"/>
        <v>1.8451698715935718</v>
      </c>
      <c r="O116" s="171">
        <f t="shared" ca="1" si="217"/>
        <v>1.8452282635775195</v>
      </c>
      <c r="P116" s="171">
        <f t="shared" ca="1" si="217"/>
        <v>1.8452010820563025</v>
      </c>
      <c r="Q116" s="171">
        <f t="shared" ca="1" si="217"/>
        <v>1.8451699173822727</v>
      </c>
      <c r="R116" s="171">
        <f t="shared" ca="1" si="217"/>
        <v>1.8451349562581774</v>
      </c>
      <c r="S116" s="171">
        <f t="shared" ca="1" si="217"/>
        <v>1.8450963626411294</v>
      </c>
      <c r="T116" s="171">
        <f t="shared" ca="1" si="217"/>
        <v>1.8450542811474824</v>
      </c>
      <c r="U116" s="171">
        <f t="shared" ca="1" si="217"/>
        <v>1.84500883985796</v>
      </c>
      <c r="V116" s="171">
        <f t="shared" ca="1" si="217"/>
        <v>1.8449601526436386</v>
      </c>
      <c r="W116" s="171">
        <f t="shared" ca="1" si="217"/>
        <v>1.8449083211062964</v>
      </c>
      <c r="X116" s="171">
        <f t="shared" ca="1" si="217"/>
        <v>1.844853436206269</v>
      </c>
      <c r="Y116" s="171">
        <f t="shared" ca="1" si="217"/>
        <v>1.8447955796354174</v>
      </c>
      <c r="Z116" s="171">
        <f t="shared" ca="1" si="217"/>
        <v>1.8447348249809155</v>
      </c>
      <c r="AA116" s="171">
        <f t="shared" ca="1" si="217"/>
        <v>1.8446712387164101</v>
      </c>
      <c r="AB116" s="171">
        <f t="shared" ca="1" si="217"/>
        <v>1.8446048810499054</v>
      </c>
      <c r="AC116" s="171">
        <f t="shared" ca="1" si="217"/>
        <v>1.8445358066521607</v>
      </c>
      <c r="AD116" s="171">
        <f t="shared" ca="1" si="217"/>
        <v>1.8444640652849156</v>
      </c>
      <c r="AE116" s="171">
        <f t="shared" ca="1" si="217"/>
        <v>1.8443897023447882</v>
      </c>
      <c r="AF116" s="171">
        <f t="shared" ca="1" si="217"/>
        <v>1.844312759335839</v>
      </c>
      <c r="AG116" s="171">
        <f t="shared" ca="1" si="217"/>
        <v>1.8442332742815717</v>
      </c>
      <c r="AH116" s="171">
        <f t="shared" ca="1" si="217"/>
        <v>1.8441512820852868</v>
      </c>
      <c r="AI116" s="171">
        <f t="shared" ca="1" si="217"/>
        <v>1.8440668148462418</v>
      </c>
      <c r="AJ116" s="171">
        <f t="shared" ca="1" si="217"/>
        <v>1.8439799021378551</v>
      </c>
      <c r="AK116" s="171">
        <f t="shared" ca="1" si="217"/>
        <v>1.8438905712532021</v>
      </c>
      <c r="AL116" s="171">
        <f t="shared" ca="1" si="217"/>
        <v>1.8437988474222271</v>
      </c>
      <c r="AM116" s="171">
        <f t="shared" ca="1" si="217"/>
        <v>1.8437047540044231</v>
      </c>
      <c r="AN116" s="171">
        <f t="shared" ca="1" si="217"/>
        <v>1.8436083126601828</v>
      </c>
      <c r="AO116" s="171">
        <f t="shared" ref="AO116:BH116" ca="1" si="218">IF(Reset=1,Vreg-Vout_sync_buck,Vreg-Iout_sync_buck*(AO128+DDX84*10^-3)-Vout_sync_buck)</f>
        <v>1.8435095435035258</v>
      </c>
      <c r="AP116" s="171">
        <f t="shared" ca="1" si="218"/>
        <v>1.8434084652385474</v>
      </c>
      <c r="AQ116" s="171">
        <f t="shared" ca="1" si="218"/>
        <v>1.8433050952815808</v>
      </c>
      <c r="AR116" s="171">
        <f t="shared" ca="1" si="218"/>
        <v>1.8431994498708075</v>
      </c>
      <c r="AS116" s="171">
        <f t="shared" ca="1" si="218"/>
        <v>1.8430915441647873</v>
      </c>
      <c r="AT116" s="171">
        <f t="shared" ca="1" si="218"/>
        <v>1.8429813923312182</v>
      </c>
      <c r="AU116" s="171">
        <f t="shared" ca="1" si="218"/>
        <v>1.8428690076270309</v>
      </c>
      <c r="AV116" s="171">
        <f t="shared" ca="1" si="218"/>
        <v>1.8427544024707965</v>
      </c>
      <c r="AW116" s="171">
        <f t="shared" ca="1" si="218"/>
        <v>1.8426375885083015</v>
      </c>
      <c r="AX116" s="171">
        <f t="shared" ca="1" si="218"/>
        <v>1.8425185766720364</v>
      </c>
      <c r="AY116" s="171">
        <f t="shared" ca="1" si="218"/>
        <v>1.8423973772352396</v>
      </c>
      <c r="AZ116" s="171">
        <f t="shared" ca="1" si="218"/>
        <v>1.8422739998610824</v>
      </c>
      <c r="BA116" s="171">
        <f t="shared" ca="1" si="218"/>
        <v>1.8421484536474964</v>
      </c>
      <c r="BB116" s="171">
        <f t="shared" ca="1" si="218"/>
        <v>1.8420207471680872</v>
      </c>
      <c r="BC116" s="171">
        <f t="shared" ca="1" si="218"/>
        <v>1.8418908885095266</v>
      </c>
      <c r="BD116" s="171">
        <f t="shared" ca="1" si="218"/>
        <v>1.8417588853057847</v>
      </c>
      <c r="BE116" s="171">
        <f t="shared" ca="1" si="218"/>
        <v>1.8416247447694927</v>
      </c>
      <c r="BF116" s="171">
        <f t="shared" ca="1" si="218"/>
        <v>1.8414884737207338</v>
      </c>
      <c r="BG116" s="171">
        <f t="shared" ca="1" si="218"/>
        <v>1.8413500786134884</v>
      </c>
      <c r="BH116" s="171">
        <f t="shared" ca="1" si="218"/>
        <v>1.8363484067625269</v>
      </c>
      <c r="BI116" s="15"/>
      <c r="BJ116" s="169"/>
      <c r="BK116" s="99"/>
      <c r="BL116" s="99"/>
      <c r="BM116" s="99"/>
      <c r="BN116" s="99"/>
      <c r="BO116" s="99"/>
      <c r="BP116" s="230"/>
      <c r="BQ116" s="230"/>
      <c r="BR116" s="230"/>
      <c r="BS116" s="230"/>
      <c r="BT116" s="230"/>
      <c r="BU116" s="230"/>
      <c r="BV116" s="99"/>
      <c r="BW116" s="99"/>
      <c r="BX116" s="99"/>
      <c r="BY116" s="99"/>
    </row>
    <row r="117" spans="1:77" s="4" customFormat="1" x14ac:dyDescent="0.3">
      <c r="A117" s="21"/>
      <c r="B117" s="106" t="s">
        <v>157</v>
      </c>
      <c r="C117" s="236">
        <v>5.25</v>
      </c>
      <c r="D117" s="86" t="s">
        <v>331</v>
      </c>
      <c r="E117" s="21"/>
      <c r="F117" s="21"/>
      <c r="G117" s="170"/>
      <c r="H117" s="15" t="s">
        <v>58</v>
      </c>
      <c r="I117" s="171">
        <f t="shared" ref="I117:AN117" ca="1" si="219">IF(Reset=1,Vout_sync_buck,Vout_sync_buck+Iout_sync_buck*(I132+dcr_2*10^-3))</f>
        <v>3.4393906440584034</v>
      </c>
      <c r="J117" s="171">
        <f t="shared" ca="1" si="219"/>
        <v>3.4382988336301792</v>
      </c>
      <c r="K117" s="171">
        <f t="shared" ca="1" si="219"/>
        <v>3.4382984706722066</v>
      </c>
      <c r="L117" s="171">
        <f t="shared" ca="1" si="219"/>
        <v>3.4383038346720411</v>
      </c>
      <c r="M117" s="171">
        <f t="shared" ca="1" si="219"/>
        <v>3.4383145065381262</v>
      </c>
      <c r="N117" s="171">
        <f t="shared" ca="1" si="219"/>
        <v>3.4383301284064278</v>
      </c>
      <c r="O117" s="171">
        <f t="shared" ca="1" si="219"/>
        <v>3.4382717364224806</v>
      </c>
      <c r="P117" s="171">
        <f t="shared" ca="1" si="219"/>
        <v>3.4382989179436971</v>
      </c>
      <c r="Q117" s="171">
        <f t="shared" ca="1" si="219"/>
        <v>3.4383300826177265</v>
      </c>
      <c r="R117" s="171">
        <f t="shared" ca="1" si="219"/>
        <v>3.4383650437418223</v>
      </c>
      <c r="S117" s="171">
        <f t="shared" ca="1" si="219"/>
        <v>3.4384036373588707</v>
      </c>
      <c r="T117" s="171">
        <f t="shared" ca="1" si="219"/>
        <v>3.4384457188525177</v>
      </c>
      <c r="U117" s="171">
        <f t="shared" ca="1" si="219"/>
        <v>3.4384911601420391</v>
      </c>
      <c r="V117" s="171">
        <f t="shared" ca="1" si="219"/>
        <v>3.4385398473563611</v>
      </c>
      <c r="W117" s="171">
        <f t="shared" ca="1" si="219"/>
        <v>3.4385916788937037</v>
      </c>
      <c r="X117" s="171">
        <f t="shared" ca="1" si="219"/>
        <v>3.4386465637937302</v>
      </c>
      <c r="Y117" s="171">
        <f t="shared" ca="1" si="219"/>
        <v>3.4387044203645822</v>
      </c>
      <c r="Z117" s="171">
        <f t="shared" ca="1" si="219"/>
        <v>3.4387651750190837</v>
      </c>
      <c r="AA117" s="171">
        <f t="shared" ca="1" si="219"/>
        <v>3.4388287612835899</v>
      </c>
      <c r="AB117" s="171">
        <f t="shared" ca="1" si="219"/>
        <v>3.4388951189500943</v>
      </c>
      <c r="AC117" s="171">
        <f t="shared" ca="1" si="219"/>
        <v>3.438964193347839</v>
      </c>
      <c r="AD117" s="171">
        <f t="shared" ca="1" si="219"/>
        <v>3.4390359347150836</v>
      </c>
      <c r="AE117" s="171">
        <f t="shared" ca="1" si="219"/>
        <v>3.4391102976552115</v>
      </c>
      <c r="AF117" s="171">
        <f t="shared" ca="1" si="219"/>
        <v>3.4391872406641606</v>
      </c>
      <c r="AG117" s="171">
        <f t="shared" ca="1" si="219"/>
        <v>3.4392667257184275</v>
      </c>
      <c r="AH117" s="171">
        <f t="shared" ca="1" si="219"/>
        <v>3.4393487179147129</v>
      </c>
      <c r="AI117" s="171">
        <f t="shared" ca="1" si="219"/>
        <v>3.4394331851537583</v>
      </c>
      <c r="AJ117" s="171">
        <f t="shared" ca="1" si="219"/>
        <v>3.439520097862145</v>
      </c>
      <c r="AK117" s="171">
        <f t="shared" ca="1" si="219"/>
        <v>3.4396094287467975</v>
      </c>
      <c r="AL117" s="171">
        <f t="shared" ca="1" si="219"/>
        <v>3.439701152577773</v>
      </c>
      <c r="AM117" s="171">
        <f t="shared" ca="1" si="219"/>
        <v>3.439795245995577</v>
      </c>
      <c r="AN117" s="171">
        <f t="shared" ca="1" si="219"/>
        <v>3.4398916873398169</v>
      </c>
      <c r="AO117" s="171">
        <f t="shared" ref="AO117:BH117" ca="1" si="220">IF(Reset=1,Vout_sync_buck,Vout_sync_buck+Iout_sync_buck*(AO132+dcr_2*10^-3))</f>
        <v>3.4399904564964738</v>
      </c>
      <c r="AP117" s="171">
        <f t="shared" ca="1" si="220"/>
        <v>3.4400915347614527</v>
      </c>
      <c r="AQ117" s="171">
        <f t="shared" ca="1" si="220"/>
        <v>3.4401949047184188</v>
      </c>
      <c r="AR117" s="171">
        <f t="shared" ca="1" si="220"/>
        <v>3.4403005501291926</v>
      </c>
      <c r="AS117" s="171">
        <f t="shared" ca="1" si="220"/>
        <v>3.4404084558352124</v>
      </c>
      <c r="AT117" s="171">
        <f t="shared" ca="1" si="220"/>
        <v>3.440518607668781</v>
      </c>
      <c r="AU117" s="171">
        <f t="shared" ca="1" si="220"/>
        <v>3.4406309923729688</v>
      </c>
      <c r="AV117" s="171">
        <f t="shared" ca="1" si="220"/>
        <v>3.4407455975292036</v>
      </c>
      <c r="AW117" s="171">
        <f t="shared" ca="1" si="220"/>
        <v>3.4408624114916981</v>
      </c>
      <c r="AX117" s="171">
        <f t="shared" ca="1" si="220"/>
        <v>3.4409814233279632</v>
      </c>
      <c r="AY117" s="171">
        <f t="shared" ca="1" si="220"/>
        <v>3.4411026227647605</v>
      </c>
      <c r="AZ117" s="171">
        <f t="shared" ca="1" si="220"/>
        <v>3.4412260001389177</v>
      </c>
      <c r="BA117" s="171">
        <f t="shared" ca="1" si="220"/>
        <v>3.4413515463525028</v>
      </c>
      <c r="BB117" s="171">
        <f t="shared" ca="1" si="220"/>
        <v>3.4414792528319125</v>
      </c>
      <c r="BC117" s="171">
        <f t="shared" ca="1" si="220"/>
        <v>3.4416091114904726</v>
      </c>
      <c r="BD117" s="171">
        <f t="shared" ca="1" si="220"/>
        <v>3.441741114694215</v>
      </c>
      <c r="BE117" s="171">
        <f t="shared" ca="1" si="220"/>
        <v>3.441875255230507</v>
      </c>
      <c r="BF117" s="171">
        <f t="shared" ca="1" si="220"/>
        <v>3.4420115262792654</v>
      </c>
      <c r="BG117" s="171">
        <f t="shared" ca="1" si="220"/>
        <v>3.4421499213865112</v>
      </c>
      <c r="BH117" s="171">
        <f t="shared" ca="1" si="220"/>
        <v>3.4471515932374732</v>
      </c>
      <c r="BI117" s="15"/>
      <c r="BJ117" s="169"/>
      <c r="BK117" s="99"/>
      <c r="BL117" s="99"/>
      <c r="BM117" s="99"/>
      <c r="BN117" s="99"/>
      <c r="BO117" s="99"/>
      <c r="BP117" s="230"/>
      <c r="BQ117" s="230"/>
      <c r="BR117" s="230"/>
      <c r="BS117" s="230"/>
      <c r="BT117" s="230"/>
      <c r="BU117" s="230"/>
      <c r="BV117" s="99"/>
      <c r="BW117" s="99"/>
      <c r="BX117" s="99"/>
      <c r="BY117" s="99"/>
    </row>
    <row r="118" spans="1:77" s="4" customFormat="1" x14ac:dyDescent="0.3">
      <c r="A118" s="6"/>
      <c r="B118" s="111" t="s">
        <v>118</v>
      </c>
      <c r="C118" s="112">
        <f ca="1">ROUNDUP(MAX(Y166:Y168),0)</f>
        <v>15</v>
      </c>
      <c r="D118" s="86" t="s">
        <v>193</v>
      </c>
      <c r="E118" s="21"/>
      <c r="F118" s="21"/>
      <c r="G118" s="170"/>
      <c r="H118" s="15" t="s">
        <v>86</v>
      </c>
      <c r="I118" s="177">
        <f t="shared" ref="I118:AN118" ca="1" si="221">IF(Reset=1,Vout_sync_buck/Vreg,I117/(I116+I117))</f>
        <v>0.65096823016152239</v>
      </c>
      <c r="J118" s="177">
        <f t="shared" ca="1" si="221"/>
        <v>0.65076158486423374</v>
      </c>
      <c r="K118" s="177">
        <f t="shared" ca="1" si="221"/>
        <v>0.65076151616773092</v>
      </c>
      <c r="L118" s="177">
        <f t="shared" ca="1" si="221"/>
        <v>0.65076253140381224</v>
      </c>
      <c r="M118" s="177">
        <f t="shared" ca="1" si="221"/>
        <v>0.65076455125165633</v>
      </c>
      <c r="N118" s="177">
        <f t="shared" ca="1" si="221"/>
        <v>0.65076750797888294</v>
      </c>
      <c r="O118" s="177">
        <f t="shared" ca="1" si="221"/>
        <v>0.65075645621699263</v>
      </c>
      <c r="P118" s="177">
        <f t="shared" ca="1" si="221"/>
        <v>0.65076160082212497</v>
      </c>
      <c r="Q118" s="177">
        <f t="shared" ca="1" si="221"/>
        <v>0.6507674993125252</v>
      </c>
      <c r="R118" s="177">
        <f t="shared" ca="1" si="221"/>
        <v>0.6507741163512486</v>
      </c>
      <c r="S118" s="177">
        <f t="shared" ca="1" si="221"/>
        <v>0.65078142090638225</v>
      </c>
      <c r="T118" s="177">
        <f t="shared" ca="1" si="221"/>
        <v>0.65078938560660882</v>
      </c>
      <c r="U118" s="177">
        <f t="shared" ca="1" si="221"/>
        <v>0.65079798621028484</v>
      </c>
      <c r="V118" s="177">
        <f t="shared" ca="1" si="221"/>
        <v>0.65080720116520507</v>
      </c>
      <c r="W118" s="177">
        <f t="shared" ca="1" si="221"/>
        <v>0.65081701124135583</v>
      </c>
      <c r="X118" s="177">
        <f t="shared" ca="1" si="221"/>
        <v>0.65082739922281263</v>
      </c>
      <c r="Y118" s="177">
        <f t="shared" ca="1" si="221"/>
        <v>0.65083834964788156</v>
      </c>
      <c r="Z118" s="177">
        <f t="shared" ca="1" si="221"/>
        <v>0.65084984858883022</v>
      </c>
      <c r="AA118" s="177">
        <f t="shared" ca="1" si="221"/>
        <v>0.65086188346429263</v>
      </c>
      <c r="AB118" s="177">
        <f t="shared" ca="1" si="221"/>
        <v>0.65087444287879137</v>
      </c>
      <c r="AC118" s="177">
        <f t="shared" ca="1" si="221"/>
        <v>0.65088751648487531</v>
      </c>
      <c r="AD118" s="177">
        <f t="shared" ca="1" si="221"/>
        <v>0.65090109486421577</v>
      </c>
      <c r="AE118" s="177">
        <f t="shared" ca="1" si="221"/>
        <v>0.65091516942466388</v>
      </c>
      <c r="AF118" s="177">
        <f t="shared" ca="1" si="221"/>
        <v>0.65092973231080919</v>
      </c>
      <c r="AG118" s="177">
        <f t="shared" ca="1" si="221"/>
        <v>0.65094477632600134</v>
      </c>
      <c r="AH118" s="177">
        <f t="shared" ca="1" si="221"/>
        <v>0.65096029486414553</v>
      </c>
      <c r="AI118" s="177">
        <f t="shared" ca="1" si="221"/>
        <v>0.65097628184986434</v>
      </c>
      <c r="AJ118" s="177">
        <f t="shared" ca="1" si="221"/>
        <v>0.65099273168584171</v>
      </c>
      <c r="AK118" s="177">
        <f t="shared" ca="1" si="221"/>
        <v>0.6510096392063589</v>
      </c>
      <c r="AL118" s="177">
        <f t="shared" ca="1" si="221"/>
        <v>0.65102699963618305</v>
      </c>
      <c r="AM118" s="177">
        <f t="shared" ca="1" si="221"/>
        <v>0.65104480855409808</v>
      </c>
      <c r="AN118" s="177">
        <f t="shared" ca="1" si="221"/>
        <v>0.65106306186047447</v>
      </c>
      <c r="AO118" s="177">
        <f t="shared" ref="AO118:BH118" ca="1" si="222">IF(Reset=1,Vout_sync_buck/Vreg,AO117/(AO116+AO117))</f>
        <v>0.65108175574836258</v>
      </c>
      <c r="AP118" s="177">
        <f t="shared" ca="1" si="222"/>
        <v>0.65110088667766686</v>
      </c>
      <c r="AQ118" s="177">
        <f t="shared" ca="1" si="222"/>
        <v>0.65112045135202401</v>
      </c>
      <c r="AR118" s="177">
        <f t="shared" ca="1" si="222"/>
        <v>0.65114044669805859</v>
      </c>
      <c r="AS118" s="177">
        <f t="shared" ca="1" si="222"/>
        <v>0.65116086984673271</v>
      </c>
      <c r="AT118" s="177">
        <f t="shared" ca="1" si="222"/>
        <v>0.65118171811654801</v>
      </c>
      <c r="AU118" s="177">
        <f t="shared" ca="1" si="222"/>
        <v>0.65120298899838525</v>
      </c>
      <c r="AV118" s="177">
        <f t="shared" ca="1" si="222"/>
        <v>0.65122468014180057</v>
      </c>
      <c r="AW118" s="177">
        <f t="shared" ca="1" si="222"/>
        <v>0.65124678934261349</v>
      </c>
      <c r="AX118" s="177">
        <f t="shared" ca="1" si="222"/>
        <v>0.65126931453164816</v>
      </c>
      <c r="AY118" s="177">
        <f t="shared" ca="1" si="222"/>
        <v>0.65129225376450472</v>
      </c>
      <c r="AZ118" s="177">
        <f t="shared" ca="1" si="222"/>
        <v>0.65131560521224896</v>
      </c>
      <c r="BA118" s="177">
        <f t="shared" ca="1" si="222"/>
        <v>0.65133936715292962</v>
      </c>
      <c r="BB118" s="177">
        <f t="shared" ca="1" si="222"/>
        <v>0.65136353796383317</v>
      </c>
      <c r="BC118" s="177">
        <f t="shared" ca="1" si="222"/>
        <v>0.65138811611440772</v>
      </c>
      <c r="BD118" s="177">
        <f t="shared" ca="1" si="222"/>
        <v>0.65141310015978326</v>
      </c>
      <c r="BE118" s="177">
        <f t="shared" ca="1" si="222"/>
        <v>0.65143848873483612</v>
      </c>
      <c r="BF118" s="177">
        <f t="shared" ca="1" si="222"/>
        <v>0.65146428054873962</v>
      </c>
      <c r="BG118" s="177">
        <f t="shared" ca="1" si="222"/>
        <v>0.65149047437995855</v>
      </c>
      <c r="BH118" s="177">
        <f t="shared" ca="1" si="222"/>
        <v>0.65243713319532004</v>
      </c>
      <c r="BI118" s="15"/>
      <c r="BJ118" s="169"/>
      <c r="BK118" s="99"/>
      <c r="BL118" s="99"/>
      <c r="BM118" s="99"/>
      <c r="BN118" s="99"/>
      <c r="BO118" s="99"/>
      <c r="BP118" s="230"/>
      <c r="BQ118" s="230"/>
      <c r="BR118" s="230"/>
      <c r="BS118" s="230"/>
      <c r="BT118" s="230"/>
      <c r="BU118" s="230"/>
      <c r="BV118" s="99"/>
      <c r="BW118" s="99"/>
      <c r="BX118" s="99"/>
      <c r="BY118" s="99"/>
    </row>
    <row r="119" spans="1:77" x14ac:dyDescent="0.3">
      <c r="A119" s="6"/>
      <c r="B119" s="111" t="s">
        <v>125</v>
      </c>
      <c r="C119" s="113">
        <f ca="1">ROUNDUP(C114/(2*C120)*1000,0)</f>
        <v>68</v>
      </c>
      <c r="D119" s="86" t="s">
        <v>173</v>
      </c>
      <c r="E119" s="21"/>
      <c r="F119" s="21"/>
      <c r="H119" s="15" t="s">
        <v>21</v>
      </c>
      <c r="I119" s="178">
        <f t="shared" ref="I119:AN119" ca="1" si="223">I118/(fsw*10^3)*10^6</f>
        <v>0.32548411508076119</v>
      </c>
      <c r="J119" s="178">
        <f t="shared" ca="1" si="223"/>
        <v>0.32538079243211687</v>
      </c>
      <c r="K119" s="178">
        <f t="shared" ca="1" si="223"/>
        <v>0.32538075808386546</v>
      </c>
      <c r="L119" s="178">
        <f t="shared" ca="1" si="223"/>
        <v>0.32538126570190612</v>
      </c>
      <c r="M119" s="178">
        <f t="shared" ca="1" si="223"/>
        <v>0.32538227562582817</v>
      </c>
      <c r="N119" s="178">
        <f t="shared" ca="1" si="223"/>
        <v>0.32538375398944147</v>
      </c>
      <c r="O119" s="178">
        <f t="shared" ca="1" si="223"/>
        <v>0.32537822810849631</v>
      </c>
      <c r="P119" s="178">
        <f t="shared" ca="1" si="223"/>
        <v>0.32538080041106249</v>
      </c>
      <c r="Q119" s="178">
        <f t="shared" ca="1" si="223"/>
        <v>0.3253837496562626</v>
      </c>
      <c r="R119" s="178">
        <f t="shared" ca="1" si="223"/>
        <v>0.3253870581756243</v>
      </c>
      <c r="S119" s="178">
        <f t="shared" ca="1" si="223"/>
        <v>0.32539071045319112</v>
      </c>
      <c r="T119" s="178">
        <f t="shared" ca="1" si="223"/>
        <v>0.32539469280330441</v>
      </c>
      <c r="U119" s="178">
        <f t="shared" ca="1" si="223"/>
        <v>0.32539899310514242</v>
      </c>
      <c r="V119" s="178">
        <f t="shared" ca="1" si="223"/>
        <v>0.32540360058260254</v>
      </c>
      <c r="W119" s="178">
        <f t="shared" ca="1" si="223"/>
        <v>0.32540850562067791</v>
      </c>
      <c r="X119" s="178">
        <f t="shared" ca="1" si="223"/>
        <v>0.32541369961140632</v>
      </c>
      <c r="Y119" s="178">
        <f t="shared" ca="1" si="223"/>
        <v>0.32541917482394078</v>
      </c>
      <c r="Z119" s="178">
        <f t="shared" ca="1" si="223"/>
        <v>0.32542492429441511</v>
      </c>
      <c r="AA119" s="178">
        <f t="shared" ca="1" si="223"/>
        <v>0.32543094173214632</v>
      </c>
      <c r="AB119" s="178">
        <f t="shared" ca="1" si="223"/>
        <v>0.32543722143939569</v>
      </c>
      <c r="AC119" s="178">
        <f t="shared" ca="1" si="223"/>
        <v>0.32544375824243765</v>
      </c>
      <c r="AD119" s="178">
        <f t="shared" ca="1" si="223"/>
        <v>0.32545054743210788</v>
      </c>
      <c r="AE119" s="178">
        <f t="shared" ca="1" si="223"/>
        <v>0.32545758471233194</v>
      </c>
      <c r="AF119" s="178">
        <f t="shared" ca="1" si="223"/>
        <v>0.3254648661554046</v>
      </c>
      <c r="AG119" s="178">
        <f t="shared" ca="1" si="223"/>
        <v>0.32547238816300067</v>
      </c>
      <c r="AH119" s="178">
        <f t="shared" ca="1" si="223"/>
        <v>0.32548014743207276</v>
      </c>
      <c r="AI119" s="178">
        <f t="shared" ca="1" si="223"/>
        <v>0.32548814092493217</v>
      </c>
      <c r="AJ119" s="178">
        <f t="shared" ca="1" si="223"/>
        <v>0.32549636584292085</v>
      </c>
      <c r="AK119" s="178">
        <f t="shared" ca="1" si="223"/>
        <v>0.32550481960317945</v>
      </c>
      <c r="AL119" s="178">
        <f t="shared" ca="1" si="223"/>
        <v>0.32551349981809152</v>
      </c>
      <c r="AM119" s="178">
        <f t="shared" ca="1" si="223"/>
        <v>0.32552240427704904</v>
      </c>
      <c r="AN119" s="178">
        <f t="shared" ca="1" si="223"/>
        <v>0.32553153093023723</v>
      </c>
      <c r="AO119" s="178">
        <f t="shared" ref="AO119:BH119" ca="1" si="224">AO118/(fsw*10^3)*10^6</f>
        <v>0.32554087787418129</v>
      </c>
      <c r="AP119" s="178">
        <f t="shared" ca="1" si="224"/>
        <v>0.32555044333883343</v>
      </c>
      <c r="AQ119" s="178">
        <f t="shared" ca="1" si="224"/>
        <v>0.32556022567601201</v>
      </c>
      <c r="AR119" s="178">
        <f t="shared" ca="1" si="224"/>
        <v>0.3255702233490293</v>
      </c>
      <c r="AS119" s="178">
        <f t="shared" ca="1" si="224"/>
        <v>0.32558043492336636</v>
      </c>
      <c r="AT119" s="178">
        <f t="shared" ca="1" si="224"/>
        <v>0.32559085905827401</v>
      </c>
      <c r="AU119" s="178">
        <f t="shared" ca="1" si="224"/>
        <v>0.32560149449919262</v>
      </c>
      <c r="AV119" s="178">
        <f t="shared" ca="1" si="224"/>
        <v>0.32561234007090029</v>
      </c>
      <c r="AW119" s="178">
        <f t="shared" ca="1" si="224"/>
        <v>0.32562339467130674</v>
      </c>
      <c r="AX119" s="178">
        <f t="shared" ca="1" si="224"/>
        <v>0.32563465726582408</v>
      </c>
      <c r="AY119" s="178">
        <f t="shared" ca="1" si="224"/>
        <v>0.32564612688225236</v>
      </c>
      <c r="AZ119" s="178">
        <f t="shared" ca="1" si="224"/>
        <v>0.32565780260612448</v>
      </c>
      <c r="BA119" s="178">
        <f t="shared" ca="1" si="224"/>
        <v>0.32566968357646481</v>
      </c>
      <c r="BB119" s="178">
        <f t="shared" ca="1" si="224"/>
        <v>0.32568176898191659</v>
      </c>
      <c r="BC119" s="178">
        <f t="shared" ca="1" si="224"/>
        <v>0.32569405805720386</v>
      </c>
      <c r="BD119" s="178">
        <f t="shared" ca="1" si="224"/>
        <v>0.32570655007989163</v>
      </c>
      <c r="BE119" s="178">
        <f t="shared" ca="1" si="224"/>
        <v>0.32571924436741806</v>
      </c>
      <c r="BF119" s="178">
        <f t="shared" ca="1" si="224"/>
        <v>0.32573214027436981</v>
      </c>
      <c r="BG119" s="178">
        <f t="shared" ca="1" si="224"/>
        <v>0.32574523718997928</v>
      </c>
      <c r="BH119" s="178">
        <f t="shared" ca="1" si="224"/>
        <v>0.32621856659766002</v>
      </c>
      <c r="BI119" s="15"/>
      <c r="BJ119" s="169"/>
    </row>
    <row r="120" spans="1:77" x14ac:dyDescent="0.3">
      <c r="A120" s="6"/>
      <c r="B120" s="45" t="s">
        <v>131</v>
      </c>
      <c r="C120" s="53">
        <f ca="1">ROUNDUP(IF(Topology="Buck",MAX(J195:BG195),MAX(J48:BG48)),3)</f>
        <v>3.6999999999999998E-2</v>
      </c>
      <c r="D120" s="86" t="s">
        <v>175</v>
      </c>
      <c r="E120" s="21"/>
      <c r="F120" s="21"/>
      <c r="H120" s="15" t="s">
        <v>22</v>
      </c>
      <c r="I120" s="178">
        <f t="shared" ref="I120:AN120" ca="1" si="225">1/(fsw*10^-3)-I119</f>
        <v>0.17451588491923881</v>
      </c>
      <c r="J120" s="178">
        <f t="shared" ca="1" si="225"/>
        <v>0.17461920756788313</v>
      </c>
      <c r="K120" s="178">
        <f t="shared" ca="1" si="225"/>
        <v>0.17461924191613454</v>
      </c>
      <c r="L120" s="178">
        <f t="shared" ca="1" si="225"/>
        <v>0.17461873429809388</v>
      </c>
      <c r="M120" s="178">
        <f t="shared" ca="1" si="225"/>
        <v>0.17461772437417183</v>
      </c>
      <c r="N120" s="178">
        <f t="shared" ca="1" si="225"/>
        <v>0.17461624601055853</v>
      </c>
      <c r="O120" s="178">
        <f t="shared" ca="1" si="225"/>
        <v>0.17462177189150369</v>
      </c>
      <c r="P120" s="178">
        <f t="shared" ca="1" si="225"/>
        <v>0.17461919958893751</v>
      </c>
      <c r="Q120" s="178">
        <f t="shared" ca="1" si="225"/>
        <v>0.1746162503437374</v>
      </c>
      <c r="R120" s="178">
        <f t="shared" ca="1" si="225"/>
        <v>0.1746129418243757</v>
      </c>
      <c r="S120" s="178">
        <f t="shared" ca="1" si="225"/>
        <v>0.17460928954680888</v>
      </c>
      <c r="T120" s="178">
        <f t="shared" ca="1" si="225"/>
        <v>0.17460530719669559</v>
      </c>
      <c r="U120" s="178">
        <f t="shared" ca="1" si="225"/>
        <v>0.17460100689485758</v>
      </c>
      <c r="V120" s="178">
        <f t="shared" ca="1" si="225"/>
        <v>0.17459639941739746</v>
      </c>
      <c r="W120" s="178">
        <f t="shared" ca="1" si="225"/>
        <v>0.17459149437932209</v>
      </c>
      <c r="X120" s="178">
        <f t="shared" ca="1" si="225"/>
        <v>0.17458630038859368</v>
      </c>
      <c r="Y120" s="178">
        <f t="shared" ca="1" si="225"/>
        <v>0.17458082517605922</v>
      </c>
      <c r="Z120" s="178">
        <f t="shared" ca="1" si="225"/>
        <v>0.17457507570558489</v>
      </c>
      <c r="AA120" s="178">
        <f t="shared" ca="1" si="225"/>
        <v>0.17456905826785368</v>
      </c>
      <c r="AB120" s="178">
        <f t="shared" ca="1" si="225"/>
        <v>0.17456277856060431</v>
      </c>
      <c r="AC120" s="178">
        <f t="shared" ca="1" si="225"/>
        <v>0.17455624175756235</v>
      </c>
      <c r="AD120" s="178">
        <f t="shared" ca="1" si="225"/>
        <v>0.17454945256789212</v>
      </c>
      <c r="AE120" s="178">
        <f t="shared" ca="1" si="225"/>
        <v>0.17454241528766806</v>
      </c>
      <c r="AF120" s="178">
        <f t="shared" ca="1" si="225"/>
        <v>0.1745351338445954</v>
      </c>
      <c r="AG120" s="178">
        <f t="shared" ca="1" si="225"/>
        <v>0.17452761183699933</v>
      </c>
      <c r="AH120" s="178">
        <f t="shared" ca="1" si="225"/>
        <v>0.17451985256792724</v>
      </c>
      <c r="AI120" s="178">
        <f t="shared" ca="1" si="225"/>
        <v>0.17451185907506783</v>
      </c>
      <c r="AJ120" s="178">
        <f t="shared" ca="1" si="225"/>
        <v>0.17450363415707915</v>
      </c>
      <c r="AK120" s="178">
        <f t="shared" ca="1" si="225"/>
        <v>0.17449518039682055</v>
      </c>
      <c r="AL120" s="178">
        <f t="shared" ca="1" si="225"/>
        <v>0.17448650018190848</v>
      </c>
      <c r="AM120" s="178">
        <f t="shared" ca="1" si="225"/>
        <v>0.17447759572295096</v>
      </c>
      <c r="AN120" s="178">
        <f t="shared" ca="1" si="225"/>
        <v>0.17446846906976277</v>
      </c>
      <c r="AO120" s="178">
        <f t="shared" ref="AO120:BH120" ca="1" si="226">1/(fsw*10^-3)-AO119</f>
        <v>0.17445912212581871</v>
      </c>
      <c r="AP120" s="178">
        <f t="shared" ca="1" si="226"/>
        <v>0.17444955666116657</v>
      </c>
      <c r="AQ120" s="178">
        <f t="shared" ca="1" si="226"/>
        <v>0.17443977432398799</v>
      </c>
      <c r="AR120" s="178">
        <f t="shared" ca="1" si="226"/>
        <v>0.1744297766509707</v>
      </c>
      <c r="AS120" s="178">
        <f t="shared" ca="1" si="226"/>
        <v>0.17441956507663364</v>
      </c>
      <c r="AT120" s="178">
        <f t="shared" ca="1" si="226"/>
        <v>0.17440914094172599</v>
      </c>
      <c r="AU120" s="178">
        <f t="shared" ca="1" si="226"/>
        <v>0.17439850550080738</v>
      </c>
      <c r="AV120" s="178">
        <f t="shared" ca="1" si="226"/>
        <v>0.17438765992909971</v>
      </c>
      <c r="AW120" s="178">
        <f t="shared" ca="1" si="226"/>
        <v>0.17437660532869326</v>
      </c>
      <c r="AX120" s="178">
        <f t="shared" ca="1" si="226"/>
        <v>0.17436534273417592</v>
      </c>
      <c r="AY120" s="178">
        <f t="shared" ca="1" si="226"/>
        <v>0.17435387311774764</v>
      </c>
      <c r="AZ120" s="178">
        <f t="shared" ca="1" si="226"/>
        <v>0.17434219739387552</v>
      </c>
      <c r="BA120" s="178">
        <f t="shared" ca="1" si="226"/>
        <v>0.17433031642353519</v>
      </c>
      <c r="BB120" s="178">
        <f t="shared" ca="1" si="226"/>
        <v>0.17431823101808341</v>
      </c>
      <c r="BC120" s="178">
        <f t="shared" ca="1" si="226"/>
        <v>0.17430594194279614</v>
      </c>
      <c r="BD120" s="178">
        <f t="shared" ca="1" si="226"/>
        <v>0.17429344992010837</v>
      </c>
      <c r="BE120" s="178">
        <f t="shared" ca="1" si="226"/>
        <v>0.17428075563258194</v>
      </c>
      <c r="BF120" s="178">
        <f t="shared" ca="1" si="226"/>
        <v>0.17426785972563019</v>
      </c>
      <c r="BG120" s="178">
        <f t="shared" ca="1" si="226"/>
        <v>0.17425476281002072</v>
      </c>
      <c r="BH120" s="178">
        <f t="shared" ca="1" si="226"/>
        <v>0.17378143340233998</v>
      </c>
      <c r="BI120" s="15"/>
      <c r="BJ120" s="169"/>
    </row>
    <row r="121" spans="1:77" x14ac:dyDescent="0.3">
      <c r="A121" s="6"/>
      <c r="B121" s="269" t="s">
        <v>342</v>
      </c>
      <c r="C121" s="270">
        <v>8.5</v>
      </c>
      <c r="D121" s="87" t="s">
        <v>348</v>
      </c>
      <c r="E121" s="21"/>
      <c r="F121" s="21"/>
      <c r="H121" s="15" t="s">
        <v>84</v>
      </c>
      <c r="I121" s="171">
        <f t="shared" ref="I121:AN121" ca="1" si="227">I116*I118/(1-I118)-Iout_sync_buck*(I132+dcr_2*10^-3)</f>
        <v>3.3</v>
      </c>
      <c r="J121" s="171">
        <f t="shared" ca="1" si="227"/>
        <v>3.2999999999999985</v>
      </c>
      <c r="K121" s="171">
        <f t="shared" ca="1" si="227"/>
        <v>3.2999999999999994</v>
      </c>
      <c r="L121" s="171">
        <f t="shared" ca="1" si="227"/>
        <v>3.3000000000000007</v>
      </c>
      <c r="M121" s="171">
        <f t="shared" ca="1" si="227"/>
        <v>3.3000000000000003</v>
      </c>
      <c r="N121" s="171">
        <f t="shared" ca="1" si="227"/>
        <v>3.3</v>
      </c>
      <c r="O121" s="171">
        <f t="shared" ca="1" si="227"/>
        <v>3.3</v>
      </c>
      <c r="P121" s="171">
        <f t="shared" ca="1" si="227"/>
        <v>3.3</v>
      </c>
      <c r="Q121" s="171">
        <f t="shared" ca="1" si="227"/>
        <v>3.2999999999999989</v>
      </c>
      <c r="R121" s="171">
        <f t="shared" ca="1" si="227"/>
        <v>3.299999999999998</v>
      </c>
      <c r="S121" s="171">
        <f t="shared" ca="1" si="227"/>
        <v>3.3</v>
      </c>
      <c r="T121" s="171">
        <f t="shared" ca="1" si="227"/>
        <v>3.3</v>
      </c>
      <c r="U121" s="171">
        <f t="shared" ca="1" si="227"/>
        <v>3.3000000000000003</v>
      </c>
      <c r="V121" s="171">
        <f t="shared" ca="1" si="227"/>
        <v>3.2999999999999985</v>
      </c>
      <c r="W121" s="171">
        <f t="shared" ca="1" si="227"/>
        <v>3.3</v>
      </c>
      <c r="X121" s="171">
        <f t="shared" ca="1" si="227"/>
        <v>3.2999999999999994</v>
      </c>
      <c r="Y121" s="171">
        <f t="shared" ca="1" si="227"/>
        <v>3.2999999999999989</v>
      </c>
      <c r="Z121" s="171">
        <f t="shared" ca="1" si="227"/>
        <v>3.3000000000000003</v>
      </c>
      <c r="AA121" s="171">
        <f t="shared" ca="1" si="227"/>
        <v>3.3000000000000003</v>
      </c>
      <c r="AB121" s="171">
        <f t="shared" ca="1" si="227"/>
        <v>3.2999999999999989</v>
      </c>
      <c r="AC121" s="171">
        <f t="shared" ca="1" si="227"/>
        <v>3.2999999999999985</v>
      </c>
      <c r="AD121" s="171">
        <f t="shared" ca="1" si="227"/>
        <v>3.2999999999999989</v>
      </c>
      <c r="AE121" s="171">
        <f t="shared" ca="1" si="227"/>
        <v>3.2999999999999994</v>
      </c>
      <c r="AF121" s="171">
        <f t="shared" ca="1" si="227"/>
        <v>3.2999999999999985</v>
      </c>
      <c r="AG121" s="171">
        <f t="shared" ca="1" si="227"/>
        <v>3.3</v>
      </c>
      <c r="AH121" s="171">
        <f t="shared" ca="1" si="227"/>
        <v>3.2999999999999994</v>
      </c>
      <c r="AI121" s="171">
        <f t="shared" ca="1" si="227"/>
        <v>3.3000000000000003</v>
      </c>
      <c r="AJ121" s="171">
        <f t="shared" ca="1" si="227"/>
        <v>3.2999999999999994</v>
      </c>
      <c r="AK121" s="171">
        <f t="shared" ca="1" si="227"/>
        <v>3.2999999999999985</v>
      </c>
      <c r="AL121" s="171">
        <f t="shared" ca="1" si="227"/>
        <v>3.3000000000000007</v>
      </c>
      <c r="AM121" s="171">
        <f t="shared" ca="1" si="227"/>
        <v>3.3000000000000007</v>
      </c>
      <c r="AN121" s="171">
        <f t="shared" ca="1" si="227"/>
        <v>3.2999999999999989</v>
      </c>
      <c r="AO121" s="171">
        <f t="shared" ref="AO121:BH121" ca="1" si="228">AO116*AO118/(1-AO118)-Iout_sync_buck*(AO132+dcr_2*10^-3)</f>
        <v>3.2999999999999989</v>
      </c>
      <c r="AP121" s="171">
        <f t="shared" ca="1" si="228"/>
        <v>3.3000000000000003</v>
      </c>
      <c r="AQ121" s="171">
        <f t="shared" ca="1" si="228"/>
        <v>3.2999999999999994</v>
      </c>
      <c r="AR121" s="171">
        <f t="shared" ca="1" si="228"/>
        <v>3.3</v>
      </c>
      <c r="AS121" s="171">
        <f t="shared" ca="1" si="228"/>
        <v>3.2999999999999985</v>
      </c>
      <c r="AT121" s="171">
        <f t="shared" ca="1" si="228"/>
        <v>3.2999999999999994</v>
      </c>
      <c r="AU121" s="171">
        <f t="shared" ca="1" si="228"/>
        <v>3.299999999999998</v>
      </c>
      <c r="AV121" s="171">
        <f t="shared" ca="1" si="228"/>
        <v>3.2999999999999989</v>
      </c>
      <c r="AW121" s="171">
        <f t="shared" ca="1" si="228"/>
        <v>3.2999999999999994</v>
      </c>
      <c r="AX121" s="171">
        <f t="shared" ca="1" si="228"/>
        <v>3.2999999999999989</v>
      </c>
      <c r="AY121" s="171">
        <f t="shared" ca="1" si="228"/>
        <v>3.3000000000000003</v>
      </c>
      <c r="AZ121" s="171">
        <f t="shared" ca="1" si="228"/>
        <v>3.2999999999999989</v>
      </c>
      <c r="BA121" s="171">
        <f t="shared" ca="1" si="228"/>
        <v>3.3000000000000007</v>
      </c>
      <c r="BB121" s="171">
        <f t="shared" ca="1" si="228"/>
        <v>3.2999999999999994</v>
      </c>
      <c r="BC121" s="171">
        <f t="shared" ca="1" si="228"/>
        <v>3.3</v>
      </c>
      <c r="BD121" s="171">
        <f t="shared" ca="1" si="228"/>
        <v>3.2999999999999989</v>
      </c>
      <c r="BE121" s="171">
        <f t="shared" ca="1" si="228"/>
        <v>3.299999999999998</v>
      </c>
      <c r="BF121" s="171">
        <f t="shared" ca="1" si="228"/>
        <v>3.2999999999999989</v>
      </c>
      <c r="BG121" s="171">
        <f t="shared" ca="1" si="228"/>
        <v>3.2999999999999985</v>
      </c>
      <c r="BH121" s="171">
        <f t="shared" ca="1" si="228"/>
        <v>3.3000000000000007</v>
      </c>
      <c r="BI121" s="15"/>
      <c r="BJ121" s="169"/>
    </row>
    <row r="122" spans="1:77" x14ac:dyDescent="0.3">
      <c r="A122" s="6"/>
      <c r="B122" s="127" t="s">
        <v>307</v>
      </c>
      <c r="C122" s="237">
        <v>3</v>
      </c>
      <c r="D122" s="128" t="s">
        <v>238</v>
      </c>
      <c r="E122" s="21"/>
      <c r="F122" s="21"/>
      <c r="H122" s="15" t="s">
        <v>41</v>
      </c>
      <c r="I122" s="180">
        <f t="shared" ref="I122:AN122" ca="1" si="229">Iout_sync_buck+I123/2</f>
        <v>0.76385407466285138</v>
      </c>
      <c r="J122" s="180">
        <f t="shared" ca="1" si="229"/>
        <v>0.76387159762873169</v>
      </c>
      <c r="K122" s="180">
        <f t="shared" ca="1" si="229"/>
        <v>0.7638716034500197</v>
      </c>
      <c r="L122" s="180">
        <f t="shared" ca="1" si="229"/>
        <v>0.76387151741943771</v>
      </c>
      <c r="M122" s="180">
        <f t="shared" ca="1" si="229"/>
        <v>0.76387134625685005</v>
      </c>
      <c r="N122" s="180">
        <f t="shared" ca="1" si="229"/>
        <v>0.7638710956986523</v>
      </c>
      <c r="O122" s="180">
        <f t="shared" ca="1" si="229"/>
        <v>0.7638720322189968</v>
      </c>
      <c r="P122" s="180">
        <f t="shared" ca="1" si="229"/>
        <v>0.76387159627647216</v>
      </c>
      <c r="Q122" s="180">
        <f t="shared" ca="1" si="229"/>
        <v>0.76387109643306172</v>
      </c>
      <c r="R122" s="180">
        <f t="shared" ca="1" si="229"/>
        <v>0.76387053567594221</v>
      </c>
      <c r="S122" s="180">
        <f t="shared" ca="1" si="229"/>
        <v>0.76386991662706338</v>
      </c>
      <c r="T122" s="180">
        <f t="shared" ca="1" si="229"/>
        <v>0.76386924159780922</v>
      </c>
      <c r="U122" s="180">
        <f t="shared" ca="1" si="229"/>
        <v>0.76386851263402833</v>
      </c>
      <c r="V122" s="180">
        <f t="shared" ca="1" si="229"/>
        <v>0.76386773155336884</v>
      </c>
      <c r="W122" s="180">
        <f t="shared" ca="1" si="229"/>
        <v>0.76386689997642054</v>
      </c>
      <c r="X122" s="180">
        <f t="shared" ca="1" si="229"/>
        <v>0.76386601935284015</v>
      </c>
      <c r="Y122" s="180">
        <f t="shared" ca="1" si="229"/>
        <v>0.76386509098338407</v>
      </c>
      <c r="Z122" s="180">
        <f t="shared" ca="1" si="229"/>
        <v>0.76386411603858351</v>
      </c>
      <c r="AA122" s="180">
        <f t="shared" ca="1" si="229"/>
        <v>0.76386309557464738</v>
      </c>
      <c r="AB122" s="180">
        <f t="shared" ca="1" si="229"/>
        <v>0.76386203054706681</v>
      </c>
      <c r="AC122" s="180">
        <f t="shared" ca="1" si="229"/>
        <v>0.76386092182230059</v>
      </c>
      <c r="AD122" s="180">
        <f t="shared" ca="1" si="229"/>
        <v>0.76385977018785389</v>
      </c>
      <c r="AE122" s="180">
        <f t="shared" ca="1" si="229"/>
        <v>0.76385857636100329</v>
      </c>
      <c r="AF122" s="180">
        <f t="shared" ca="1" si="229"/>
        <v>0.76385734099637692</v>
      </c>
      <c r="AG122" s="180">
        <f t="shared" ca="1" si="229"/>
        <v>0.76385606469256306</v>
      </c>
      <c r="AH122" s="180">
        <f t="shared" ca="1" si="229"/>
        <v>0.76385474799788988</v>
      </c>
      <c r="AI122" s="180">
        <f t="shared" ca="1" si="229"/>
        <v>0.76385339141549613</v>
      </c>
      <c r="AJ122" s="180">
        <f t="shared" ca="1" si="229"/>
        <v>0.76385199540779325</v>
      </c>
      <c r="AK122" s="180">
        <f t="shared" ca="1" si="229"/>
        <v>0.76385056040040178</v>
      </c>
      <c r="AL122" s="180">
        <f t="shared" ca="1" si="229"/>
        <v>0.76384908678563535</v>
      </c>
      <c r="AM122" s="180">
        <f t="shared" ca="1" si="229"/>
        <v>0.76384757492558986</v>
      </c>
      <c r="AN122" s="180">
        <f t="shared" ca="1" si="229"/>
        <v>0.76384602515489153</v>
      </c>
      <c r="AO122" s="180">
        <f t="shared" ref="AO122:BH122" ca="1" si="230">Iout_sync_buck+AO123/2</f>
        <v>0.76384443778314559</v>
      </c>
      <c r="AP122" s="180">
        <f t="shared" ca="1" si="230"/>
        <v>0.76384281309712421</v>
      </c>
      <c r="AQ122" s="180">
        <f t="shared" ca="1" si="230"/>
        <v>0.7638411513627249</v>
      </c>
      <c r="AR122" s="180">
        <f t="shared" ca="1" si="230"/>
        <v>0.76383945282672827</v>
      </c>
      <c r="AS122" s="180">
        <f t="shared" ca="1" si="230"/>
        <v>0.76383771771837761</v>
      </c>
      <c r="AT122" s="180">
        <f t="shared" ca="1" si="230"/>
        <v>0.76383594625080153</v>
      </c>
      <c r="AU122" s="180">
        <f t="shared" ca="1" si="230"/>
        <v>0.76383413862229843</v>
      </c>
      <c r="AV122" s="180">
        <f t="shared" ca="1" si="230"/>
        <v>0.76383229501749672</v>
      </c>
      <c r="AW122" s="180">
        <f t="shared" ca="1" si="230"/>
        <v>0.7638304156084067</v>
      </c>
      <c r="AX122" s="180">
        <f t="shared" ca="1" si="230"/>
        <v>0.76382850055537366</v>
      </c>
      <c r="AY122" s="180">
        <f t="shared" ca="1" si="230"/>
        <v>0.76382655000794419</v>
      </c>
      <c r="AZ122" s="180">
        <f t="shared" ca="1" si="230"/>
        <v>0.7638245641056548</v>
      </c>
      <c r="BA122" s="180">
        <f t="shared" ca="1" si="230"/>
        <v>0.76382254297875041</v>
      </c>
      <c r="BB122" s="180">
        <f t="shared" ca="1" si="230"/>
        <v>0.76382048674883973</v>
      </c>
      <c r="BC122" s="180">
        <f t="shared" ca="1" si="230"/>
        <v>0.76381839552949538</v>
      </c>
      <c r="BD122" s="180">
        <f t="shared" ca="1" si="230"/>
        <v>0.76381626942680148</v>
      </c>
      <c r="BE122" s="180">
        <f t="shared" ca="1" si="230"/>
        <v>0.76381410853985721</v>
      </c>
      <c r="BF122" s="180">
        <f t="shared" ca="1" si="230"/>
        <v>0.76381191296123796</v>
      </c>
      <c r="BG122" s="180">
        <f t="shared" ca="1" si="230"/>
        <v>0.7638096827774189</v>
      </c>
      <c r="BH122" s="180">
        <f t="shared" ca="1" si="230"/>
        <v>0.76372882393914554</v>
      </c>
      <c r="BI122" s="15"/>
      <c r="BJ122" s="169"/>
    </row>
    <row r="123" spans="1:77" ht="15" thickBot="1" x14ac:dyDescent="0.35">
      <c r="A123" s="6"/>
      <c r="B123" s="271" t="s">
        <v>343</v>
      </c>
      <c r="C123" s="272">
        <v>2</v>
      </c>
      <c r="D123" s="88" t="s">
        <v>174</v>
      </c>
      <c r="E123" s="21"/>
      <c r="F123" s="21"/>
      <c r="H123" s="183" t="s">
        <v>322</v>
      </c>
      <c r="I123" s="180">
        <f t="shared" ref="I123:BH123" ca="1" si="231">I116*I118/(L_buck2*10^-6*fsw*10^3)</f>
        <v>0.12770814932570276</v>
      </c>
      <c r="J123" s="180">
        <f t="shared" ca="1" si="231"/>
        <v>0.1277431952574635</v>
      </c>
      <c r="K123" s="180">
        <f t="shared" ca="1" si="231"/>
        <v>0.12774320690003943</v>
      </c>
      <c r="L123" s="180">
        <f t="shared" ca="1" si="231"/>
        <v>0.12774303483887545</v>
      </c>
      <c r="M123" s="180">
        <f t="shared" ca="1" si="231"/>
        <v>0.12774269251370027</v>
      </c>
      <c r="N123" s="180">
        <f t="shared" ca="1" si="231"/>
        <v>0.12774219139730469</v>
      </c>
      <c r="O123" s="180">
        <f t="shared" ca="1" si="231"/>
        <v>0.12774406443799377</v>
      </c>
      <c r="P123" s="180">
        <f t="shared" ca="1" si="231"/>
        <v>0.12774319255294431</v>
      </c>
      <c r="Q123" s="180">
        <f t="shared" ca="1" si="231"/>
        <v>0.12774219286612343</v>
      </c>
      <c r="R123" s="180">
        <f t="shared" ca="1" si="231"/>
        <v>0.12774107135188456</v>
      </c>
      <c r="S123" s="180">
        <f t="shared" ca="1" si="231"/>
        <v>0.12773983325412677</v>
      </c>
      <c r="T123" s="180">
        <f t="shared" ca="1" si="231"/>
        <v>0.12773848319561842</v>
      </c>
      <c r="U123" s="180">
        <f t="shared" ca="1" si="231"/>
        <v>0.12773702526805683</v>
      </c>
      <c r="V123" s="180">
        <f t="shared" ca="1" si="231"/>
        <v>0.12773546310673786</v>
      </c>
      <c r="W123" s="180">
        <f t="shared" ca="1" si="231"/>
        <v>0.1277337999528412</v>
      </c>
      <c r="X123" s="180">
        <f t="shared" ca="1" si="231"/>
        <v>0.12773203870568034</v>
      </c>
      <c r="Y123" s="180">
        <f t="shared" ca="1" si="231"/>
        <v>0.1277301819667683</v>
      </c>
      <c r="Z123" s="180">
        <f t="shared" ca="1" si="231"/>
        <v>0.12772823207716713</v>
      </c>
      <c r="AA123" s="180">
        <f t="shared" ca="1" si="231"/>
        <v>0.12772619114929493</v>
      </c>
      <c r="AB123" s="180">
        <f t="shared" ca="1" si="231"/>
        <v>0.12772406109413365</v>
      </c>
      <c r="AC123" s="180">
        <f t="shared" ca="1" si="231"/>
        <v>0.12772184364460118</v>
      </c>
      <c r="AD123" s="180">
        <f t="shared" ca="1" si="231"/>
        <v>0.12771954037570785</v>
      </c>
      <c r="AE123" s="180">
        <f t="shared" ca="1" si="231"/>
        <v>0.12771715272200673</v>
      </c>
      <c r="AF123" s="180">
        <f t="shared" ca="1" si="231"/>
        <v>0.12771468199275399</v>
      </c>
      <c r="AG123" s="180">
        <f t="shared" ca="1" si="231"/>
        <v>0.12771212938512624</v>
      </c>
      <c r="AH123" s="180">
        <f t="shared" ca="1" si="231"/>
        <v>0.12770949599577983</v>
      </c>
      <c r="AI123" s="180">
        <f t="shared" ca="1" si="231"/>
        <v>0.12770678283099243</v>
      </c>
      <c r="AJ123" s="180">
        <f t="shared" ca="1" si="231"/>
        <v>0.12770399081558653</v>
      </c>
      <c r="AK123" s="180">
        <f t="shared" ca="1" si="231"/>
        <v>0.12770112080080362</v>
      </c>
      <c r="AL123" s="180">
        <f t="shared" ca="1" si="231"/>
        <v>0.12769817357127075</v>
      </c>
      <c r="AM123" s="180">
        <f t="shared" ca="1" si="231"/>
        <v>0.1276951498511798</v>
      </c>
      <c r="AN123" s="180">
        <f t="shared" ca="1" si="231"/>
        <v>0.12769205030978312</v>
      </c>
      <c r="AO123" s="180">
        <f t="shared" ca="1" si="231"/>
        <v>0.12768887556629127</v>
      </c>
      <c r="AP123" s="180">
        <f t="shared" ca="1" si="231"/>
        <v>0.12768562619424842</v>
      </c>
      <c r="AQ123" s="180">
        <f t="shared" ca="1" si="231"/>
        <v>0.12768230272544984</v>
      </c>
      <c r="AR123" s="180">
        <f t="shared" ca="1" si="231"/>
        <v>0.12767890565345674</v>
      </c>
      <c r="AS123" s="180">
        <f t="shared" ca="1" si="231"/>
        <v>0.12767543543675539</v>
      </c>
      <c r="AT123" s="180">
        <f t="shared" ca="1" si="231"/>
        <v>0.12767189250160324</v>
      </c>
      <c r="AU123" s="180">
        <f t="shared" ca="1" si="231"/>
        <v>0.12766827724459684</v>
      </c>
      <c r="AV123" s="180">
        <f t="shared" ca="1" si="231"/>
        <v>0.12766459003499353</v>
      </c>
      <c r="AW123" s="180">
        <f t="shared" ca="1" si="231"/>
        <v>0.12766083121681351</v>
      </c>
      <c r="AX123" s="180">
        <f t="shared" ca="1" si="231"/>
        <v>0.12765700111074735</v>
      </c>
      <c r="AY123" s="180">
        <f t="shared" ca="1" si="231"/>
        <v>0.12765310001588845</v>
      </c>
      <c r="AZ123" s="180">
        <f t="shared" ca="1" si="231"/>
        <v>0.12764912821130972</v>
      </c>
      <c r="BA123" s="180">
        <f t="shared" ca="1" si="231"/>
        <v>0.12764508595750088</v>
      </c>
      <c r="BB123" s="180">
        <f t="shared" ca="1" si="231"/>
        <v>0.12764097349767964</v>
      </c>
      <c r="BC123" s="180">
        <f t="shared" ca="1" si="231"/>
        <v>0.12763679105899076</v>
      </c>
      <c r="BD123" s="180">
        <f t="shared" ca="1" si="231"/>
        <v>0.12763253885360296</v>
      </c>
      <c r="BE123" s="180">
        <f t="shared" ca="1" si="231"/>
        <v>0.12762821707971453</v>
      </c>
      <c r="BF123" s="180">
        <f t="shared" ca="1" si="231"/>
        <v>0.12762382592247601</v>
      </c>
      <c r="BG123" s="180">
        <f t="shared" ca="1" si="231"/>
        <v>0.1276193655548378</v>
      </c>
      <c r="BH123" s="180">
        <f t="shared" ca="1" si="231"/>
        <v>0.12745764787829111</v>
      </c>
      <c r="BI123" s="15"/>
      <c r="BJ123" s="169"/>
    </row>
    <row r="124" spans="1:77" ht="15" thickBot="1" x14ac:dyDescent="0.35">
      <c r="A124" s="6"/>
      <c r="B124" s="21"/>
      <c r="C124" s="21"/>
      <c r="D124" s="21"/>
      <c r="E124" s="21"/>
      <c r="F124" s="21"/>
      <c r="H124" s="183" t="s">
        <v>59</v>
      </c>
      <c r="I124" s="180">
        <f ca="1">SQRT((I122-I123/2)^2+I123^2/12)</f>
        <v>0.70097012367409994</v>
      </c>
      <c r="J124" s="180">
        <f t="shared" ref="J124:BH124" ca="1" si="232">SQRT((J122-J123/2)^2+J123^2/12)</f>
        <v>0.70097065582510809</v>
      </c>
      <c r="K124" s="180">
        <f t="shared" ca="1" si="232"/>
        <v>0.70097065600191766</v>
      </c>
      <c r="L124" s="180">
        <f t="shared" ca="1" si="232"/>
        <v>0.7009706533889184</v>
      </c>
      <c r="M124" s="180">
        <f t="shared" ca="1" si="232"/>
        <v>0.70097064819022259</v>
      </c>
      <c r="N124" s="180">
        <f t="shared" ca="1" si="232"/>
        <v>0.70097064058008074</v>
      </c>
      <c r="O124" s="180">
        <f t="shared" ca="1" si="232"/>
        <v>0.70097066902493255</v>
      </c>
      <c r="P124" s="180">
        <f t="shared" ca="1" si="232"/>
        <v>0.70097065578403606</v>
      </c>
      <c r="Q124" s="180">
        <f t="shared" ca="1" si="232"/>
        <v>0.70097064060238667</v>
      </c>
      <c r="R124" s="180">
        <f t="shared" ca="1" si="232"/>
        <v>0.7009706235707579</v>
      </c>
      <c r="S124" s="180">
        <f t="shared" ca="1" si="232"/>
        <v>0.70097060476883233</v>
      </c>
      <c r="T124" s="180">
        <f t="shared" ca="1" si="232"/>
        <v>0.70097058426686232</v>
      </c>
      <c r="U124" s="180">
        <f t="shared" ca="1" si="232"/>
        <v>0.70097056212703701</v>
      </c>
      <c r="V124" s="180">
        <f t="shared" ca="1" si="232"/>
        <v>0.70097053840461632</v>
      </c>
      <c r="W124" s="180">
        <f t="shared" ca="1" si="232"/>
        <v>0.7009705131488766</v>
      </c>
      <c r="X124" s="180">
        <f t="shared" ca="1" si="232"/>
        <v>0.70097048640390391</v>
      </c>
      <c r="Y124" s="180">
        <f t="shared" ca="1" si="232"/>
        <v>0.70097045820926385</v>
      </c>
      <c r="Z124" s="180">
        <f t="shared" ca="1" si="232"/>
        <v>0.70097042860056735</v>
      </c>
      <c r="AA124" s="180">
        <f t="shared" ca="1" si="232"/>
        <v>0.70097039760995528</v>
      </c>
      <c r="AB124" s="180">
        <f t="shared" ca="1" si="232"/>
        <v>0.70097036526651024</v>
      </c>
      <c r="AC124" s="180">
        <f t="shared" ca="1" si="232"/>
        <v>0.70097033159661226</v>
      </c>
      <c r="AD124" s="180">
        <f t="shared" ca="1" si="232"/>
        <v>0.70097029662424482</v>
      </c>
      <c r="AE124" s="180">
        <f t="shared" ca="1" si="232"/>
        <v>0.70097026037125942</v>
      </c>
      <c r="AF124" s="180">
        <f t="shared" ca="1" si="232"/>
        <v>0.70097022285760646</v>
      </c>
      <c r="AG124" s="180">
        <f t="shared" ca="1" si="232"/>
        <v>0.70097018410153522</v>
      </c>
      <c r="AH124" s="180">
        <f t="shared" ca="1" si="232"/>
        <v>0.7009701441197701</v>
      </c>
      <c r="AI124" s="180">
        <f t="shared" ca="1" si="232"/>
        <v>0.70097010292766415</v>
      </c>
      <c r="AJ124" s="180">
        <f t="shared" ca="1" si="232"/>
        <v>0.70097006053933497</v>
      </c>
      <c r="AK124" s="180">
        <f t="shared" ca="1" si="232"/>
        <v>0.70097001696778372</v>
      </c>
      <c r="AL124" s="180">
        <f t="shared" ca="1" si="232"/>
        <v>0.70096997222500179</v>
      </c>
      <c r="AM124" s="180">
        <f t="shared" ca="1" si="232"/>
        <v>0.70096992632206379</v>
      </c>
      <c r="AN124" s="180">
        <f t="shared" ca="1" si="232"/>
        <v>0.7009698792692115</v>
      </c>
      <c r="AO124" s="180">
        <f t="shared" ca="1" si="232"/>
        <v>0.70096983107592814</v>
      </c>
      <c r="AP124" s="180">
        <f t="shared" ca="1" si="232"/>
        <v>0.70096978175100488</v>
      </c>
      <c r="AQ124" s="180">
        <f t="shared" ca="1" si="232"/>
        <v>0.7009697313026001</v>
      </c>
      <c r="AR124" s="180">
        <f t="shared" ca="1" si="232"/>
        <v>0.70096967973829316</v>
      </c>
      <c r="AS124" s="180">
        <f t="shared" ca="1" si="232"/>
        <v>0.70096962706513211</v>
      </c>
      <c r="AT124" s="180">
        <f t="shared" ca="1" si="232"/>
        <v>0.70096957328967691</v>
      </c>
      <c r="AU124" s="180">
        <f t="shared" ca="1" si="232"/>
        <v>0.70096951841803856</v>
      </c>
      <c r="AV124" s="180">
        <f t="shared" ca="1" si="232"/>
        <v>0.70096946245591429</v>
      </c>
      <c r="AW124" s="180">
        <f t="shared" ca="1" si="232"/>
        <v>0.70096940540861974</v>
      </c>
      <c r="AX124" s="180">
        <f t="shared" ca="1" si="232"/>
        <v>0.70096934728111737</v>
      </c>
      <c r="AY124" s="180">
        <f t="shared" ca="1" si="232"/>
        <v>0.70096928807804326</v>
      </c>
      <c r="AZ124" s="180">
        <f t="shared" ca="1" si="232"/>
        <v>0.70096922780373094</v>
      </c>
      <c r="BA124" s="180">
        <f t="shared" ca="1" si="232"/>
        <v>0.70096916646223328</v>
      </c>
      <c r="BB124" s="180">
        <f t="shared" ca="1" si="232"/>
        <v>0.70096910405734214</v>
      </c>
      <c r="BC124" s="180">
        <f t="shared" ca="1" si="232"/>
        <v>0.70096904059260678</v>
      </c>
      <c r="BD124" s="180">
        <f t="shared" ca="1" si="232"/>
        <v>0.70096897607135078</v>
      </c>
      <c r="BE124" s="180">
        <f t="shared" ca="1" si="232"/>
        <v>0.70096891049668686</v>
      </c>
      <c r="BF124" s="180">
        <f t="shared" ca="1" si="232"/>
        <v>0.70096884387153102</v>
      </c>
      <c r="BG124" s="180">
        <f t="shared" ca="1" si="232"/>
        <v>0.70096877619861564</v>
      </c>
      <c r="BH124" s="180">
        <f t="shared" ca="1" si="232"/>
        <v>0.70096632420315941</v>
      </c>
      <c r="BI124" s="15"/>
      <c r="BJ124" s="169"/>
    </row>
    <row r="125" spans="1:77" ht="16.2" thickBot="1" x14ac:dyDescent="0.35">
      <c r="A125" s="6"/>
      <c r="B125" s="130" t="s">
        <v>330</v>
      </c>
      <c r="C125" s="131"/>
      <c r="D125" s="132"/>
      <c r="E125" s="21"/>
      <c r="F125" s="21"/>
      <c r="H125" s="15" t="s">
        <v>267</v>
      </c>
      <c r="I125" s="185">
        <f t="shared" ref="I125:BH125" ca="1" si="233">SQRT(I118*((I122-I123/2)^2+I123^2/12))</f>
        <v>0.56556093659214324</v>
      </c>
      <c r="J125" s="185">
        <f t="shared" ca="1" si="233"/>
        <v>0.56547159207659681</v>
      </c>
      <c r="K125" s="185">
        <f t="shared" ca="1" si="233"/>
        <v>0.56547156237272067</v>
      </c>
      <c r="L125" s="185">
        <f t="shared" ca="1" si="233"/>
        <v>0.5654720013533695</v>
      </c>
      <c r="M125" s="185">
        <f t="shared" ca="1" si="233"/>
        <v>0.56547287471972285</v>
      </c>
      <c r="N125" s="185">
        <f t="shared" ca="1" si="233"/>
        <v>0.5654741531828068</v>
      </c>
      <c r="O125" s="185">
        <f t="shared" ca="1" si="233"/>
        <v>0.56546937448171686</v>
      </c>
      <c r="P125" s="185">
        <f t="shared" ca="1" si="233"/>
        <v>0.56547159897667454</v>
      </c>
      <c r="Q125" s="185">
        <f t="shared" ca="1" si="233"/>
        <v>0.56547414943555374</v>
      </c>
      <c r="R125" s="185">
        <f t="shared" ca="1" si="233"/>
        <v>0.56547701057442434</v>
      </c>
      <c r="S125" s="185">
        <f t="shared" ca="1" si="233"/>
        <v>0.5654801689705603</v>
      </c>
      <c r="T125" s="185">
        <f t="shared" ca="1" si="233"/>
        <v>0.5654836127838222</v>
      </c>
      <c r="U125" s="185">
        <f t="shared" ca="1" si="233"/>
        <v>0.56548733152711528</v>
      </c>
      <c r="V125" s="185">
        <f t="shared" ca="1" si="233"/>
        <v>0.56549131587605339</v>
      </c>
      <c r="W125" s="185">
        <f t="shared" ca="1" si="233"/>
        <v>0.56549555751017777</v>
      </c>
      <c r="X125" s="185">
        <f t="shared" ca="1" si="233"/>
        <v>0.56550004897974648</v>
      </c>
      <c r="Y125" s="185">
        <f t="shared" ca="1" si="233"/>
        <v>0.56550478359338052</v>
      </c>
      <c r="Z125" s="185">
        <f t="shared" ca="1" si="233"/>
        <v>0.56550975532282788</v>
      </c>
      <c r="AA125" s="185">
        <f t="shared" ca="1" si="233"/>
        <v>0.56551495872185209</v>
      </c>
      <c r="AB125" s="185">
        <f t="shared" ca="1" si="233"/>
        <v>0.56552038885684652</v>
      </c>
      <c r="AC125" s="185">
        <f t="shared" ca="1" si="233"/>
        <v>0.56552604124722594</v>
      </c>
      <c r="AD125" s="185">
        <f t="shared" ca="1" si="233"/>
        <v>0.56553191181401463</v>
      </c>
      <c r="AE125" s="185">
        <f t="shared" ca="1" si="233"/>
        <v>0.56553799683533634</v>
      </c>
      <c r="AF125" s="185">
        <f t="shared" ca="1" si="233"/>
        <v>0.56554429290774066</v>
      </c>
      <c r="AG125" s="185">
        <f t="shared" ca="1" si="233"/>
        <v>0.56555079691248666</v>
      </c>
      <c r="AH125" s="185">
        <f t="shared" ca="1" si="233"/>
        <v>0.56555750598605137</v>
      </c>
      <c r="AI125" s="185">
        <f t="shared" ca="1" si="233"/>
        <v>0.56556441749425701</v>
      </c>
      <c r="AJ125" s="185">
        <f t="shared" ca="1" si="233"/>
        <v>0.56557152900950203</v>
      </c>
      <c r="AK125" s="185">
        <f t="shared" ca="1" si="233"/>
        <v>0.56557883829067057</v>
      </c>
      <c r="AL125" s="185">
        <f t="shared" ca="1" si="233"/>
        <v>0.56558634326535606</v>
      </c>
      <c r="AM125" s="185">
        <f t="shared" ca="1" si="233"/>
        <v>0.5655940420140918</v>
      </c>
      <c r="AN125" s="185">
        <f t="shared" ca="1" si="233"/>
        <v>0.56560193275632764</v>
      </c>
      <c r="AO125" s="185">
        <f t="shared" ca="1" si="233"/>
        <v>0.56561001383793141</v>
      </c>
      <c r="AP125" s="185">
        <f t="shared" ca="1" si="233"/>
        <v>0.5656182837200211</v>
      </c>
      <c r="AQ125" s="185">
        <f t="shared" ca="1" si="233"/>
        <v>0.56562674096896692</v>
      </c>
      <c r="AR125" s="185">
        <f t="shared" ca="1" si="233"/>
        <v>0.56563538424742132</v>
      </c>
      <c r="AS125" s="185">
        <f t="shared" ca="1" si="233"/>
        <v>0.56564421230625439</v>
      </c>
      <c r="AT125" s="185">
        <f t="shared" ca="1" si="233"/>
        <v>0.5656532239772899</v>
      </c>
      <c r="AU125" s="185">
        <f t="shared" ca="1" si="233"/>
        <v>0.56566241816675011</v>
      </c>
      <c r="AV125" s="185">
        <f t="shared" ca="1" si="233"/>
        <v>0.56567179384933008</v>
      </c>
      <c r="AW125" s="185">
        <f t="shared" ca="1" si="233"/>
        <v>0.56568135006283005</v>
      </c>
      <c r="AX125" s="185">
        <f t="shared" ca="1" si="233"/>
        <v>0.56569108590328721</v>
      </c>
      <c r="AY125" s="185">
        <f t="shared" ca="1" si="233"/>
        <v>0.56570100052055305</v>
      </c>
      <c r="AZ125" s="185">
        <f t="shared" ca="1" si="233"/>
        <v>0.56571109311426693</v>
      </c>
      <c r="BA125" s="185">
        <f t="shared" ca="1" si="233"/>
        <v>0.56572136293018771</v>
      </c>
      <c r="BB125" s="185">
        <f t="shared" ca="1" si="233"/>
        <v>0.56573180925684552</v>
      </c>
      <c r="BC125" s="185">
        <f t="shared" ca="1" si="233"/>
        <v>0.56574243142248104</v>
      </c>
      <c r="BD125" s="185">
        <f t="shared" ca="1" si="233"/>
        <v>0.56575322879224355</v>
      </c>
      <c r="BE125" s="185">
        <f t="shared" ca="1" si="233"/>
        <v>0.56576420076562495</v>
      </c>
      <c r="BF125" s="185">
        <f t="shared" ca="1" si="233"/>
        <v>0.56577534677410246</v>
      </c>
      <c r="BG125" s="185">
        <f t="shared" ca="1" si="233"/>
        <v>0.56578666627897511</v>
      </c>
      <c r="BH125" s="185">
        <f t="shared" ca="1" si="233"/>
        <v>0.56619559924998264</v>
      </c>
      <c r="BI125" s="15"/>
      <c r="BJ125" s="169"/>
    </row>
    <row r="126" spans="1:77" ht="15.6" x14ac:dyDescent="0.3">
      <c r="A126" s="6"/>
      <c r="B126" s="133" t="s">
        <v>150</v>
      </c>
      <c r="C126" s="134">
        <f>ROUNDDOWN(fsw/22,0)</f>
        <v>90</v>
      </c>
      <c r="D126" s="135" t="s">
        <v>137</v>
      </c>
      <c r="E126" s="21"/>
      <c r="F126" s="21"/>
      <c r="H126" s="15" t="s">
        <v>268</v>
      </c>
      <c r="I126" s="180">
        <f ca="1">SQRT((1-I118)*((I122-I123/2)^2+I123^2/12))</f>
        <v>0.41412551392627411</v>
      </c>
      <c r="J126" s="180">
        <f t="shared" ref="J126:BH126" ca="1" si="234">SQRT((1-J118)*((J122-J123/2)^2+J123^2/12))</f>
        <v>0.4142484023894854</v>
      </c>
      <c r="K126" s="180">
        <f t="shared" ca="1" si="234"/>
        <v>0.41424844323607679</v>
      </c>
      <c r="L126" s="180">
        <f t="shared" ca="1" si="234"/>
        <v>0.414247839581454</v>
      </c>
      <c r="M126" s="180">
        <f t="shared" ca="1" si="234"/>
        <v>0.41424663858676436</v>
      </c>
      <c r="N126" s="180">
        <f t="shared" ca="1" si="234"/>
        <v>0.41424488052049152</v>
      </c>
      <c r="O126" s="180">
        <f t="shared" ca="1" si="234"/>
        <v>0.41425145184599815</v>
      </c>
      <c r="P126" s="180">
        <f t="shared" ca="1" si="234"/>
        <v>0.41424839290100385</v>
      </c>
      <c r="Q126" s="180">
        <f t="shared" ca="1" si="234"/>
        <v>0.4142448856735077</v>
      </c>
      <c r="R126" s="180">
        <f t="shared" ca="1" si="234"/>
        <v>0.41424095116367904</v>
      </c>
      <c r="S126" s="180">
        <f t="shared" ca="1" si="234"/>
        <v>0.41423660781129557</v>
      </c>
      <c r="T126" s="180">
        <f t="shared" ca="1" si="234"/>
        <v>0.41423187187900284</v>
      </c>
      <c r="U126" s="180">
        <f t="shared" ca="1" si="234"/>
        <v>0.41422675776805712</v>
      </c>
      <c r="V126" s="180">
        <f t="shared" ca="1" si="234"/>
        <v>0.41422127828013283</v>
      </c>
      <c r="W126" s="180">
        <f t="shared" ca="1" si="234"/>
        <v>0.41421544483571887</v>
      </c>
      <c r="X126" s="180">
        <f t="shared" ca="1" si="234"/>
        <v>0.41420926765734017</v>
      </c>
      <c r="Y126" s="180">
        <f t="shared" ca="1" si="234"/>
        <v>0.41420275592408734</v>
      </c>
      <c r="Z126" s="180">
        <f t="shared" ca="1" si="234"/>
        <v>0.41419591790260141</v>
      </c>
      <c r="AA126" s="180">
        <f t="shared" ca="1" si="234"/>
        <v>0.4141887610586274</v>
      </c>
      <c r="AB126" s="180">
        <f t="shared" ca="1" si="234"/>
        <v>0.41418129215244121</v>
      </c>
      <c r="AC126" s="180">
        <f t="shared" ca="1" si="234"/>
        <v>0.41417351732082719</v>
      </c>
      <c r="AD126" s="180">
        <f t="shared" ca="1" si="234"/>
        <v>0.41416544214778145</v>
      </c>
      <c r="AE126" s="180">
        <f t="shared" ca="1" si="234"/>
        <v>0.41415707172572386</v>
      </c>
      <c r="AF126" s="180">
        <f t="shared" ca="1" si="234"/>
        <v>0.41414841070868069</v>
      </c>
      <c r="AG126" s="180">
        <f t="shared" ca="1" si="234"/>
        <v>0.41413946335865109</v>
      </c>
      <c r="AH126" s="180">
        <f t="shared" ca="1" si="234"/>
        <v>0.41413023358616152</v>
      </c>
      <c r="AI126" s="180">
        <f t="shared" ca="1" si="234"/>
        <v>0.41412072498584501</v>
      </c>
      <c r="AJ126" s="180">
        <f t="shared" ca="1" si="234"/>
        <v>0.41411094086774974</v>
      </c>
      <c r="AK126" s="180">
        <f t="shared" ca="1" si="234"/>
        <v>0.41410088428496566</v>
      </c>
      <c r="AL126" s="180">
        <f t="shared" ca="1" si="234"/>
        <v>0.41409055805806849</v>
      </c>
      <c r="AM126" s="180">
        <f t="shared" ca="1" si="234"/>
        <v>0.4140799647968027</v>
      </c>
      <c r="AN126" s="180">
        <f t="shared" ca="1" si="234"/>
        <v>0.41406910691936388</v>
      </c>
      <c r="AO126" s="180">
        <f t="shared" ca="1" si="234"/>
        <v>0.4140579866695851</v>
      </c>
      <c r="AP126" s="180">
        <f t="shared" ca="1" si="234"/>
        <v>0.41404660613229172</v>
      </c>
      <c r="AQ126" s="180">
        <f t="shared" ca="1" si="234"/>
        <v>0.41403496724704858</v>
      </c>
      <c r="AR126" s="180">
        <f t="shared" ca="1" si="234"/>
        <v>0.41402307182049325</v>
      </c>
      <c r="AS126" s="180">
        <f t="shared" ca="1" si="234"/>
        <v>0.41401092153742441</v>
      </c>
      <c r="AT126" s="180">
        <f t="shared" ca="1" si="234"/>
        <v>0.41399851797078885</v>
      </c>
      <c r="AU126" s="180">
        <f t="shared" ca="1" si="234"/>
        <v>0.4139858625906947</v>
      </c>
      <c r="AV126" s="180">
        <f t="shared" ca="1" si="234"/>
        <v>0.41397295677255841</v>
      </c>
      <c r="AW126" s="180">
        <f t="shared" ca="1" si="234"/>
        <v>0.41395980180448427</v>
      </c>
      <c r="AX126" s="180">
        <f t="shared" ca="1" si="234"/>
        <v>0.41394639889395757</v>
      </c>
      <c r="AY126" s="180">
        <f t="shared" ca="1" si="234"/>
        <v>0.41393274917392558</v>
      </c>
      <c r="AZ126" s="180">
        <f t="shared" ca="1" si="234"/>
        <v>0.4139188537083327</v>
      </c>
      <c r="BA126" s="180">
        <f t="shared" ca="1" si="234"/>
        <v>0.41390471349716329</v>
      </c>
      <c r="BB126" s="180">
        <f t="shared" ca="1" si="234"/>
        <v>0.4138903294810462</v>
      </c>
      <c r="BC126" s="180">
        <f t="shared" ca="1" si="234"/>
        <v>0.41387570254546119</v>
      </c>
      <c r="BD126" s="180">
        <f t="shared" ca="1" si="234"/>
        <v>0.41386083352459113</v>
      </c>
      <c r="BE126" s="180">
        <f t="shared" ca="1" si="234"/>
        <v>0.41384572320485064</v>
      </c>
      <c r="BF126" s="180">
        <f t="shared" ca="1" si="234"/>
        <v>0.41383037232812536</v>
      </c>
      <c r="BG126" s="180">
        <f t="shared" ca="1" si="234"/>
        <v>0.41381478159474749</v>
      </c>
      <c r="BH126" s="180">
        <f t="shared" ca="1" si="234"/>
        <v>0.4132509298922894</v>
      </c>
      <c r="BI126" s="15"/>
      <c r="BJ126" s="169"/>
    </row>
    <row r="127" spans="1:77" ht="15.6" x14ac:dyDescent="0.3">
      <c r="A127" s="6"/>
      <c r="B127" s="28" t="s">
        <v>138</v>
      </c>
      <c r="C127" s="27">
        <v>45</v>
      </c>
      <c r="D127" s="96" t="s">
        <v>139</v>
      </c>
      <c r="E127" s="21"/>
      <c r="F127" s="21"/>
      <c r="H127" s="15" t="s">
        <v>132</v>
      </c>
      <c r="I127" s="180">
        <f t="shared" ref="I127:BH127" ca="1" si="235">SQRT(((I122-I123/2-Iout_sync_buck)^2+I123^2/12))</f>
        <v>3.6866167195451709E-2</v>
      </c>
      <c r="J127" s="180">
        <f t="shared" ca="1" si="235"/>
        <v>3.6876284084519741E-2</v>
      </c>
      <c r="K127" s="180">
        <f t="shared" ca="1" si="235"/>
        <v>3.6876287445441913E-2</v>
      </c>
      <c r="L127" s="180">
        <f t="shared" ca="1" si="235"/>
        <v>3.6876237775662242E-2</v>
      </c>
      <c r="M127" s="180">
        <f t="shared" ca="1" si="235"/>
        <v>3.687613895489622E-2</v>
      </c>
      <c r="N127" s="180">
        <f t="shared" ca="1" si="235"/>
        <v>3.6875994295053283E-2</v>
      </c>
      <c r="O127" s="180">
        <f t="shared" ca="1" si="235"/>
        <v>3.6876534995326296E-2</v>
      </c>
      <c r="P127" s="180">
        <f t="shared" ca="1" si="235"/>
        <v>3.68762833037923E-2</v>
      </c>
      <c r="Q127" s="180">
        <f t="shared" ca="1" si="235"/>
        <v>3.6875994719064727E-2</v>
      </c>
      <c r="R127" s="180">
        <f t="shared" ca="1" si="235"/>
        <v>3.687567096579087E-2</v>
      </c>
      <c r="S127" s="180">
        <f t="shared" ca="1" si="235"/>
        <v>3.6875313557753996E-2</v>
      </c>
      <c r="T127" s="180">
        <f t="shared" ca="1" si="235"/>
        <v>3.6874923829432395E-2</v>
      </c>
      <c r="U127" s="180">
        <f t="shared" ca="1" si="235"/>
        <v>3.6874502961997319E-2</v>
      </c>
      <c r="V127" s="180">
        <f t="shared" ca="1" si="235"/>
        <v>3.6874052004868312E-2</v>
      </c>
      <c r="W127" s="180">
        <f t="shared" ca="1" si="235"/>
        <v>3.6873571893693335E-2</v>
      </c>
      <c r="X127" s="180">
        <f t="shared" ca="1" si="235"/>
        <v>3.6873063465432121E-2</v>
      </c>
      <c r="Y127" s="180">
        <f t="shared" ca="1" si="235"/>
        <v>3.6872527471076777E-2</v>
      </c>
      <c r="Z127" s="180">
        <f t="shared" ca="1" si="235"/>
        <v>3.6871964586433721E-2</v>
      </c>
      <c r="AA127" s="180">
        <f t="shared" ca="1" si="235"/>
        <v>3.6871375421305509E-2</v>
      </c>
      <c r="AB127" s="180">
        <f t="shared" ca="1" si="235"/>
        <v>3.6870760527345135E-2</v>
      </c>
      <c r="AC127" s="180">
        <f t="shared" ca="1" si="235"/>
        <v>3.6870120404802892E-2</v>
      </c>
      <c r="AD127" s="180">
        <f t="shared" ca="1" si="235"/>
        <v>3.6869455508345098E-2</v>
      </c>
      <c r="AE127" s="180">
        <f t="shared" ca="1" si="235"/>
        <v>3.6868766252091567E-2</v>
      </c>
      <c r="AF127" s="180">
        <f t="shared" ca="1" si="235"/>
        <v>3.6868053013991986E-2</v>
      </c>
      <c r="AG127" s="180">
        <f t="shared" ca="1" si="235"/>
        <v>3.6867316139641476E-2</v>
      </c>
      <c r="AH127" s="180">
        <f t="shared" ca="1" si="235"/>
        <v>3.6866555945617455E-2</v>
      </c>
      <c r="AI127" s="180">
        <f t="shared" ca="1" si="235"/>
        <v>3.6865772722407278E-2</v>
      </c>
      <c r="AJ127" s="180">
        <f t="shared" ca="1" si="235"/>
        <v>3.6864966736984188E-2</v>
      </c>
      <c r="AK127" s="180">
        <f t="shared" ca="1" si="235"/>
        <v>3.6864138235080446E-2</v>
      </c>
      <c r="AL127" s="180">
        <f t="shared" ca="1" si="235"/>
        <v>3.6863287443198361E-2</v>
      </c>
      <c r="AM127" s="180">
        <f t="shared" ca="1" si="235"/>
        <v>3.6862414570394131E-2</v>
      </c>
      <c r="AN127" s="180">
        <f t="shared" ca="1" si="235"/>
        <v>3.6861519809864261E-2</v>
      </c>
      <c r="AO127" s="180">
        <f t="shared" ca="1" si="235"/>
        <v>3.6860603340359448E-2</v>
      </c>
      <c r="AP127" s="180">
        <f t="shared" ca="1" si="235"/>
        <v>3.6859665327447624E-2</v>
      </c>
      <c r="AQ127" s="180">
        <f t="shared" ca="1" si="235"/>
        <v>3.6858705924644873E-2</v>
      </c>
      <c r="AR127" s="180">
        <f t="shared" ca="1" si="235"/>
        <v>3.6857725274430035E-2</v>
      </c>
      <c r="AS127" s="180">
        <f t="shared" ca="1" si="235"/>
        <v>3.6856723509156704E-2</v>
      </c>
      <c r="AT127" s="180">
        <f t="shared" ca="1" si="235"/>
        <v>3.6855700751874797E-2</v>
      </c>
      <c r="AU127" s="180">
        <f t="shared" ca="1" si="235"/>
        <v>3.6854657117071879E-2</v>
      </c>
      <c r="AV127" s="180">
        <f t="shared" ca="1" si="235"/>
        <v>3.6853592711343364E-2</v>
      </c>
      <c r="AW127" s="180">
        <f t="shared" ca="1" si="235"/>
        <v>3.6852507633999332E-2</v>
      </c>
      <c r="AX127" s="180">
        <f t="shared" ca="1" si="235"/>
        <v>3.6851401977615168E-2</v>
      </c>
      <c r="AY127" s="180">
        <f t="shared" ca="1" si="235"/>
        <v>3.685027582853171E-2</v>
      </c>
      <c r="AZ127" s="180">
        <f t="shared" ca="1" si="235"/>
        <v>3.6849129267310363E-2</v>
      </c>
      <c r="BA127" s="180">
        <f t="shared" ca="1" si="235"/>
        <v>3.684796236914803E-2</v>
      </c>
      <c r="BB127" s="180">
        <f t="shared" ca="1" si="235"/>
        <v>3.6846775204255618E-2</v>
      </c>
      <c r="BC127" s="180">
        <f t="shared" ca="1" si="235"/>
        <v>3.6845567838204168E-2</v>
      </c>
      <c r="BD127" s="180">
        <f t="shared" ca="1" si="235"/>
        <v>3.6844340332241515E-2</v>
      </c>
      <c r="BE127" s="180">
        <f t="shared" ca="1" si="235"/>
        <v>3.6843092743582585E-2</v>
      </c>
      <c r="BF127" s="180">
        <f t="shared" ca="1" si="235"/>
        <v>3.6841825125675728E-2</v>
      </c>
      <c r="BG127" s="180">
        <f t="shared" ca="1" si="235"/>
        <v>3.6840537528447424E-2</v>
      </c>
      <c r="BH127" s="180">
        <f t="shared" ca="1" si="235"/>
        <v>3.6793853656403953E-2</v>
      </c>
      <c r="BI127" s="15"/>
      <c r="BJ127" s="169"/>
    </row>
    <row r="128" spans="1:77" ht="15.6" x14ac:dyDescent="0.3">
      <c r="A128" s="6"/>
      <c r="B128" s="28" t="s">
        <v>151</v>
      </c>
      <c r="C128" s="23">
        <f>Vout_sync_buck/Iout_sync_buck</f>
        <v>4.7142857142857144</v>
      </c>
      <c r="D128" s="96"/>
      <c r="E128" s="21"/>
      <c r="F128" s="21"/>
      <c r="G128" s="170" t="s">
        <v>269</v>
      </c>
      <c r="H128" s="15" t="s">
        <v>60</v>
      </c>
      <c r="I128" s="186">
        <f t="shared" ref="I128:AN128" ca="1" si="236">Buck_RdsON_factor_7V*(I89-150)+Adj_buck_hi_rdsON_150</f>
        <v>0.29412949151200518</v>
      </c>
      <c r="J128" s="186">
        <f t="shared" ca="1" si="236"/>
        <v>0.29256976232882781</v>
      </c>
      <c r="K128" s="186">
        <f t="shared" ca="1" si="236"/>
        <v>0.2925692438174381</v>
      </c>
      <c r="L128" s="186">
        <f t="shared" ca="1" si="236"/>
        <v>0.29257690667434499</v>
      </c>
      <c r="M128" s="186">
        <f t="shared" ca="1" si="236"/>
        <v>0.29259215219732337</v>
      </c>
      <c r="N128" s="186">
        <f t="shared" ca="1" si="236"/>
        <v>0.29261446915203998</v>
      </c>
      <c r="O128" s="186">
        <f t="shared" ca="1" si="236"/>
        <v>0.29253105203211532</v>
      </c>
      <c r="P128" s="186">
        <f t="shared" ca="1" si="236"/>
        <v>0.29256988277671059</v>
      </c>
      <c r="Q128" s="186">
        <f t="shared" ca="1" si="236"/>
        <v>0.29261440373960984</v>
      </c>
      <c r="R128" s="186">
        <f t="shared" ca="1" si="236"/>
        <v>0.2926643482026034</v>
      </c>
      <c r="S128" s="186">
        <f t="shared" ca="1" si="236"/>
        <v>0.29271948194124392</v>
      </c>
      <c r="T128" s="186">
        <f t="shared" ca="1" si="236"/>
        <v>0.29277959836073986</v>
      </c>
      <c r="U128" s="186">
        <f t="shared" ca="1" si="236"/>
        <v>0.29284451448862781</v>
      </c>
      <c r="V128" s="186">
        <f t="shared" ca="1" si="236"/>
        <v>0.29291406765194439</v>
      </c>
      <c r="W128" s="186">
        <f t="shared" ca="1" si="236"/>
        <v>0.29298811270529107</v>
      </c>
      <c r="X128" s="186">
        <f t="shared" ca="1" si="236"/>
        <v>0.29306651970532921</v>
      </c>
      <c r="Y128" s="186">
        <f t="shared" ca="1" si="236"/>
        <v>0.29314917194940321</v>
      </c>
      <c r="Z128" s="186">
        <f t="shared" ca="1" si="236"/>
        <v>0.29323596431297722</v>
      </c>
      <c r="AA128" s="186">
        <f t="shared" ca="1" si="236"/>
        <v>0.29332680183370013</v>
      </c>
      <c r="AB128" s="186">
        <f t="shared" ca="1" si="236"/>
        <v>0.29342159850013483</v>
      </c>
      <c r="AC128" s="186">
        <f t="shared" ca="1" si="236"/>
        <v>0.29352027621119886</v>
      </c>
      <c r="AD128" s="186">
        <f t="shared" ca="1" si="236"/>
        <v>0.29362276387869146</v>
      </c>
      <c r="AE128" s="186">
        <f t="shared" ca="1" si="236"/>
        <v>0.29372899665030261</v>
      </c>
      <c r="AF128" s="186">
        <f t="shared" ca="1" si="236"/>
        <v>0.29383891523451555</v>
      </c>
      <c r="AG128" s="186">
        <f t="shared" ca="1" si="236"/>
        <v>0.29395246531203989</v>
      </c>
      <c r="AH128" s="186">
        <f t="shared" ca="1" si="236"/>
        <v>0.29406959702101843</v>
      </c>
      <c r="AI128" s="186">
        <f t="shared" ca="1" si="236"/>
        <v>0.29419026450536911</v>
      </c>
      <c r="AJ128" s="186">
        <f t="shared" ca="1" si="236"/>
        <v>0.29431442551734999</v>
      </c>
      <c r="AK128" s="186">
        <f t="shared" ca="1" si="236"/>
        <v>0.29444204106685379</v>
      </c>
      <c r="AL128" s="186">
        <f t="shared" ca="1" si="236"/>
        <v>0.29457307511110453</v>
      </c>
      <c r="AM128" s="186">
        <f t="shared" ca="1" si="236"/>
        <v>0.29470749427939558</v>
      </c>
      <c r="AN128" s="186">
        <f t="shared" ca="1" si="236"/>
        <v>0.2948452676283102</v>
      </c>
      <c r="AO128" s="186">
        <f t="shared" ref="AO128:BH128" ca="1" si="237">Buck_RdsON_factor_7V*(AO89-150)+Adj_buck_hi_rdsON_150</f>
        <v>0.29498636642353437</v>
      </c>
      <c r="AP128" s="186">
        <f t="shared" ca="1" si="237"/>
        <v>0.29513076394493254</v>
      </c>
      <c r="AQ128" s="186">
        <f t="shared" ca="1" si="237"/>
        <v>0.29527843531202697</v>
      </c>
      <c r="AR128" s="186">
        <f t="shared" ca="1" si="237"/>
        <v>0.29542935732741787</v>
      </c>
      <c r="AS128" s="186">
        <f t="shared" ca="1" si="237"/>
        <v>0.29558350833601799</v>
      </c>
      <c r="AT128" s="186">
        <f t="shared" ca="1" si="237"/>
        <v>0.295740868098259</v>
      </c>
      <c r="AU128" s="186">
        <f t="shared" ca="1" si="237"/>
        <v>0.29590141767566963</v>
      </c>
      <c r="AV128" s="186">
        <f t="shared" ca="1" si="237"/>
        <v>0.29606513932743389</v>
      </c>
      <c r="AW128" s="186">
        <f t="shared" ca="1" si="237"/>
        <v>0.29623201641671204</v>
      </c>
      <c r="AX128" s="186">
        <f t="shared" ca="1" si="237"/>
        <v>0.29640203332566223</v>
      </c>
      <c r="AY128" s="186">
        <f t="shared" ca="1" si="237"/>
        <v>0.29657517537822953</v>
      </c>
      <c r="AZ128" s="186">
        <f t="shared" ca="1" si="237"/>
        <v>0.29675142876988242</v>
      </c>
      <c r="BA128" s="186">
        <f t="shared" ca="1" si="237"/>
        <v>0.29693078050357602</v>
      </c>
      <c r="BB128" s="186">
        <f t="shared" ca="1" si="237"/>
        <v>0.29711321833130383</v>
      </c>
      <c r="BC128" s="186">
        <f t="shared" ca="1" si="237"/>
        <v>0.2972987307006757</v>
      </c>
      <c r="BD128" s="186">
        <f t="shared" ca="1" si="237"/>
        <v>0.29748730670602186</v>
      </c>
      <c r="BE128" s="186">
        <f t="shared" ca="1" si="237"/>
        <v>0.29767893604358142</v>
      </c>
      <c r="BF128" s="186">
        <f t="shared" ca="1" si="237"/>
        <v>0.29787360897037973</v>
      </c>
      <c r="BG128" s="186">
        <f t="shared" ca="1" si="237"/>
        <v>0.29807131626644512</v>
      </c>
      <c r="BH128" s="186">
        <f t="shared" ca="1" si="237"/>
        <v>0.30521656176781897</v>
      </c>
      <c r="BI128" s="15"/>
      <c r="BJ128" s="169" t="s">
        <v>1</v>
      </c>
    </row>
    <row r="129" spans="1:62" ht="15.6" x14ac:dyDescent="0.3">
      <c r="A129" s="6"/>
      <c r="B129" s="28" t="s">
        <v>152</v>
      </c>
      <c r="C129" s="118">
        <f>wp_adj/(2*PI())</f>
        <v>2.4098265434380255</v>
      </c>
      <c r="D129" s="96" t="s">
        <v>140</v>
      </c>
      <c r="E129" s="21"/>
      <c r="F129" s="21"/>
      <c r="H129" s="187" t="s">
        <v>5</v>
      </c>
      <c r="I129" s="188">
        <f ca="1">I125^2*I128</f>
        <v>9.4080015909641143E-2</v>
      </c>
      <c r="J129" s="188">
        <f t="shared" ref="J129:BH129" ca="1" si="238">J125^2*J128</f>
        <v>9.3551557594063667E-2</v>
      </c>
      <c r="K129" s="188">
        <f t="shared" ca="1" si="238"/>
        <v>9.3551381967441477E-2</v>
      </c>
      <c r="L129" s="188">
        <f t="shared" ca="1" si="238"/>
        <v>9.3553977481329043E-2</v>
      </c>
      <c r="M129" s="188">
        <f t="shared" ca="1" si="238"/>
        <v>9.3559141369986817E-2</v>
      </c>
      <c r="N129" s="188">
        <f t="shared" ca="1" si="238"/>
        <v>9.3566700513536646E-2</v>
      </c>
      <c r="O129" s="188">
        <f t="shared" ca="1" si="238"/>
        <v>9.3538446003526399E-2</v>
      </c>
      <c r="P129" s="188">
        <f t="shared" ca="1" si="238"/>
        <v>9.355159839134955E-2</v>
      </c>
      <c r="Q129" s="188">
        <f t="shared" ca="1" si="238"/>
        <v>9.3566678357106331E-2</v>
      </c>
      <c r="R129" s="188">
        <f t="shared" ca="1" si="238"/>
        <v>9.3583595654955082E-2</v>
      </c>
      <c r="S129" s="188">
        <f t="shared" ca="1" si="238"/>
        <v>9.3602271050659658E-2</v>
      </c>
      <c r="T129" s="188">
        <f t="shared" ca="1" si="238"/>
        <v>9.3622634673356311E-2</v>
      </c>
      <c r="U129" s="188">
        <f t="shared" ca="1" si="238"/>
        <v>9.3644624657698697E-2</v>
      </c>
      <c r="V129" s="188">
        <f t="shared" ca="1" si="238"/>
        <v>9.3668186017981769E-2</v>
      </c>
      <c r="W129" s="188">
        <f t="shared" ca="1" si="238"/>
        <v>9.3693269708957971E-2</v>
      </c>
      <c r="X129" s="188">
        <f t="shared" ca="1" si="238"/>
        <v>9.3719831837938111E-2</v>
      </c>
      <c r="Y129" s="188">
        <f t="shared" ca="1" si="238"/>
        <v>9.3747833000282582E-2</v>
      </c>
      <c r="Z129" s="188">
        <f t="shared" ca="1" si="238"/>
        <v>9.3777237716146919E-2</v>
      </c>
      <c r="AA129" s="188">
        <f t="shared" ca="1" si="238"/>
        <v>9.3808013950794911E-2</v>
      </c>
      <c r="AB129" s="188">
        <f t="shared" ca="1" si="238"/>
        <v>9.3840132704258949E-2</v>
      </c>
      <c r="AC129" s="188">
        <f t="shared" ca="1" si="238"/>
        <v>9.3873567658841042E-2</v>
      </c>
      <c r="AD129" s="188">
        <f t="shared" ca="1" si="238"/>
        <v>9.3908294875092987E-2</v>
      </c>
      <c r="AE129" s="188">
        <f t="shared" ca="1" si="238"/>
        <v>9.394429252861651E-2</v>
      </c>
      <c r="AF129" s="188">
        <f t="shared" ca="1" si="238"/>
        <v>9.3981540681384104E-2</v>
      </c>
      <c r="AG129" s="188">
        <f t="shared" ca="1" si="238"/>
        <v>9.4020021082375435E-2</v>
      </c>
      <c r="AH129" s="188">
        <f t="shared" ca="1" si="238"/>
        <v>9.4059716993206144E-2</v>
      </c>
      <c r="AI129" s="188">
        <f t="shared" ca="1" si="238"/>
        <v>9.4100613035145608E-2</v>
      </c>
      <c r="AJ129" s="188">
        <f t="shared" ca="1" si="238"/>
        <v>9.4142695054502706E-2</v>
      </c>
      <c r="AK129" s="188">
        <f t="shared" ca="1" si="238"/>
        <v>9.418595000384189E-2</v>
      </c>
      <c r="AL129" s="188">
        <f t="shared" ca="1" si="238"/>
        <v>9.4230365836885252E-2</v>
      </c>
      <c r="AM129" s="188">
        <f t="shared" ca="1" si="238"/>
        <v>9.4275931415284425E-2</v>
      </c>
      <c r="AN129" s="188">
        <f t="shared" ca="1" si="238"/>
        <v>9.432263642571799E-2</v>
      </c>
      <c r="AO129" s="188">
        <f t="shared" ca="1" si="238"/>
        <v>9.4370471305996809E-2</v>
      </c>
      <c r="AP129" s="188">
        <f t="shared" ca="1" si="238"/>
        <v>9.4419427179048318E-2</v>
      </c>
      <c r="AQ129" s="188">
        <f t="shared" ca="1" si="238"/>
        <v>9.4469495793812447E-2</v>
      </c>
      <c r="AR129" s="188">
        <f t="shared" ca="1" si="238"/>
        <v>9.4520669472213978E-2</v>
      </c>
      <c r="AS129" s="188">
        <f t="shared" ca="1" si="238"/>
        <v>9.4572941061491389E-2</v>
      </c>
      <c r="AT129" s="188">
        <f t="shared" ca="1" si="238"/>
        <v>9.4626303891257965E-2</v>
      </c>
      <c r="AU129" s="188">
        <f t="shared" ca="1" si="238"/>
        <v>9.4680751734753002E-2</v>
      </c>
      <c r="AV129" s="188">
        <f t="shared" ca="1" si="238"/>
        <v>9.4736278773812202E-2</v>
      </c>
      <c r="AW129" s="188">
        <f t="shared" ca="1" si="238"/>
        <v>9.4792879567144037E-2</v>
      </c>
      <c r="AX129" s="188">
        <f t="shared" ca="1" si="238"/>
        <v>9.4850549021553196E-2</v>
      </c>
      <c r="AY129" s="188">
        <f t="shared" ca="1" si="238"/>
        <v>9.4909282365794795E-2</v>
      </c>
      <c r="AZ129" s="188">
        <f t="shared" ca="1" si="238"/>
        <v>9.4969075126780989E-2</v>
      </c>
      <c r="BA129" s="188">
        <f t="shared" ca="1" si="238"/>
        <v>9.5029923107896666E-2</v>
      </c>
      <c r="BB129" s="188">
        <f t="shared" ca="1" si="238"/>
        <v>9.5091822369207907E-2</v>
      </c>
      <c r="BC129" s="188">
        <f t="shared" ca="1" si="238"/>
        <v>9.5154769209372339E-2</v>
      </c>
      <c r="BD129" s="188">
        <f t="shared" ca="1" si="238"/>
        <v>9.5218760149082149E-2</v>
      </c>
      <c r="BE129" s="188">
        <f t="shared" ca="1" si="238"/>
        <v>9.5283791915890925E-2</v>
      </c>
      <c r="BF129" s="188">
        <f t="shared" ca="1" si="238"/>
        <v>9.5349861430288854E-2</v>
      </c>
      <c r="BG129" s="188">
        <f t="shared" ca="1" si="238"/>
        <v>9.541696579290955E-2</v>
      </c>
      <c r="BH129" s="188">
        <f t="shared" ca="1" si="238"/>
        <v>9.7845549086790704E-2</v>
      </c>
      <c r="BI129" s="15"/>
      <c r="BJ129" s="169"/>
    </row>
    <row r="130" spans="1:62" ht="15.6" x14ac:dyDescent="0.3">
      <c r="A130" s="6"/>
      <c r="B130" s="28" t="s">
        <v>153</v>
      </c>
      <c r="C130" s="118">
        <f>wz_adj/(2*PI())</f>
        <v>6241.3703173292288</v>
      </c>
      <c r="D130" s="96" t="s">
        <v>141</v>
      </c>
      <c r="E130" s="21"/>
      <c r="F130" s="21"/>
      <c r="H130" s="187" t="s">
        <v>6</v>
      </c>
      <c r="I130" s="188">
        <f t="shared" ref="I130:BH130" si="239">0.5*Vreg*Iout_sync_buck*fsw*10^3*(Vreg/SLEW_rate+Vreg/1.5)*10^-9</f>
        <v>3.5619111111111101E-2</v>
      </c>
      <c r="J130" s="188">
        <f t="shared" si="239"/>
        <v>3.5619111111111101E-2</v>
      </c>
      <c r="K130" s="188">
        <f t="shared" si="239"/>
        <v>3.5619111111111101E-2</v>
      </c>
      <c r="L130" s="188">
        <f t="shared" si="239"/>
        <v>3.5619111111111101E-2</v>
      </c>
      <c r="M130" s="188">
        <f t="shared" si="239"/>
        <v>3.5619111111111101E-2</v>
      </c>
      <c r="N130" s="188">
        <f t="shared" si="239"/>
        <v>3.5619111111111101E-2</v>
      </c>
      <c r="O130" s="188">
        <f t="shared" si="239"/>
        <v>3.5619111111111101E-2</v>
      </c>
      <c r="P130" s="188">
        <f t="shared" si="239"/>
        <v>3.5619111111111101E-2</v>
      </c>
      <c r="Q130" s="188">
        <f t="shared" si="239"/>
        <v>3.5619111111111101E-2</v>
      </c>
      <c r="R130" s="188">
        <f t="shared" si="239"/>
        <v>3.5619111111111101E-2</v>
      </c>
      <c r="S130" s="188">
        <f t="shared" si="239"/>
        <v>3.5619111111111101E-2</v>
      </c>
      <c r="T130" s="188">
        <f t="shared" si="239"/>
        <v>3.5619111111111101E-2</v>
      </c>
      <c r="U130" s="188">
        <f t="shared" si="239"/>
        <v>3.5619111111111101E-2</v>
      </c>
      <c r="V130" s="188">
        <f t="shared" si="239"/>
        <v>3.5619111111111101E-2</v>
      </c>
      <c r="W130" s="188">
        <f t="shared" si="239"/>
        <v>3.5619111111111101E-2</v>
      </c>
      <c r="X130" s="188">
        <f t="shared" si="239"/>
        <v>3.5619111111111101E-2</v>
      </c>
      <c r="Y130" s="188">
        <f t="shared" si="239"/>
        <v>3.5619111111111101E-2</v>
      </c>
      <c r="Z130" s="188">
        <f t="shared" si="239"/>
        <v>3.5619111111111101E-2</v>
      </c>
      <c r="AA130" s="188">
        <f t="shared" si="239"/>
        <v>3.5619111111111101E-2</v>
      </c>
      <c r="AB130" s="188">
        <f t="shared" si="239"/>
        <v>3.5619111111111101E-2</v>
      </c>
      <c r="AC130" s="188">
        <f t="shared" si="239"/>
        <v>3.5619111111111101E-2</v>
      </c>
      <c r="AD130" s="188">
        <f t="shared" si="239"/>
        <v>3.5619111111111101E-2</v>
      </c>
      <c r="AE130" s="188">
        <f t="shared" si="239"/>
        <v>3.5619111111111101E-2</v>
      </c>
      <c r="AF130" s="188">
        <f t="shared" si="239"/>
        <v>3.5619111111111101E-2</v>
      </c>
      <c r="AG130" s="188">
        <f t="shared" si="239"/>
        <v>3.5619111111111101E-2</v>
      </c>
      <c r="AH130" s="188">
        <f t="shared" si="239"/>
        <v>3.5619111111111101E-2</v>
      </c>
      <c r="AI130" s="188">
        <f t="shared" si="239"/>
        <v>3.5619111111111101E-2</v>
      </c>
      <c r="AJ130" s="188">
        <f t="shared" si="239"/>
        <v>3.5619111111111101E-2</v>
      </c>
      <c r="AK130" s="188">
        <f t="shared" si="239"/>
        <v>3.5619111111111101E-2</v>
      </c>
      <c r="AL130" s="188">
        <f t="shared" si="239"/>
        <v>3.5619111111111101E-2</v>
      </c>
      <c r="AM130" s="188">
        <f t="shared" si="239"/>
        <v>3.5619111111111101E-2</v>
      </c>
      <c r="AN130" s="188">
        <f t="shared" si="239"/>
        <v>3.5619111111111101E-2</v>
      </c>
      <c r="AO130" s="188">
        <f t="shared" si="239"/>
        <v>3.5619111111111101E-2</v>
      </c>
      <c r="AP130" s="188">
        <f t="shared" si="239"/>
        <v>3.5619111111111101E-2</v>
      </c>
      <c r="AQ130" s="188">
        <f t="shared" si="239"/>
        <v>3.5619111111111101E-2</v>
      </c>
      <c r="AR130" s="188">
        <f t="shared" si="239"/>
        <v>3.5619111111111101E-2</v>
      </c>
      <c r="AS130" s="188">
        <f t="shared" si="239"/>
        <v>3.5619111111111101E-2</v>
      </c>
      <c r="AT130" s="188">
        <f t="shared" si="239"/>
        <v>3.5619111111111101E-2</v>
      </c>
      <c r="AU130" s="188">
        <f t="shared" si="239"/>
        <v>3.5619111111111101E-2</v>
      </c>
      <c r="AV130" s="188">
        <f t="shared" si="239"/>
        <v>3.5619111111111101E-2</v>
      </c>
      <c r="AW130" s="188">
        <f t="shared" si="239"/>
        <v>3.5619111111111101E-2</v>
      </c>
      <c r="AX130" s="188">
        <f t="shared" si="239"/>
        <v>3.5619111111111101E-2</v>
      </c>
      <c r="AY130" s="188">
        <f t="shared" si="239"/>
        <v>3.5619111111111101E-2</v>
      </c>
      <c r="AZ130" s="188">
        <f t="shared" si="239"/>
        <v>3.5619111111111101E-2</v>
      </c>
      <c r="BA130" s="188">
        <f t="shared" si="239"/>
        <v>3.5619111111111101E-2</v>
      </c>
      <c r="BB130" s="188">
        <f t="shared" si="239"/>
        <v>3.5619111111111101E-2</v>
      </c>
      <c r="BC130" s="188">
        <f t="shared" si="239"/>
        <v>3.5619111111111101E-2</v>
      </c>
      <c r="BD130" s="188">
        <f t="shared" si="239"/>
        <v>3.5619111111111101E-2</v>
      </c>
      <c r="BE130" s="188">
        <f t="shared" si="239"/>
        <v>3.5619111111111101E-2</v>
      </c>
      <c r="BF130" s="188">
        <f t="shared" si="239"/>
        <v>3.5619111111111101E-2</v>
      </c>
      <c r="BG130" s="188">
        <f t="shared" si="239"/>
        <v>3.5619111111111101E-2</v>
      </c>
      <c r="BH130" s="188">
        <f t="shared" si="239"/>
        <v>3.5619111111111101E-2</v>
      </c>
      <c r="BI130" s="15"/>
      <c r="BJ130" s="169"/>
    </row>
    <row r="131" spans="1:62" ht="15.6" x14ac:dyDescent="0.3">
      <c r="A131" s="6"/>
      <c r="B131" s="28" t="s">
        <v>154</v>
      </c>
      <c r="C131" s="119">
        <f>IF(fz_1_2&gt;10*fc_2,MAX(fsw/2,5*fc_2),fz_1_2)</f>
        <v>1000</v>
      </c>
      <c r="D131" s="96"/>
      <c r="E131" s="21"/>
      <c r="F131" s="21"/>
      <c r="H131" s="187" t="s">
        <v>9</v>
      </c>
      <c r="I131" s="188">
        <f ca="1">I129+I130</f>
        <v>0.12969912702075226</v>
      </c>
      <c r="J131" s="188">
        <f t="shared" ref="J131:BH131" ca="1" si="240">J129+J130</f>
        <v>0.12917066870517477</v>
      </c>
      <c r="K131" s="188">
        <f t="shared" ca="1" si="240"/>
        <v>0.12917049307855258</v>
      </c>
      <c r="L131" s="188">
        <f t="shared" ca="1" si="240"/>
        <v>0.12917308859244014</v>
      </c>
      <c r="M131" s="188">
        <f t="shared" ca="1" si="240"/>
        <v>0.12917825248109793</v>
      </c>
      <c r="N131" s="188">
        <f t="shared" ca="1" si="240"/>
        <v>0.12918581162464776</v>
      </c>
      <c r="O131" s="188">
        <f t="shared" ca="1" si="240"/>
        <v>0.1291575571146375</v>
      </c>
      <c r="P131" s="188">
        <f t="shared" ca="1" si="240"/>
        <v>0.12917070950246065</v>
      </c>
      <c r="Q131" s="188">
        <f t="shared" ca="1" si="240"/>
        <v>0.12918578946821743</v>
      </c>
      <c r="R131" s="188">
        <f t="shared" ca="1" si="240"/>
        <v>0.12920270676606618</v>
      </c>
      <c r="S131" s="188">
        <f t="shared" ca="1" si="240"/>
        <v>0.12922138216177076</v>
      </c>
      <c r="T131" s="188">
        <f t="shared" ca="1" si="240"/>
        <v>0.1292417457844674</v>
      </c>
      <c r="U131" s="188">
        <f t="shared" ca="1" si="240"/>
        <v>0.12926373576880978</v>
      </c>
      <c r="V131" s="188">
        <f t="shared" ca="1" si="240"/>
        <v>0.12928729712909287</v>
      </c>
      <c r="W131" s="188">
        <f t="shared" ca="1" si="240"/>
        <v>0.12931238082006907</v>
      </c>
      <c r="X131" s="188">
        <f t="shared" ca="1" si="240"/>
        <v>0.12933894294904921</v>
      </c>
      <c r="Y131" s="188">
        <f t="shared" ca="1" si="240"/>
        <v>0.12936694411139368</v>
      </c>
      <c r="Z131" s="188">
        <f t="shared" ca="1" si="240"/>
        <v>0.12939634882725803</v>
      </c>
      <c r="AA131" s="188">
        <f t="shared" ca="1" si="240"/>
        <v>0.12942712506190601</v>
      </c>
      <c r="AB131" s="188">
        <f t="shared" ca="1" si="240"/>
        <v>0.12945924381537005</v>
      </c>
      <c r="AC131" s="188">
        <f t="shared" ca="1" si="240"/>
        <v>0.12949267876995213</v>
      </c>
      <c r="AD131" s="188">
        <f t="shared" ca="1" si="240"/>
        <v>0.1295274059862041</v>
      </c>
      <c r="AE131" s="188">
        <f t="shared" ca="1" si="240"/>
        <v>0.12956340363972763</v>
      </c>
      <c r="AF131" s="188">
        <f t="shared" ca="1" si="240"/>
        <v>0.12960065179249519</v>
      </c>
      <c r="AG131" s="188">
        <f t="shared" ca="1" si="240"/>
        <v>0.12963913219348655</v>
      </c>
      <c r="AH131" s="188">
        <f t="shared" ca="1" si="240"/>
        <v>0.12967882810431725</v>
      </c>
      <c r="AI131" s="188">
        <f t="shared" ca="1" si="240"/>
        <v>0.12971972414625671</v>
      </c>
      <c r="AJ131" s="188">
        <f t="shared" ca="1" si="240"/>
        <v>0.12976180616561381</v>
      </c>
      <c r="AK131" s="188">
        <f t="shared" ca="1" si="240"/>
        <v>0.12980506111495299</v>
      </c>
      <c r="AL131" s="188">
        <f t="shared" ca="1" si="240"/>
        <v>0.12984947694799637</v>
      </c>
      <c r="AM131" s="188">
        <f t="shared" ca="1" si="240"/>
        <v>0.12989504252639553</v>
      </c>
      <c r="AN131" s="188">
        <f t="shared" ca="1" si="240"/>
        <v>0.12994174753682908</v>
      </c>
      <c r="AO131" s="188">
        <f t="shared" ca="1" si="240"/>
        <v>0.1299895824171079</v>
      </c>
      <c r="AP131" s="188">
        <f t="shared" ca="1" si="240"/>
        <v>0.13003853829015943</v>
      </c>
      <c r="AQ131" s="188">
        <f t="shared" ca="1" si="240"/>
        <v>0.13008860690492355</v>
      </c>
      <c r="AR131" s="188">
        <f t="shared" ca="1" si="240"/>
        <v>0.13013978058332509</v>
      </c>
      <c r="AS131" s="188">
        <f t="shared" ca="1" si="240"/>
        <v>0.13019205217260249</v>
      </c>
      <c r="AT131" s="188">
        <f t="shared" ca="1" si="240"/>
        <v>0.13024541500236908</v>
      </c>
      <c r="AU131" s="188">
        <f t="shared" ca="1" si="240"/>
        <v>0.13029986284586409</v>
      </c>
      <c r="AV131" s="188">
        <f t="shared" ca="1" si="240"/>
        <v>0.13035538988492329</v>
      </c>
      <c r="AW131" s="188">
        <f t="shared" ca="1" si="240"/>
        <v>0.13041199067825515</v>
      </c>
      <c r="AX131" s="188">
        <f t="shared" ca="1" si="240"/>
        <v>0.13046966013266431</v>
      </c>
      <c r="AY131" s="188">
        <f t="shared" ca="1" si="240"/>
        <v>0.1305283934769059</v>
      </c>
      <c r="AZ131" s="188">
        <f t="shared" ca="1" si="240"/>
        <v>0.13058818623789209</v>
      </c>
      <c r="BA131" s="188">
        <f t="shared" ca="1" si="240"/>
        <v>0.13064903421900775</v>
      </c>
      <c r="BB131" s="188">
        <f t="shared" ca="1" si="240"/>
        <v>0.13071093348031901</v>
      </c>
      <c r="BC131" s="188">
        <f t="shared" ca="1" si="240"/>
        <v>0.13077388032048343</v>
      </c>
      <c r="BD131" s="188">
        <f t="shared" ca="1" si="240"/>
        <v>0.13083787126019325</v>
      </c>
      <c r="BE131" s="188">
        <f t="shared" ca="1" si="240"/>
        <v>0.13090290302700203</v>
      </c>
      <c r="BF131" s="188">
        <f t="shared" ca="1" si="240"/>
        <v>0.13096897254139994</v>
      </c>
      <c r="BG131" s="188">
        <f t="shared" ca="1" si="240"/>
        <v>0.13103607690402064</v>
      </c>
      <c r="BH131" s="188">
        <f t="shared" ca="1" si="240"/>
        <v>0.13346466019790182</v>
      </c>
      <c r="BI131" s="15"/>
      <c r="BJ131" s="169"/>
    </row>
    <row r="132" spans="1:62" x14ac:dyDescent="0.3">
      <c r="A132" s="6"/>
      <c r="B132" s="28" t="s">
        <v>142</v>
      </c>
      <c r="C132" s="24">
        <f>fc_2*10^3*Vout_sync_buck/VFB_adj*2*PI()*Number_Cout2*Co_2*10^-6/(gm_POWER2*gm_EA2*10^-6)*10^-3</f>
        <v>10.574600871983241</v>
      </c>
      <c r="D132" s="96" t="s">
        <v>143</v>
      </c>
      <c r="E132" s="21"/>
      <c r="F132" s="21"/>
      <c r="G132" s="170" t="s">
        <v>270</v>
      </c>
      <c r="H132" s="15" t="s">
        <v>60</v>
      </c>
      <c r="I132" s="186">
        <f t="shared" ref="I132:AN132" ca="1" si="241">Buck_RdsON_factor_7V*(I89-150)+Adj_buck_lo_rdsON_150</f>
        <v>0.10412949151200518</v>
      </c>
      <c r="J132" s="186">
        <f t="shared" ca="1" si="241"/>
        <v>0.10256976232882783</v>
      </c>
      <c r="K132" s="186">
        <f t="shared" ca="1" si="241"/>
        <v>0.10256924381743809</v>
      </c>
      <c r="L132" s="186">
        <f t="shared" ca="1" si="241"/>
        <v>0.10257690667434499</v>
      </c>
      <c r="M132" s="186">
        <f t="shared" ca="1" si="241"/>
        <v>0.10259215219732336</v>
      </c>
      <c r="N132" s="186">
        <f t="shared" ca="1" si="241"/>
        <v>0.10261446915204002</v>
      </c>
      <c r="O132" s="186">
        <f t="shared" ca="1" si="241"/>
        <v>0.10253105203211532</v>
      </c>
      <c r="P132" s="186">
        <f t="shared" ca="1" si="241"/>
        <v>0.10256988277671063</v>
      </c>
      <c r="Q132" s="186">
        <f t="shared" ca="1" si="241"/>
        <v>0.10261440373960984</v>
      </c>
      <c r="R132" s="186">
        <f t="shared" ca="1" si="241"/>
        <v>0.10266434820260342</v>
      </c>
      <c r="S132" s="186">
        <f t="shared" ca="1" si="241"/>
        <v>0.10271948194124396</v>
      </c>
      <c r="T132" s="186">
        <f t="shared" ca="1" si="241"/>
        <v>0.10277959836073988</v>
      </c>
      <c r="U132" s="186">
        <f t="shared" ca="1" si="241"/>
        <v>0.10284451448862782</v>
      </c>
      <c r="V132" s="186">
        <f t="shared" ca="1" si="241"/>
        <v>0.10291406765194441</v>
      </c>
      <c r="W132" s="186">
        <f t="shared" ca="1" si="241"/>
        <v>0.10298811270529108</v>
      </c>
      <c r="X132" s="186">
        <f t="shared" ca="1" si="241"/>
        <v>0.10306651970532923</v>
      </c>
      <c r="Y132" s="186">
        <f t="shared" ca="1" si="241"/>
        <v>0.10314917194940325</v>
      </c>
      <c r="Z132" s="186">
        <f t="shared" ca="1" si="241"/>
        <v>0.10323596431297723</v>
      </c>
      <c r="AA132" s="186">
        <f t="shared" ca="1" si="241"/>
        <v>0.10332680183370017</v>
      </c>
      <c r="AB132" s="186">
        <f t="shared" ca="1" si="241"/>
        <v>0.10342159850013485</v>
      </c>
      <c r="AC132" s="186">
        <f t="shared" ca="1" si="241"/>
        <v>0.10352027621119887</v>
      </c>
      <c r="AD132" s="186">
        <f t="shared" ca="1" si="241"/>
        <v>0.10362276387869147</v>
      </c>
      <c r="AE132" s="186">
        <f t="shared" ca="1" si="241"/>
        <v>0.10372899665030264</v>
      </c>
      <c r="AF132" s="186">
        <f t="shared" ca="1" si="241"/>
        <v>0.10383891523451558</v>
      </c>
      <c r="AG132" s="186">
        <f t="shared" ca="1" si="241"/>
        <v>0.10395246531203989</v>
      </c>
      <c r="AH132" s="186">
        <f t="shared" ca="1" si="241"/>
        <v>0.10406959702101845</v>
      </c>
      <c r="AI132" s="186">
        <f t="shared" ca="1" si="241"/>
        <v>0.10419026450536911</v>
      </c>
      <c r="AJ132" s="186">
        <f t="shared" ca="1" si="241"/>
        <v>0.10431442551735001</v>
      </c>
      <c r="AK132" s="186">
        <f t="shared" ca="1" si="241"/>
        <v>0.1044420410668538</v>
      </c>
      <c r="AL132" s="186">
        <f t="shared" ca="1" si="241"/>
        <v>0.10457307511110452</v>
      </c>
      <c r="AM132" s="186">
        <f t="shared" ca="1" si="241"/>
        <v>0.10470749427939559</v>
      </c>
      <c r="AN132" s="186">
        <f t="shared" ca="1" si="241"/>
        <v>0.1048452676283102</v>
      </c>
      <c r="AO132" s="186">
        <f t="shared" ref="AO132:BH132" ca="1" si="242">Buck_RdsON_factor_7V*(AO89-150)+Adj_buck_lo_rdsON_150</f>
        <v>0.10498636642353439</v>
      </c>
      <c r="AP132" s="186">
        <f t="shared" ca="1" si="242"/>
        <v>0.10513076394493258</v>
      </c>
      <c r="AQ132" s="186">
        <f t="shared" ca="1" si="242"/>
        <v>0.10527843531202699</v>
      </c>
      <c r="AR132" s="186">
        <f t="shared" ca="1" si="242"/>
        <v>0.10542935732741789</v>
      </c>
      <c r="AS132" s="186">
        <f t="shared" ca="1" si="242"/>
        <v>0.10558350833601803</v>
      </c>
      <c r="AT132" s="186">
        <f t="shared" ca="1" si="242"/>
        <v>0.105740868098259</v>
      </c>
      <c r="AU132" s="186">
        <f t="shared" ca="1" si="242"/>
        <v>0.10590141767566964</v>
      </c>
      <c r="AV132" s="186">
        <f t="shared" ca="1" si="242"/>
        <v>0.10606513932743389</v>
      </c>
      <c r="AW132" s="186">
        <f t="shared" ca="1" si="242"/>
        <v>0.10623201641671204</v>
      </c>
      <c r="AX132" s="186">
        <f t="shared" ca="1" si="242"/>
        <v>0.10640203332566225</v>
      </c>
      <c r="AY132" s="186">
        <f t="shared" ca="1" si="242"/>
        <v>0.10657517537822954</v>
      </c>
      <c r="AZ132" s="186">
        <f t="shared" ca="1" si="242"/>
        <v>0.10675142876988243</v>
      </c>
      <c r="BA132" s="186">
        <f t="shared" ca="1" si="242"/>
        <v>0.10693078050357602</v>
      </c>
      <c r="BB132" s="186">
        <f t="shared" ca="1" si="242"/>
        <v>0.10711321833130384</v>
      </c>
      <c r="BC132" s="186">
        <f t="shared" ca="1" si="242"/>
        <v>0.10729873070067568</v>
      </c>
      <c r="BD132" s="186">
        <f t="shared" ca="1" si="242"/>
        <v>0.10748730670602186</v>
      </c>
      <c r="BE132" s="186">
        <f t="shared" ca="1" si="242"/>
        <v>0.10767893604358141</v>
      </c>
      <c r="BF132" s="186">
        <f t="shared" ca="1" si="242"/>
        <v>0.10787360897037974</v>
      </c>
      <c r="BG132" s="186">
        <f t="shared" ca="1" si="242"/>
        <v>0.10807131626644513</v>
      </c>
      <c r="BH132" s="186">
        <f t="shared" ca="1" si="242"/>
        <v>0.115216561767819</v>
      </c>
      <c r="BI132" s="15"/>
      <c r="BJ132" s="169" t="s">
        <v>52</v>
      </c>
    </row>
    <row r="133" spans="1:62" x14ac:dyDescent="0.3">
      <c r="A133" s="6"/>
      <c r="B133" s="273" t="s">
        <v>344</v>
      </c>
      <c r="C133" s="274">
        <v>10</v>
      </c>
      <c r="D133" s="96" t="s">
        <v>144</v>
      </c>
      <c r="E133" s="6"/>
      <c r="F133" s="6"/>
      <c r="H133" s="187" t="s">
        <v>5</v>
      </c>
      <c r="I133" s="188">
        <f ca="1">I126^2*I132</f>
        <v>1.7858201680314621E-2</v>
      </c>
      <c r="J133" s="188">
        <f t="shared" ref="J133:BH133" ca="1" si="243">J126^2*J132</f>
        <v>1.7601149572365034E-2</v>
      </c>
      <c r="K133" s="188">
        <f t="shared" ca="1" si="243"/>
        <v>1.7601064065982615E-2</v>
      </c>
      <c r="L133" s="188">
        <f t="shared" ca="1" si="243"/>
        <v>1.7602327724473833E-2</v>
      </c>
      <c r="M133" s="188">
        <f t="shared" ca="1" si="243"/>
        <v>1.7604841794634753E-2</v>
      </c>
      <c r="N133" s="188">
        <f t="shared" ca="1" si="243"/>
        <v>1.7608521927872441E-2</v>
      </c>
      <c r="O133" s="188">
        <f t="shared" ca="1" si="243"/>
        <v>1.7594765860202002E-2</v>
      </c>
      <c r="P133" s="188">
        <f t="shared" ca="1" si="243"/>
        <v>1.7601169435111211E-2</v>
      </c>
      <c r="Q133" s="188">
        <f t="shared" ca="1" si="243"/>
        <v>1.7608511141260125E-2</v>
      </c>
      <c r="R133" s="188">
        <f t="shared" ca="1" si="243"/>
        <v>1.7616746898935953E-2</v>
      </c>
      <c r="S133" s="188">
        <f t="shared" ca="1" si="243"/>
        <v>1.7625837981302551E-2</v>
      </c>
      <c r="T133" s="188">
        <f t="shared" ca="1" si="243"/>
        <v>1.7635750212974817E-2</v>
      </c>
      <c r="U133" s="188">
        <f t="shared" ca="1" si="243"/>
        <v>1.7646453309705358E-2</v>
      </c>
      <c r="V133" s="188">
        <f t="shared" ca="1" si="243"/>
        <v>1.7657920330819182E-2</v>
      </c>
      <c r="W133" s="188">
        <f t="shared" ca="1" si="243"/>
        <v>1.7670127222396328E-2</v>
      </c>
      <c r="X133" s="188">
        <f t="shared" ca="1" si="243"/>
        <v>1.7683052434000562E-2</v>
      </c>
      <c r="Y133" s="188">
        <f t="shared" ca="1" si="243"/>
        <v>1.7696676595399665E-2</v>
      </c>
      <c r="Z133" s="188">
        <f t="shared" ca="1" si="243"/>
        <v>1.7710982242520008E-2</v>
      </c>
      <c r="AA133" s="188">
        <f t="shared" ca="1" si="243"/>
        <v>1.7725953584039937E-2</v>
      </c>
      <c r="AB133" s="188">
        <f t="shared" ca="1" si="243"/>
        <v>1.7741576301709139E-2</v>
      </c>
      <c r="AC133" s="188">
        <f t="shared" ca="1" si="243"/>
        <v>1.775783737880109E-2</v>
      </c>
      <c r="AD133" s="188">
        <f t="shared" ca="1" si="243"/>
        <v>1.7774724952147016E-2</v>
      </c>
      <c r="AE133" s="188">
        <f t="shared" ca="1" si="243"/>
        <v>1.7792228184027509E-2</v>
      </c>
      <c r="AF133" s="188">
        <f t="shared" ca="1" si="243"/>
        <v>1.7810337150858651E-2</v>
      </c>
      <c r="AG133" s="188">
        <f t="shared" ca="1" si="243"/>
        <v>1.7829042746141444E-2</v>
      </c>
      <c r="AH133" s="188">
        <f t="shared" ca="1" si="243"/>
        <v>1.7848336595572341E-2</v>
      </c>
      <c r="AI133" s="188">
        <f t="shared" ca="1" si="243"/>
        <v>1.7868210982561462E-2</v>
      </c>
      <c r="AJ133" s="188">
        <f t="shared" ca="1" si="243"/>
        <v>1.7888658782690119E-2</v>
      </c>
      <c r="AK133" s="188">
        <f t="shared" ca="1" si="243"/>
        <v>1.7909673405872302E-2</v>
      </c>
      <c r="AL133" s="188">
        <f t="shared" ca="1" si="243"/>
        <v>1.7931248745177441E-2</v>
      </c>
      <c r="AM133" s="188">
        <f t="shared" ca="1" si="243"/>
        <v>1.7953379131430736E-2</v>
      </c>
      <c r="AN133" s="188">
        <f t="shared" ca="1" si="243"/>
        <v>1.7976059292839651E-2</v>
      </c>
      <c r="AO133" s="188">
        <f t="shared" ca="1" si="243"/>
        <v>1.7999284319005243E-2</v>
      </c>
      <c r="AP133" s="188">
        <f t="shared" ca="1" si="243"/>
        <v>1.8023049628769577E-2</v>
      </c>
      <c r="AQ133" s="188">
        <f t="shared" ca="1" si="243"/>
        <v>1.8047350941427735E-2</v>
      </c>
      <c r="AR133" s="188">
        <f t="shared" ca="1" si="243"/>
        <v>1.8072184250898477E-2</v>
      </c>
      <c r="AS133" s="188">
        <f t="shared" ca="1" si="243"/>
        <v>1.8097545802502956E-2</v>
      </c>
      <c r="AT133" s="188">
        <f t="shared" ca="1" si="243"/>
        <v>1.8123432072047634E-2</v>
      </c>
      <c r="AU133" s="188">
        <f t="shared" ca="1" si="243"/>
        <v>1.8149839746947793E-2</v>
      </c>
      <c r="AV133" s="188">
        <f t="shared" ca="1" si="243"/>
        <v>1.8176765709161744E-2</v>
      </c>
      <c r="AW133" s="188">
        <f t="shared" ca="1" si="243"/>
        <v>1.8204207019735547E-2</v>
      </c>
      <c r="AX133" s="188">
        <f t="shared" ca="1" si="243"/>
        <v>1.8232160904782673E-2</v>
      </c>
      <c r="AY133" s="188">
        <f t="shared" ca="1" si="243"/>
        <v>1.8260624742744865E-2</v>
      </c>
      <c r="AZ133" s="188">
        <f t="shared" ca="1" si="243"/>
        <v>1.8289596052799121E-2</v>
      </c>
      <c r="BA133" s="188">
        <f t="shared" ca="1" si="243"/>
        <v>1.8319072484291637E-2</v>
      </c>
      <c r="BB133" s="188">
        <f t="shared" ca="1" si="243"/>
        <v>1.8349051807093817E-2</v>
      </c>
      <c r="BC133" s="188">
        <f t="shared" ca="1" si="243"/>
        <v>1.8379531902787169E-2</v>
      </c>
      <c r="BD133" s="188">
        <f t="shared" ca="1" si="243"/>
        <v>1.8410510756595194E-2</v>
      </c>
      <c r="BE133" s="188">
        <f t="shared" ca="1" si="243"/>
        <v>1.8441986449988779E-2</v>
      </c>
      <c r="BF133" s="188">
        <f t="shared" ca="1" si="243"/>
        <v>1.8473957153900385E-2</v>
      </c>
      <c r="BG133" s="188">
        <f t="shared" ca="1" si="243"/>
        <v>1.8506421122489024E-2</v>
      </c>
      <c r="BH133" s="188">
        <f t="shared" ca="1" si="243"/>
        <v>1.9676261695692129E-2</v>
      </c>
      <c r="BI133" s="15"/>
      <c r="BJ133" s="169"/>
    </row>
    <row r="134" spans="1:62" x14ac:dyDescent="0.3">
      <c r="A134" s="6"/>
      <c r="B134" s="29" t="s">
        <v>148</v>
      </c>
      <c r="C134" s="25">
        <f>MIN(4*1000000000/(6.28*Rz_adj*1000*fc_2*1000),1000000000/(6.28*Rz_adj*1000*1.5*fp_1_2*1000))</f>
        <v>1.4154281670205235</v>
      </c>
      <c r="D134" s="292" t="s">
        <v>145</v>
      </c>
      <c r="E134" s="6"/>
      <c r="F134" s="6"/>
      <c r="H134" s="187" t="s">
        <v>288</v>
      </c>
      <c r="I134" s="188">
        <f t="shared" ref="I134:AN134" ca="1" si="244">(I122-I123/2)*(2*td*10^-9*(fsw*10^3))*0.05</f>
        <v>2.1000000000000003E-3</v>
      </c>
      <c r="J134" s="188">
        <f t="shared" ca="1" si="244"/>
        <v>2.1000000000000003E-3</v>
      </c>
      <c r="K134" s="188">
        <f t="shared" ca="1" si="244"/>
        <v>2.1000000000000003E-3</v>
      </c>
      <c r="L134" s="188">
        <f t="shared" ca="1" si="244"/>
        <v>2.1000000000000003E-3</v>
      </c>
      <c r="M134" s="188">
        <f t="shared" ca="1" si="244"/>
        <v>2.1000000000000003E-3</v>
      </c>
      <c r="N134" s="188">
        <f t="shared" ca="1" si="244"/>
        <v>2.1000000000000003E-3</v>
      </c>
      <c r="O134" s="188">
        <f t="shared" ca="1" si="244"/>
        <v>2.1000000000000003E-3</v>
      </c>
      <c r="P134" s="188">
        <f t="shared" ca="1" si="244"/>
        <v>2.1000000000000003E-3</v>
      </c>
      <c r="Q134" s="188">
        <f t="shared" ca="1" si="244"/>
        <v>2.1000000000000003E-3</v>
      </c>
      <c r="R134" s="188">
        <f t="shared" ca="1" si="244"/>
        <v>2.1000000000000003E-3</v>
      </c>
      <c r="S134" s="188">
        <f t="shared" ca="1" si="244"/>
        <v>2.1000000000000003E-3</v>
      </c>
      <c r="T134" s="188">
        <f t="shared" ca="1" si="244"/>
        <v>2.1000000000000003E-3</v>
      </c>
      <c r="U134" s="188">
        <f t="shared" ca="1" si="244"/>
        <v>2.1000000000000003E-3</v>
      </c>
      <c r="V134" s="188">
        <f t="shared" ca="1" si="244"/>
        <v>2.1000000000000003E-3</v>
      </c>
      <c r="W134" s="188">
        <f t="shared" ca="1" si="244"/>
        <v>2.1000000000000003E-3</v>
      </c>
      <c r="X134" s="188">
        <f t="shared" ca="1" si="244"/>
        <v>2.1000000000000003E-3</v>
      </c>
      <c r="Y134" s="188">
        <f t="shared" ca="1" si="244"/>
        <v>2.1000000000000003E-3</v>
      </c>
      <c r="Z134" s="188">
        <f t="shared" ca="1" si="244"/>
        <v>2.1000000000000003E-3</v>
      </c>
      <c r="AA134" s="188">
        <f t="shared" ca="1" si="244"/>
        <v>2.1000000000000003E-3</v>
      </c>
      <c r="AB134" s="188">
        <f t="shared" ca="1" si="244"/>
        <v>2.1000000000000003E-3</v>
      </c>
      <c r="AC134" s="188">
        <f t="shared" ca="1" si="244"/>
        <v>2.1000000000000003E-3</v>
      </c>
      <c r="AD134" s="188">
        <f t="shared" ca="1" si="244"/>
        <v>2.1000000000000003E-3</v>
      </c>
      <c r="AE134" s="188">
        <f t="shared" ca="1" si="244"/>
        <v>2.1000000000000003E-3</v>
      </c>
      <c r="AF134" s="188">
        <f t="shared" ca="1" si="244"/>
        <v>2.1000000000000003E-3</v>
      </c>
      <c r="AG134" s="188">
        <f t="shared" ca="1" si="244"/>
        <v>2.1000000000000003E-3</v>
      </c>
      <c r="AH134" s="188">
        <f t="shared" ca="1" si="244"/>
        <v>2.1000000000000003E-3</v>
      </c>
      <c r="AI134" s="188">
        <f t="shared" ca="1" si="244"/>
        <v>2.1000000000000003E-3</v>
      </c>
      <c r="AJ134" s="188">
        <f t="shared" ca="1" si="244"/>
        <v>2.1000000000000003E-3</v>
      </c>
      <c r="AK134" s="188">
        <f t="shared" ca="1" si="244"/>
        <v>2.1000000000000003E-3</v>
      </c>
      <c r="AL134" s="188">
        <f t="shared" ca="1" si="244"/>
        <v>2.1000000000000003E-3</v>
      </c>
      <c r="AM134" s="188">
        <f t="shared" ca="1" si="244"/>
        <v>2.1000000000000003E-3</v>
      </c>
      <c r="AN134" s="188">
        <f t="shared" ca="1" si="244"/>
        <v>2.1000000000000003E-3</v>
      </c>
      <c r="AO134" s="188">
        <f t="shared" ref="AO134:BH134" ca="1" si="245">(AO122-AO123/2)*(2*td*10^-9*(fsw*10^3))*0.05</f>
        <v>2.1000000000000003E-3</v>
      </c>
      <c r="AP134" s="188">
        <f t="shared" ca="1" si="245"/>
        <v>2.1000000000000003E-3</v>
      </c>
      <c r="AQ134" s="188">
        <f t="shared" ca="1" si="245"/>
        <v>2.1000000000000003E-3</v>
      </c>
      <c r="AR134" s="188">
        <f t="shared" ca="1" si="245"/>
        <v>2.1000000000000003E-3</v>
      </c>
      <c r="AS134" s="188">
        <f t="shared" ca="1" si="245"/>
        <v>2.1000000000000003E-3</v>
      </c>
      <c r="AT134" s="188">
        <f t="shared" ca="1" si="245"/>
        <v>2.1000000000000003E-3</v>
      </c>
      <c r="AU134" s="188">
        <f t="shared" ca="1" si="245"/>
        <v>2.1000000000000003E-3</v>
      </c>
      <c r="AV134" s="188">
        <f t="shared" ca="1" si="245"/>
        <v>2.1000000000000003E-3</v>
      </c>
      <c r="AW134" s="188">
        <f t="shared" ca="1" si="245"/>
        <v>2.1000000000000003E-3</v>
      </c>
      <c r="AX134" s="188">
        <f t="shared" ca="1" si="245"/>
        <v>2.1000000000000003E-3</v>
      </c>
      <c r="AY134" s="188">
        <f t="shared" ca="1" si="245"/>
        <v>2.1000000000000003E-3</v>
      </c>
      <c r="AZ134" s="188">
        <f t="shared" ca="1" si="245"/>
        <v>2.1000000000000003E-3</v>
      </c>
      <c r="BA134" s="188">
        <f t="shared" ca="1" si="245"/>
        <v>2.1000000000000003E-3</v>
      </c>
      <c r="BB134" s="188">
        <f t="shared" ca="1" si="245"/>
        <v>2.1000000000000003E-3</v>
      </c>
      <c r="BC134" s="188">
        <f t="shared" ca="1" si="245"/>
        <v>2.1000000000000003E-3</v>
      </c>
      <c r="BD134" s="188">
        <f t="shared" ca="1" si="245"/>
        <v>2.1000000000000003E-3</v>
      </c>
      <c r="BE134" s="188">
        <f t="shared" ca="1" si="245"/>
        <v>2.1000000000000003E-3</v>
      </c>
      <c r="BF134" s="188">
        <f t="shared" ca="1" si="245"/>
        <v>2.1000000000000003E-3</v>
      </c>
      <c r="BG134" s="188">
        <f t="shared" ca="1" si="245"/>
        <v>2.1000000000000003E-3</v>
      </c>
      <c r="BH134" s="188">
        <f t="shared" ca="1" si="245"/>
        <v>2.1000000000000003E-3</v>
      </c>
      <c r="BI134" s="15"/>
      <c r="BJ134" s="169"/>
    </row>
    <row r="135" spans="1:62" x14ac:dyDescent="0.3">
      <c r="A135" s="6"/>
      <c r="B135" s="29" t="s">
        <v>149</v>
      </c>
      <c r="C135" s="25">
        <f>MAX(4*1000000000/(6.28*Rz_adj*1000*fc_2*1000),1000000000/(6.28*Rz_adj*1000*1.5*fp_1_2*1000))</f>
        <v>4.4051764976863508</v>
      </c>
      <c r="D135" s="292"/>
      <c r="E135" s="6"/>
      <c r="F135" s="6"/>
      <c r="H135" s="187" t="s">
        <v>9</v>
      </c>
      <c r="I135" s="188">
        <f ca="1">I133+I134</f>
        <v>1.9958201680314622E-2</v>
      </c>
      <c r="J135" s="188">
        <f t="shared" ref="J135:BH135" ca="1" si="246">J133+J134</f>
        <v>1.9701149572365035E-2</v>
      </c>
      <c r="K135" s="188">
        <f t="shared" ca="1" si="246"/>
        <v>1.9701064065982616E-2</v>
      </c>
      <c r="L135" s="188">
        <f t="shared" ca="1" si="246"/>
        <v>1.9702327724473834E-2</v>
      </c>
      <c r="M135" s="188">
        <f t="shared" ca="1" si="246"/>
        <v>1.9704841794634755E-2</v>
      </c>
      <c r="N135" s="188">
        <f t="shared" ca="1" si="246"/>
        <v>1.9708521927872442E-2</v>
      </c>
      <c r="O135" s="188">
        <f t="shared" ca="1" si="246"/>
        <v>1.9694765860202003E-2</v>
      </c>
      <c r="P135" s="188">
        <f t="shared" ca="1" si="246"/>
        <v>1.9701169435111212E-2</v>
      </c>
      <c r="Q135" s="188">
        <f t="shared" ca="1" si="246"/>
        <v>1.9708511141260127E-2</v>
      </c>
      <c r="R135" s="188">
        <f t="shared" ca="1" si="246"/>
        <v>1.9716746898935954E-2</v>
      </c>
      <c r="S135" s="188">
        <f t="shared" ca="1" si="246"/>
        <v>1.9725837981302553E-2</v>
      </c>
      <c r="T135" s="188">
        <f t="shared" ca="1" si="246"/>
        <v>1.9735750212974818E-2</v>
      </c>
      <c r="U135" s="188">
        <f t="shared" ca="1" si="246"/>
        <v>1.9746453309705359E-2</v>
      </c>
      <c r="V135" s="188">
        <f t="shared" ca="1" si="246"/>
        <v>1.9757920330819183E-2</v>
      </c>
      <c r="W135" s="188">
        <f t="shared" ca="1" si="246"/>
        <v>1.9770127222396329E-2</v>
      </c>
      <c r="X135" s="188">
        <f t="shared" ca="1" si="246"/>
        <v>1.9783052434000564E-2</v>
      </c>
      <c r="Y135" s="188">
        <f t="shared" ca="1" si="246"/>
        <v>1.9796676595399666E-2</v>
      </c>
      <c r="Z135" s="188">
        <f t="shared" ca="1" si="246"/>
        <v>1.9810982242520009E-2</v>
      </c>
      <c r="AA135" s="188">
        <f t="shared" ca="1" si="246"/>
        <v>1.9825953584039938E-2</v>
      </c>
      <c r="AB135" s="188">
        <f t="shared" ca="1" si="246"/>
        <v>1.984157630170914E-2</v>
      </c>
      <c r="AC135" s="188">
        <f t="shared" ca="1" si="246"/>
        <v>1.9857837378801091E-2</v>
      </c>
      <c r="AD135" s="188">
        <f t="shared" ca="1" si="246"/>
        <v>1.9874724952147017E-2</v>
      </c>
      <c r="AE135" s="188">
        <f t="shared" ca="1" si="246"/>
        <v>1.989222818402751E-2</v>
      </c>
      <c r="AF135" s="188">
        <f t="shared" ca="1" si="246"/>
        <v>1.9910337150858652E-2</v>
      </c>
      <c r="AG135" s="188">
        <f t="shared" ca="1" si="246"/>
        <v>1.9929042746141445E-2</v>
      </c>
      <c r="AH135" s="188">
        <f t="shared" ca="1" si="246"/>
        <v>1.9948336595572342E-2</v>
      </c>
      <c r="AI135" s="188">
        <f t="shared" ca="1" si="246"/>
        <v>1.9968210982561463E-2</v>
      </c>
      <c r="AJ135" s="188">
        <f t="shared" ca="1" si="246"/>
        <v>1.998865878269012E-2</v>
      </c>
      <c r="AK135" s="188">
        <f t="shared" ca="1" si="246"/>
        <v>2.0009673405872303E-2</v>
      </c>
      <c r="AL135" s="188">
        <f t="shared" ca="1" si="246"/>
        <v>2.0031248745177442E-2</v>
      </c>
      <c r="AM135" s="188">
        <f t="shared" ca="1" si="246"/>
        <v>2.0053379131430737E-2</v>
      </c>
      <c r="AN135" s="188">
        <f t="shared" ca="1" si="246"/>
        <v>2.0076059292839652E-2</v>
      </c>
      <c r="AO135" s="188">
        <f t="shared" ca="1" si="246"/>
        <v>2.0099284319005244E-2</v>
      </c>
      <c r="AP135" s="188">
        <f t="shared" ca="1" si="246"/>
        <v>2.0123049628769579E-2</v>
      </c>
      <c r="AQ135" s="188">
        <f t="shared" ca="1" si="246"/>
        <v>2.0147350941427736E-2</v>
      </c>
      <c r="AR135" s="188">
        <f t="shared" ca="1" si="246"/>
        <v>2.0172184250898478E-2</v>
      </c>
      <c r="AS135" s="188">
        <f t="shared" ca="1" si="246"/>
        <v>2.0197545802502957E-2</v>
      </c>
      <c r="AT135" s="188">
        <f t="shared" ca="1" si="246"/>
        <v>2.0223432072047635E-2</v>
      </c>
      <c r="AU135" s="188">
        <f t="shared" ca="1" si="246"/>
        <v>2.0249839746947794E-2</v>
      </c>
      <c r="AV135" s="188">
        <f t="shared" ca="1" si="246"/>
        <v>2.0276765709161745E-2</v>
      </c>
      <c r="AW135" s="188">
        <f t="shared" ca="1" si="246"/>
        <v>2.0304207019735548E-2</v>
      </c>
      <c r="AX135" s="188">
        <f t="shared" ca="1" si="246"/>
        <v>2.0332160904782674E-2</v>
      </c>
      <c r="AY135" s="188">
        <f t="shared" ca="1" si="246"/>
        <v>2.0360624742744866E-2</v>
      </c>
      <c r="AZ135" s="188">
        <f t="shared" ca="1" si="246"/>
        <v>2.0389596052799122E-2</v>
      </c>
      <c r="BA135" s="188">
        <f t="shared" ca="1" si="246"/>
        <v>2.0419072484291638E-2</v>
      </c>
      <c r="BB135" s="188">
        <f t="shared" ca="1" si="246"/>
        <v>2.0449051807093818E-2</v>
      </c>
      <c r="BC135" s="188">
        <f t="shared" ca="1" si="246"/>
        <v>2.047953190278717E-2</v>
      </c>
      <c r="BD135" s="188">
        <f t="shared" ca="1" si="246"/>
        <v>2.0510510756595195E-2</v>
      </c>
      <c r="BE135" s="188">
        <f t="shared" ca="1" si="246"/>
        <v>2.0541986449988781E-2</v>
      </c>
      <c r="BF135" s="188">
        <f t="shared" ca="1" si="246"/>
        <v>2.0573957153900386E-2</v>
      </c>
      <c r="BG135" s="188">
        <f t="shared" ca="1" si="246"/>
        <v>2.0606421122489026E-2</v>
      </c>
      <c r="BH135" s="188">
        <f t="shared" ca="1" si="246"/>
        <v>2.1776261695692131E-2</v>
      </c>
      <c r="BI135" s="15"/>
      <c r="BJ135" s="169"/>
    </row>
    <row r="136" spans="1:62" x14ac:dyDescent="0.3">
      <c r="A136" s="6"/>
      <c r="B136" s="29" t="s">
        <v>146</v>
      </c>
      <c r="C136" s="129">
        <f>MAX(1/(2*PI()*Rz_adj*10^3*fz_1_2*10^3)*10^12, 1/(2*PI()*Rz_adj*10^3*fsw/2*10^3)*10^12, 1/(2*PI()*Rz_adj*10^3*15*fc_2*10^3)*10^12)</f>
        <v>23.578510087688201</v>
      </c>
      <c r="D136" s="96" t="s">
        <v>147</v>
      </c>
      <c r="E136" s="6"/>
      <c r="F136" s="6"/>
      <c r="G136" s="170" t="s">
        <v>254</v>
      </c>
      <c r="H136" s="15" t="s">
        <v>76</v>
      </c>
      <c r="I136" s="168">
        <f t="shared" ref="I136:AN136" ca="1" si="247">IF(I99-5&lt;I137*Iout_V5A,I99-I137*Iout_V5A,5)</f>
        <v>5</v>
      </c>
      <c r="J136" s="168">
        <f t="shared" ca="1" si="247"/>
        <v>5</v>
      </c>
      <c r="K136" s="168">
        <f t="shared" ca="1" si="247"/>
        <v>5</v>
      </c>
      <c r="L136" s="168">
        <f t="shared" ca="1" si="247"/>
        <v>5</v>
      </c>
      <c r="M136" s="168">
        <f t="shared" ca="1" si="247"/>
        <v>5</v>
      </c>
      <c r="N136" s="168">
        <f t="shared" ca="1" si="247"/>
        <v>5</v>
      </c>
      <c r="O136" s="168">
        <f t="shared" ca="1" si="247"/>
        <v>5</v>
      </c>
      <c r="P136" s="168">
        <f t="shared" ca="1" si="247"/>
        <v>5</v>
      </c>
      <c r="Q136" s="168">
        <f t="shared" ca="1" si="247"/>
        <v>5</v>
      </c>
      <c r="R136" s="168">
        <f t="shared" ca="1" si="247"/>
        <v>5</v>
      </c>
      <c r="S136" s="168">
        <f t="shared" ca="1" si="247"/>
        <v>5</v>
      </c>
      <c r="T136" s="168">
        <f t="shared" ca="1" si="247"/>
        <v>5</v>
      </c>
      <c r="U136" s="168">
        <f t="shared" ca="1" si="247"/>
        <v>5</v>
      </c>
      <c r="V136" s="168">
        <f t="shared" ca="1" si="247"/>
        <v>5</v>
      </c>
      <c r="W136" s="168">
        <f t="shared" ca="1" si="247"/>
        <v>5</v>
      </c>
      <c r="X136" s="168">
        <f t="shared" ca="1" si="247"/>
        <v>5</v>
      </c>
      <c r="Y136" s="168">
        <f t="shared" ca="1" si="247"/>
        <v>5</v>
      </c>
      <c r="Z136" s="168">
        <f t="shared" ca="1" si="247"/>
        <v>5</v>
      </c>
      <c r="AA136" s="168">
        <f t="shared" ca="1" si="247"/>
        <v>5</v>
      </c>
      <c r="AB136" s="168">
        <f t="shared" ca="1" si="247"/>
        <v>5</v>
      </c>
      <c r="AC136" s="168">
        <f t="shared" ca="1" si="247"/>
        <v>5</v>
      </c>
      <c r="AD136" s="168">
        <f t="shared" ca="1" si="247"/>
        <v>5</v>
      </c>
      <c r="AE136" s="168">
        <f t="shared" ca="1" si="247"/>
        <v>5</v>
      </c>
      <c r="AF136" s="168">
        <f t="shared" ca="1" si="247"/>
        <v>5</v>
      </c>
      <c r="AG136" s="168">
        <f t="shared" ca="1" si="247"/>
        <v>5</v>
      </c>
      <c r="AH136" s="168">
        <f t="shared" ca="1" si="247"/>
        <v>5</v>
      </c>
      <c r="AI136" s="168">
        <f t="shared" ca="1" si="247"/>
        <v>5</v>
      </c>
      <c r="AJ136" s="168">
        <f t="shared" ca="1" si="247"/>
        <v>5</v>
      </c>
      <c r="AK136" s="168">
        <f t="shared" ca="1" si="247"/>
        <v>5</v>
      </c>
      <c r="AL136" s="168">
        <f t="shared" ca="1" si="247"/>
        <v>5</v>
      </c>
      <c r="AM136" s="168">
        <f t="shared" ca="1" si="247"/>
        <v>5</v>
      </c>
      <c r="AN136" s="168">
        <f t="shared" ca="1" si="247"/>
        <v>5</v>
      </c>
      <c r="AO136" s="168">
        <f t="shared" ref="AO136:BH136" ca="1" si="248">IF(AO99-5&lt;AO137*Iout_V5A,AO99-AO137*Iout_V5A,5)</f>
        <v>5</v>
      </c>
      <c r="AP136" s="168">
        <f t="shared" ca="1" si="248"/>
        <v>5</v>
      </c>
      <c r="AQ136" s="168">
        <f t="shared" ca="1" si="248"/>
        <v>5</v>
      </c>
      <c r="AR136" s="168">
        <f t="shared" ca="1" si="248"/>
        <v>5</v>
      </c>
      <c r="AS136" s="168">
        <f t="shared" ca="1" si="248"/>
        <v>5</v>
      </c>
      <c r="AT136" s="168">
        <f t="shared" ca="1" si="248"/>
        <v>5</v>
      </c>
      <c r="AU136" s="168">
        <f t="shared" ca="1" si="248"/>
        <v>5</v>
      </c>
      <c r="AV136" s="168">
        <f t="shared" ca="1" si="248"/>
        <v>5</v>
      </c>
      <c r="AW136" s="168">
        <f t="shared" ca="1" si="248"/>
        <v>5</v>
      </c>
      <c r="AX136" s="168">
        <f t="shared" ca="1" si="248"/>
        <v>5</v>
      </c>
      <c r="AY136" s="168">
        <f t="shared" ca="1" si="248"/>
        <v>5</v>
      </c>
      <c r="AZ136" s="168">
        <f t="shared" ca="1" si="248"/>
        <v>5</v>
      </c>
      <c r="BA136" s="168">
        <f t="shared" ca="1" si="248"/>
        <v>5</v>
      </c>
      <c r="BB136" s="168">
        <f t="shared" ca="1" si="248"/>
        <v>5</v>
      </c>
      <c r="BC136" s="168">
        <f t="shared" ca="1" si="248"/>
        <v>5</v>
      </c>
      <c r="BD136" s="168">
        <f t="shared" ca="1" si="248"/>
        <v>5</v>
      </c>
      <c r="BE136" s="168">
        <f t="shared" ca="1" si="248"/>
        <v>5</v>
      </c>
      <c r="BF136" s="168">
        <f t="shared" ca="1" si="248"/>
        <v>5</v>
      </c>
      <c r="BG136" s="168">
        <f t="shared" ca="1" si="248"/>
        <v>5</v>
      </c>
      <c r="BH136" s="168">
        <f t="shared" ca="1" si="248"/>
        <v>5</v>
      </c>
      <c r="BI136" s="15"/>
      <c r="BJ136" s="169"/>
    </row>
    <row r="137" spans="1:62" x14ac:dyDescent="0.3">
      <c r="A137" s="6"/>
      <c r="B137" s="273" t="s">
        <v>345</v>
      </c>
      <c r="C137" s="275">
        <v>1.5</v>
      </c>
      <c r="D137" s="96" t="s">
        <v>243</v>
      </c>
      <c r="E137" s="6"/>
      <c r="F137" s="6"/>
      <c r="H137" s="15" t="s">
        <v>74</v>
      </c>
      <c r="I137" s="190">
        <f t="shared" ref="I137:AN137" ca="1" si="249">(Rds_ON_V5A_150-Rds_ON_V5A_min40)/190*(I89-150)+Rds_ON_V5A_150</f>
        <v>0.67222727883847211</v>
      </c>
      <c r="J137" s="190">
        <f t="shared" ca="1" si="249"/>
        <v>0.66511406290596808</v>
      </c>
      <c r="K137" s="190">
        <f t="shared" ca="1" si="249"/>
        <v>0.66511169821117466</v>
      </c>
      <c r="L137" s="190">
        <f t="shared" ca="1" si="249"/>
        <v>0.6651466450188811</v>
      </c>
      <c r="M137" s="190">
        <f t="shared" ca="1" si="249"/>
        <v>0.66521617292033908</v>
      </c>
      <c r="N137" s="190">
        <f t="shared" ca="1" si="249"/>
        <v>0.66531795040810271</v>
      </c>
      <c r="O137" s="190">
        <f t="shared" ca="1" si="249"/>
        <v>0.66493752283587315</v>
      </c>
      <c r="P137" s="190">
        <f t="shared" ca="1" si="249"/>
        <v>0.66511461221401991</v>
      </c>
      <c r="Q137" s="190">
        <f t="shared" ca="1" si="249"/>
        <v>0.66531765209173765</v>
      </c>
      <c r="R137" s="190">
        <f t="shared" ca="1" si="249"/>
        <v>0.66554542608849176</v>
      </c>
      <c r="S137" s="190">
        <f t="shared" ca="1" si="249"/>
        <v>0.66579686601302879</v>
      </c>
      <c r="T137" s="190">
        <f t="shared" ca="1" si="249"/>
        <v>0.66607102968039855</v>
      </c>
      <c r="U137" s="190">
        <f t="shared" ca="1" si="249"/>
        <v>0.66636708263635347</v>
      </c>
      <c r="V137" s="190">
        <f t="shared" ca="1" si="249"/>
        <v>0.66668428300344018</v>
      </c>
      <c r="W137" s="190">
        <f t="shared" ca="1" si="249"/>
        <v>0.66702196883946185</v>
      </c>
      <c r="X137" s="190">
        <f t="shared" ca="1" si="249"/>
        <v>0.66737954753190842</v>
      </c>
      <c r="Y137" s="190">
        <f t="shared" ca="1" si="249"/>
        <v>0.66775648685300693</v>
      </c>
      <c r="Z137" s="190">
        <f t="shared" ca="1" si="249"/>
        <v>0.66815230737752673</v>
      </c>
      <c r="AA137" s="190">
        <f t="shared" ca="1" si="249"/>
        <v>0.66856657602534375</v>
      </c>
      <c r="AB137" s="190">
        <f t="shared" ca="1" si="249"/>
        <v>0.66899890053738353</v>
      </c>
      <c r="AC137" s="190">
        <f t="shared" ca="1" si="249"/>
        <v>0.66944892473010509</v>
      </c>
      <c r="AD137" s="190">
        <f t="shared" ca="1" si="249"/>
        <v>0.66991632440253324</v>
      </c>
      <c r="AE137" s="190">
        <f t="shared" ca="1" si="249"/>
        <v>0.67040080379275602</v>
      </c>
      <c r="AF137" s="190">
        <f t="shared" ca="1" si="249"/>
        <v>0.67090209249911281</v>
      </c>
      <c r="AG137" s="190">
        <f t="shared" ca="1" si="249"/>
        <v>0.67141994279600703</v>
      </c>
      <c r="AH137" s="190">
        <f t="shared" ca="1" si="249"/>
        <v>0.67195412728616988</v>
      </c>
      <c r="AI137" s="190">
        <f t="shared" ca="1" si="249"/>
        <v>0.67250443684085148</v>
      </c>
      <c r="AJ137" s="190">
        <f t="shared" ca="1" si="249"/>
        <v>0.67307067878730231</v>
      </c>
      <c r="AK137" s="190">
        <f t="shared" ca="1" si="249"/>
        <v>0.6736526753093629</v>
      </c>
      <c r="AL137" s="190">
        <f t="shared" ca="1" si="249"/>
        <v>0.67425026203231297</v>
      </c>
      <c r="AM137" s="190">
        <f t="shared" ca="1" si="249"/>
        <v>0.67486328676752638</v>
      </c>
      <c r="AN137" s="190">
        <f t="shared" ca="1" si="249"/>
        <v>0.67549160839614242</v>
      </c>
      <c r="AO137" s="190">
        <f t="shared" ref="AO137:BH137" ca="1" si="250">(Rds_ON_V5A_150-Rds_ON_V5A_min40)/190*(AO89-150)+Rds_ON_V5A_150</f>
        <v>0.6761350958740141</v>
      </c>
      <c r="AP137" s="190">
        <f t="shared" ca="1" si="250"/>
        <v>0.67679362734274728</v>
      </c>
      <c r="AQ137" s="190">
        <f t="shared" ca="1" si="250"/>
        <v>0.67746708933379041</v>
      </c>
      <c r="AR137" s="190">
        <f t="shared" ca="1" si="250"/>
        <v>0.67815537605434606</v>
      </c>
      <c r="AS137" s="190">
        <f t="shared" ca="1" si="250"/>
        <v>0.67885838874540327</v>
      </c>
      <c r="AT137" s="190">
        <f t="shared" ca="1" si="250"/>
        <v>0.67957603510348918</v>
      </c>
      <c r="AU137" s="190">
        <f t="shared" ca="1" si="250"/>
        <v>0.680308228758844</v>
      </c>
      <c r="AV137" s="190">
        <f t="shared" ca="1" si="250"/>
        <v>0.6810548888036686</v>
      </c>
      <c r="AW137" s="190">
        <f t="shared" ca="1" si="250"/>
        <v>0.68181593936489804</v>
      </c>
      <c r="AX137" s="190">
        <f t="shared" ca="1" si="250"/>
        <v>0.68259130921665412</v>
      </c>
      <c r="AY137" s="190">
        <f t="shared" ca="1" si="250"/>
        <v>0.68338093142811984</v>
      </c>
      <c r="AZ137" s="190">
        <f t="shared" ca="1" si="250"/>
        <v>0.68418474304310106</v>
      </c>
      <c r="BA137" s="190">
        <f t="shared" ca="1" si="250"/>
        <v>0.6850026847879831</v>
      </c>
      <c r="BB137" s="190">
        <f t="shared" ca="1" si="250"/>
        <v>0.68583470080517484</v>
      </c>
      <c r="BC137" s="190">
        <f t="shared" ca="1" si="250"/>
        <v>0.68668073840947497</v>
      </c>
      <c r="BD137" s="190">
        <f t="shared" ca="1" si="250"/>
        <v>0.68754074786508046</v>
      </c>
      <c r="BE137" s="190">
        <f t="shared" ca="1" si="250"/>
        <v>0.68841468218122048</v>
      </c>
      <c r="BF137" s="190">
        <f t="shared" ca="1" si="250"/>
        <v>0.68930249692461609</v>
      </c>
      <c r="BG137" s="190">
        <f t="shared" ca="1" si="250"/>
        <v>0.69020415004716629</v>
      </c>
      <c r="BH137" s="190">
        <f t="shared" ca="1" si="250"/>
        <v>0.72279036737913116</v>
      </c>
      <c r="BI137" s="15"/>
      <c r="BJ137" s="169"/>
    </row>
    <row r="138" spans="1:62" x14ac:dyDescent="0.3">
      <c r="A138" s="6"/>
      <c r="B138" s="273" t="s">
        <v>346</v>
      </c>
      <c r="C138" s="276">
        <v>27</v>
      </c>
      <c r="D138" s="96" t="s">
        <v>242</v>
      </c>
      <c r="E138" s="6"/>
      <c r="F138" s="6"/>
      <c r="H138" s="187" t="s">
        <v>96</v>
      </c>
      <c r="I138" s="198">
        <f t="shared" ref="I138:AN138" ca="1" si="251">I99-I136</f>
        <v>0.34999999999999964</v>
      </c>
      <c r="J138" s="198">
        <f t="shared" ca="1" si="251"/>
        <v>0.34999999999999964</v>
      </c>
      <c r="K138" s="198">
        <f t="shared" ca="1" si="251"/>
        <v>0.34999999999999964</v>
      </c>
      <c r="L138" s="198">
        <f t="shared" ca="1" si="251"/>
        <v>0.34999999999999964</v>
      </c>
      <c r="M138" s="198">
        <f t="shared" ca="1" si="251"/>
        <v>0.34999999999999964</v>
      </c>
      <c r="N138" s="198">
        <f t="shared" ca="1" si="251"/>
        <v>0.34999999999999964</v>
      </c>
      <c r="O138" s="198">
        <f t="shared" ca="1" si="251"/>
        <v>0.34999999999999964</v>
      </c>
      <c r="P138" s="198">
        <f t="shared" ca="1" si="251"/>
        <v>0.34999999999999964</v>
      </c>
      <c r="Q138" s="198">
        <f t="shared" ca="1" si="251"/>
        <v>0.34999999999999964</v>
      </c>
      <c r="R138" s="198">
        <f t="shared" ca="1" si="251"/>
        <v>0.34999999999999964</v>
      </c>
      <c r="S138" s="198">
        <f t="shared" ca="1" si="251"/>
        <v>0.34999999999999964</v>
      </c>
      <c r="T138" s="198">
        <f t="shared" ca="1" si="251"/>
        <v>0.34999999999999964</v>
      </c>
      <c r="U138" s="198">
        <f t="shared" ca="1" si="251"/>
        <v>0.34999999999999964</v>
      </c>
      <c r="V138" s="198">
        <f t="shared" ca="1" si="251"/>
        <v>0.35000000000000053</v>
      </c>
      <c r="W138" s="198">
        <f t="shared" ca="1" si="251"/>
        <v>0.34999999999999964</v>
      </c>
      <c r="X138" s="198">
        <f t="shared" ca="1" si="251"/>
        <v>0.34999999999999964</v>
      </c>
      <c r="Y138" s="198">
        <f t="shared" ca="1" si="251"/>
        <v>0.34999999999999964</v>
      </c>
      <c r="Z138" s="198">
        <f t="shared" ca="1" si="251"/>
        <v>0.35000000000000053</v>
      </c>
      <c r="AA138" s="198">
        <f t="shared" ca="1" si="251"/>
        <v>0.34999999999999964</v>
      </c>
      <c r="AB138" s="198">
        <f t="shared" ca="1" si="251"/>
        <v>0.35000000000000142</v>
      </c>
      <c r="AC138" s="198">
        <f t="shared" ca="1" si="251"/>
        <v>0.34999999999999964</v>
      </c>
      <c r="AD138" s="198">
        <f t="shared" ca="1" si="251"/>
        <v>0.34999999999999964</v>
      </c>
      <c r="AE138" s="198">
        <f t="shared" ca="1" si="251"/>
        <v>0.35000000000000053</v>
      </c>
      <c r="AF138" s="198">
        <f t="shared" ca="1" si="251"/>
        <v>0.34999999999999964</v>
      </c>
      <c r="AG138" s="198">
        <f t="shared" ca="1" si="251"/>
        <v>0.34999999999999964</v>
      </c>
      <c r="AH138" s="198">
        <f t="shared" ca="1" si="251"/>
        <v>0.34999999999999964</v>
      </c>
      <c r="AI138" s="198">
        <f t="shared" ca="1" si="251"/>
        <v>0.34999999999999876</v>
      </c>
      <c r="AJ138" s="198">
        <f t="shared" ca="1" si="251"/>
        <v>0.34999999999999964</v>
      </c>
      <c r="AK138" s="198">
        <f t="shared" ca="1" si="251"/>
        <v>0.34999999999999964</v>
      </c>
      <c r="AL138" s="198">
        <f t="shared" ca="1" si="251"/>
        <v>0.34999999999999964</v>
      </c>
      <c r="AM138" s="198">
        <f t="shared" ca="1" si="251"/>
        <v>0.34999999999999964</v>
      </c>
      <c r="AN138" s="198">
        <f t="shared" ca="1" si="251"/>
        <v>0.34999999999999964</v>
      </c>
      <c r="AO138" s="198">
        <f t="shared" ref="AO138:BH138" ca="1" si="252">AO99-AO136</f>
        <v>0.35000000000000053</v>
      </c>
      <c r="AP138" s="198">
        <f t="shared" ca="1" si="252"/>
        <v>0.34999999999999964</v>
      </c>
      <c r="AQ138" s="198">
        <f t="shared" ca="1" si="252"/>
        <v>0.35000000000000053</v>
      </c>
      <c r="AR138" s="198">
        <f t="shared" ca="1" si="252"/>
        <v>0.34999999999999964</v>
      </c>
      <c r="AS138" s="198">
        <f t="shared" ca="1" si="252"/>
        <v>0.34999999999999964</v>
      </c>
      <c r="AT138" s="198">
        <f t="shared" ca="1" si="252"/>
        <v>0.34999999999999964</v>
      </c>
      <c r="AU138" s="198">
        <f t="shared" ca="1" si="252"/>
        <v>0.34999999999999876</v>
      </c>
      <c r="AV138" s="198">
        <f t="shared" ca="1" si="252"/>
        <v>0.34999999999999964</v>
      </c>
      <c r="AW138" s="198">
        <f t="shared" ca="1" si="252"/>
        <v>0.34999999999999876</v>
      </c>
      <c r="AX138" s="198">
        <f t="shared" ca="1" si="252"/>
        <v>0.34999999999999964</v>
      </c>
      <c r="AY138" s="198">
        <f t="shared" ca="1" si="252"/>
        <v>0.34999999999999964</v>
      </c>
      <c r="AZ138" s="198">
        <f t="shared" ca="1" si="252"/>
        <v>0.34999999999999964</v>
      </c>
      <c r="BA138" s="198">
        <f t="shared" ca="1" si="252"/>
        <v>0.34999999999999964</v>
      </c>
      <c r="BB138" s="198">
        <f t="shared" ca="1" si="252"/>
        <v>0.34999999999999964</v>
      </c>
      <c r="BC138" s="198">
        <f t="shared" ca="1" si="252"/>
        <v>0.34999999999999964</v>
      </c>
      <c r="BD138" s="198">
        <f t="shared" ca="1" si="252"/>
        <v>0.34999999999999964</v>
      </c>
      <c r="BE138" s="198">
        <f t="shared" ca="1" si="252"/>
        <v>0.34999999999999964</v>
      </c>
      <c r="BF138" s="198">
        <f t="shared" ca="1" si="252"/>
        <v>0.34999999999999964</v>
      </c>
      <c r="BG138" s="198">
        <f t="shared" ca="1" si="252"/>
        <v>0.34999999999999964</v>
      </c>
      <c r="BH138" s="198">
        <f t="shared" ca="1" si="252"/>
        <v>0.35000000000000053</v>
      </c>
      <c r="BI138" s="15"/>
      <c r="BJ138" s="169"/>
    </row>
    <row r="139" spans="1:62" x14ac:dyDescent="0.3">
      <c r="A139" s="6"/>
      <c r="B139" s="29" t="s">
        <v>240</v>
      </c>
      <c r="C139" s="138">
        <f>'Control Loop2'!$B$21</f>
        <v>42.292428743894995</v>
      </c>
      <c r="D139" s="96"/>
      <c r="E139" s="6"/>
      <c r="F139" s="6"/>
      <c r="H139" s="15" t="s">
        <v>75</v>
      </c>
      <c r="I139" s="172">
        <f t="shared" ref="I139:AN139" ca="1" si="253">(I99-I136)*Iout_V5A</f>
        <v>0</v>
      </c>
      <c r="J139" s="172">
        <f t="shared" ca="1" si="253"/>
        <v>0</v>
      </c>
      <c r="K139" s="172">
        <f t="shared" ca="1" si="253"/>
        <v>0</v>
      </c>
      <c r="L139" s="172">
        <f t="shared" ca="1" si="253"/>
        <v>0</v>
      </c>
      <c r="M139" s="172">
        <f t="shared" ca="1" si="253"/>
        <v>0</v>
      </c>
      <c r="N139" s="172">
        <f t="shared" ca="1" si="253"/>
        <v>0</v>
      </c>
      <c r="O139" s="172">
        <f t="shared" ca="1" si="253"/>
        <v>0</v>
      </c>
      <c r="P139" s="172">
        <f t="shared" ca="1" si="253"/>
        <v>0</v>
      </c>
      <c r="Q139" s="172">
        <f t="shared" ca="1" si="253"/>
        <v>0</v>
      </c>
      <c r="R139" s="172">
        <f t="shared" ca="1" si="253"/>
        <v>0</v>
      </c>
      <c r="S139" s="172">
        <f t="shared" ca="1" si="253"/>
        <v>0</v>
      </c>
      <c r="T139" s="172">
        <f t="shared" ca="1" si="253"/>
        <v>0</v>
      </c>
      <c r="U139" s="172">
        <f t="shared" ca="1" si="253"/>
        <v>0</v>
      </c>
      <c r="V139" s="172">
        <f t="shared" ca="1" si="253"/>
        <v>0</v>
      </c>
      <c r="W139" s="172">
        <f t="shared" ca="1" si="253"/>
        <v>0</v>
      </c>
      <c r="X139" s="172">
        <f t="shared" ca="1" si="253"/>
        <v>0</v>
      </c>
      <c r="Y139" s="172">
        <f t="shared" ca="1" si="253"/>
        <v>0</v>
      </c>
      <c r="Z139" s="172">
        <f t="shared" ca="1" si="253"/>
        <v>0</v>
      </c>
      <c r="AA139" s="172">
        <f t="shared" ca="1" si="253"/>
        <v>0</v>
      </c>
      <c r="AB139" s="172">
        <f t="shared" ca="1" si="253"/>
        <v>0</v>
      </c>
      <c r="AC139" s="172">
        <f t="shared" ca="1" si="253"/>
        <v>0</v>
      </c>
      <c r="AD139" s="172">
        <f t="shared" ca="1" si="253"/>
        <v>0</v>
      </c>
      <c r="AE139" s="172">
        <f t="shared" ca="1" si="253"/>
        <v>0</v>
      </c>
      <c r="AF139" s="172">
        <f t="shared" ca="1" si="253"/>
        <v>0</v>
      </c>
      <c r="AG139" s="172">
        <f t="shared" ca="1" si="253"/>
        <v>0</v>
      </c>
      <c r="AH139" s="172">
        <f t="shared" ca="1" si="253"/>
        <v>0</v>
      </c>
      <c r="AI139" s="172">
        <f t="shared" ca="1" si="253"/>
        <v>0</v>
      </c>
      <c r="AJ139" s="172">
        <f t="shared" ca="1" si="253"/>
        <v>0</v>
      </c>
      <c r="AK139" s="172">
        <f t="shared" ca="1" si="253"/>
        <v>0</v>
      </c>
      <c r="AL139" s="172">
        <f t="shared" ca="1" si="253"/>
        <v>0</v>
      </c>
      <c r="AM139" s="172">
        <f t="shared" ca="1" si="253"/>
        <v>0</v>
      </c>
      <c r="AN139" s="172">
        <f t="shared" ca="1" si="253"/>
        <v>0</v>
      </c>
      <c r="AO139" s="172">
        <f t="shared" ref="AO139:BH139" ca="1" si="254">(AO99-AO136)*Iout_V5A</f>
        <v>0</v>
      </c>
      <c r="AP139" s="172">
        <f t="shared" ca="1" si="254"/>
        <v>0</v>
      </c>
      <c r="AQ139" s="172">
        <f t="shared" ca="1" si="254"/>
        <v>0</v>
      </c>
      <c r="AR139" s="172">
        <f t="shared" ca="1" si="254"/>
        <v>0</v>
      </c>
      <c r="AS139" s="172">
        <f t="shared" ca="1" si="254"/>
        <v>0</v>
      </c>
      <c r="AT139" s="172">
        <f t="shared" ca="1" si="254"/>
        <v>0</v>
      </c>
      <c r="AU139" s="172">
        <f t="shared" ca="1" si="254"/>
        <v>0</v>
      </c>
      <c r="AV139" s="172">
        <f t="shared" ca="1" si="254"/>
        <v>0</v>
      </c>
      <c r="AW139" s="172">
        <f t="shared" ca="1" si="254"/>
        <v>0</v>
      </c>
      <c r="AX139" s="172">
        <f t="shared" ca="1" si="254"/>
        <v>0</v>
      </c>
      <c r="AY139" s="172">
        <f t="shared" ca="1" si="254"/>
        <v>0</v>
      </c>
      <c r="AZ139" s="172">
        <f t="shared" ca="1" si="254"/>
        <v>0</v>
      </c>
      <c r="BA139" s="172">
        <f t="shared" ca="1" si="254"/>
        <v>0</v>
      </c>
      <c r="BB139" s="172">
        <f t="shared" ca="1" si="254"/>
        <v>0</v>
      </c>
      <c r="BC139" s="172">
        <f t="shared" ca="1" si="254"/>
        <v>0</v>
      </c>
      <c r="BD139" s="172">
        <f t="shared" ca="1" si="254"/>
        <v>0</v>
      </c>
      <c r="BE139" s="172">
        <f t="shared" ca="1" si="254"/>
        <v>0</v>
      </c>
      <c r="BF139" s="172">
        <f t="shared" ca="1" si="254"/>
        <v>0</v>
      </c>
      <c r="BG139" s="172">
        <f t="shared" ca="1" si="254"/>
        <v>0</v>
      </c>
      <c r="BH139" s="172">
        <f t="shared" ca="1" si="254"/>
        <v>0</v>
      </c>
      <c r="BI139" s="15"/>
    </row>
    <row r="140" spans="1:62" ht="15" thickBot="1" x14ac:dyDescent="0.35">
      <c r="A140" s="6"/>
      <c r="B140" s="30" t="s">
        <v>241</v>
      </c>
      <c r="C140" s="139">
        <f>'Control Loop2'!$B$22</f>
        <v>68.875938047846844</v>
      </c>
      <c r="D140" s="97"/>
      <c r="E140" s="6"/>
      <c r="F140" s="6"/>
      <c r="G140" s="170" t="s">
        <v>255</v>
      </c>
      <c r="H140" s="15" t="s">
        <v>76</v>
      </c>
      <c r="I140" s="168">
        <f t="shared" ref="I140:AN140" ca="1" si="255">IF(I99-5&lt;I141*Iout_V5B,I99-I141*Iout_V5B,5)</f>
        <v>5</v>
      </c>
      <c r="J140" s="168">
        <f t="shared" ca="1" si="255"/>
        <v>5</v>
      </c>
      <c r="K140" s="168">
        <f t="shared" ca="1" si="255"/>
        <v>5</v>
      </c>
      <c r="L140" s="168">
        <f t="shared" ca="1" si="255"/>
        <v>5</v>
      </c>
      <c r="M140" s="168">
        <f t="shared" ca="1" si="255"/>
        <v>5</v>
      </c>
      <c r="N140" s="168">
        <f t="shared" ca="1" si="255"/>
        <v>5</v>
      </c>
      <c r="O140" s="168">
        <f t="shared" ca="1" si="255"/>
        <v>5</v>
      </c>
      <c r="P140" s="168">
        <f t="shared" ca="1" si="255"/>
        <v>5</v>
      </c>
      <c r="Q140" s="168">
        <f t="shared" ca="1" si="255"/>
        <v>5</v>
      </c>
      <c r="R140" s="168">
        <f t="shared" ca="1" si="255"/>
        <v>5</v>
      </c>
      <c r="S140" s="168">
        <f t="shared" ca="1" si="255"/>
        <v>5</v>
      </c>
      <c r="T140" s="168">
        <f t="shared" ca="1" si="255"/>
        <v>5</v>
      </c>
      <c r="U140" s="168">
        <f t="shared" ca="1" si="255"/>
        <v>5</v>
      </c>
      <c r="V140" s="168">
        <f t="shared" ca="1" si="255"/>
        <v>5</v>
      </c>
      <c r="W140" s="168">
        <f t="shared" ca="1" si="255"/>
        <v>5</v>
      </c>
      <c r="X140" s="168">
        <f t="shared" ca="1" si="255"/>
        <v>5</v>
      </c>
      <c r="Y140" s="168">
        <f t="shared" ca="1" si="255"/>
        <v>5</v>
      </c>
      <c r="Z140" s="168">
        <f t="shared" ca="1" si="255"/>
        <v>5</v>
      </c>
      <c r="AA140" s="168">
        <f t="shared" ca="1" si="255"/>
        <v>5</v>
      </c>
      <c r="AB140" s="168">
        <f t="shared" ca="1" si="255"/>
        <v>5</v>
      </c>
      <c r="AC140" s="168">
        <f t="shared" ca="1" si="255"/>
        <v>5</v>
      </c>
      <c r="AD140" s="168">
        <f t="shared" ca="1" si="255"/>
        <v>5</v>
      </c>
      <c r="AE140" s="168">
        <f t="shared" ca="1" si="255"/>
        <v>5</v>
      </c>
      <c r="AF140" s="168">
        <f t="shared" ca="1" si="255"/>
        <v>5</v>
      </c>
      <c r="AG140" s="168">
        <f t="shared" ca="1" si="255"/>
        <v>5</v>
      </c>
      <c r="AH140" s="168">
        <f t="shared" ca="1" si="255"/>
        <v>5</v>
      </c>
      <c r="AI140" s="168">
        <f t="shared" ca="1" si="255"/>
        <v>5</v>
      </c>
      <c r="AJ140" s="168">
        <f t="shared" ca="1" si="255"/>
        <v>5</v>
      </c>
      <c r="AK140" s="168">
        <f t="shared" ca="1" si="255"/>
        <v>5</v>
      </c>
      <c r="AL140" s="168">
        <f t="shared" ca="1" si="255"/>
        <v>5</v>
      </c>
      <c r="AM140" s="168">
        <f t="shared" ca="1" si="255"/>
        <v>5</v>
      </c>
      <c r="AN140" s="168">
        <f t="shared" ca="1" si="255"/>
        <v>5</v>
      </c>
      <c r="AO140" s="168">
        <f t="shared" ref="AO140:BH140" ca="1" si="256">IF(AO99-5&lt;AO141*Iout_V5B,AO99-AO141*Iout_V5B,5)</f>
        <v>5</v>
      </c>
      <c r="AP140" s="168">
        <f t="shared" ca="1" si="256"/>
        <v>5</v>
      </c>
      <c r="AQ140" s="168">
        <f t="shared" ca="1" si="256"/>
        <v>5</v>
      </c>
      <c r="AR140" s="168">
        <f t="shared" ca="1" si="256"/>
        <v>5</v>
      </c>
      <c r="AS140" s="168">
        <f t="shared" ca="1" si="256"/>
        <v>5</v>
      </c>
      <c r="AT140" s="168">
        <f t="shared" ca="1" si="256"/>
        <v>5</v>
      </c>
      <c r="AU140" s="168">
        <f t="shared" ca="1" si="256"/>
        <v>5</v>
      </c>
      <c r="AV140" s="168">
        <f t="shared" ca="1" si="256"/>
        <v>5</v>
      </c>
      <c r="AW140" s="168">
        <f t="shared" ca="1" si="256"/>
        <v>5</v>
      </c>
      <c r="AX140" s="168">
        <f t="shared" ca="1" si="256"/>
        <v>5</v>
      </c>
      <c r="AY140" s="168">
        <f t="shared" ca="1" si="256"/>
        <v>5</v>
      </c>
      <c r="AZ140" s="168">
        <f t="shared" ca="1" si="256"/>
        <v>5</v>
      </c>
      <c r="BA140" s="168">
        <f t="shared" ca="1" si="256"/>
        <v>5</v>
      </c>
      <c r="BB140" s="168">
        <f t="shared" ca="1" si="256"/>
        <v>5</v>
      </c>
      <c r="BC140" s="168">
        <f t="shared" ca="1" si="256"/>
        <v>5</v>
      </c>
      <c r="BD140" s="168">
        <f t="shared" ca="1" si="256"/>
        <v>5</v>
      </c>
      <c r="BE140" s="168">
        <f t="shared" ca="1" si="256"/>
        <v>5</v>
      </c>
      <c r="BF140" s="168">
        <f t="shared" ca="1" si="256"/>
        <v>5</v>
      </c>
      <c r="BG140" s="168">
        <f t="shared" ca="1" si="256"/>
        <v>5</v>
      </c>
      <c r="BH140" s="168">
        <f t="shared" ca="1" si="256"/>
        <v>5</v>
      </c>
      <c r="BI140" s="15"/>
    </row>
    <row r="141" spans="1:62" x14ac:dyDescent="0.3">
      <c r="A141" s="6"/>
      <c r="B141" s="21"/>
      <c r="C141" s="21"/>
      <c r="D141" s="6"/>
      <c r="E141" s="6"/>
      <c r="F141" s="6"/>
      <c r="H141" s="15" t="s">
        <v>74</v>
      </c>
      <c r="I141" s="190">
        <f t="shared" ref="I141:AN141" ca="1" si="257">(Rds_ON_V5B_150-Rds_ON_V5B_min40)/190*(I89-150)+Rds_ON_V5B_150</f>
        <v>0.67222727883847211</v>
      </c>
      <c r="J141" s="190">
        <f t="shared" ca="1" si="257"/>
        <v>0.66511406290596808</v>
      </c>
      <c r="K141" s="190">
        <f t="shared" ca="1" si="257"/>
        <v>0.66511169821117466</v>
      </c>
      <c r="L141" s="190">
        <f t="shared" ca="1" si="257"/>
        <v>0.6651466450188811</v>
      </c>
      <c r="M141" s="190">
        <f t="shared" ca="1" si="257"/>
        <v>0.66521617292033908</v>
      </c>
      <c r="N141" s="190">
        <f t="shared" ca="1" si="257"/>
        <v>0.66531795040810271</v>
      </c>
      <c r="O141" s="190">
        <f t="shared" ca="1" si="257"/>
        <v>0.66493752283587315</v>
      </c>
      <c r="P141" s="190">
        <f t="shared" ca="1" si="257"/>
        <v>0.66511461221401991</v>
      </c>
      <c r="Q141" s="190">
        <f t="shared" ca="1" si="257"/>
        <v>0.66531765209173765</v>
      </c>
      <c r="R141" s="190">
        <f t="shared" ca="1" si="257"/>
        <v>0.66554542608849176</v>
      </c>
      <c r="S141" s="190">
        <f t="shared" ca="1" si="257"/>
        <v>0.66579686601302879</v>
      </c>
      <c r="T141" s="190">
        <f t="shared" ca="1" si="257"/>
        <v>0.66607102968039855</v>
      </c>
      <c r="U141" s="190">
        <f t="shared" ca="1" si="257"/>
        <v>0.66636708263635347</v>
      </c>
      <c r="V141" s="190">
        <f t="shared" ca="1" si="257"/>
        <v>0.66668428300344018</v>
      </c>
      <c r="W141" s="190">
        <f t="shared" ca="1" si="257"/>
        <v>0.66702196883946185</v>
      </c>
      <c r="X141" s="190">
        <f t="shared" ca="1" si="257"/>
        <v>0.66737954753190842</v>
      </c>
      <c r="Y141" s="190">
        <f t="shared" ca="1" si="257"/>
        <v>0.66775648685300693</v>
      </c>
      <c r="Z141" s="190">
        <f t="shared" ca="1" si="257"/>
        <v>0.66815230737752673</v>
      </c>
      <c r="AA141" s="190">
        <f t="shared" ca="1" si="257"/>
        <v>0.66856657602534375</v>
      </c>
      <c r="AB141" s="190">
        <f t="shared" ca="1" si="257"/>
        <v>0.66899890053738353</v>
      </c>
      <c r="AC141" s="190">
        <f t="shared" ca="1" si="257"/>
        <v>0.66944892473010509</v>
      </c>
      <c r="AD141" s="190">
        <f t="shared" ca="1" si="257"/>
        <v>0.66991632440253324</v>
      </c>
      <c r="AE141" s="190">
        <f t="shared" ca="1" si="257"/>
        <v>0.67040080379275602</v>
      </c>
      <c r="AF141" s="190">
        <f t="shared" ca="1" si="257"/>
        <v>0.67090209249911281</v>
      </c>
      <c r="AG141" s="190">
        <f t="shared" ca="1" si="257"/>
        <v>0.67141994279600703</v>
      </c>
      <c r="AH141" s="190">
        <f t="shared" ca="1" si="257"/>
        <v>0.67195412728616988</v>
      </c>
      <c r="AI141" s="190">
        <f t="shared" ca="1" si="257"/>
        <v>0.67250443684085148</v>
      </c>
      <c r="AJ141" s="190">
        <f t="shared" ca="1" si="257"/>
        <v>0.67307067878730231</v>
      </c>
      <c r="AK141" s="190">
        <f t="shared" ca="1" si="257"/>
        <v>0.6736526753093629</v>
      </c>
      <c r="AL141" s="190">
        <f t="shared" ca="1" si="257"/>
        <v>0.67425026203231297</v>
      </c>
      <c r="AM141" s="190">
        <f t="shared" ca="1" si="257"/>
        <v>0.67486328676752638</v>
      </c>
      <c r="AN141" s="190">
        <f t="shared" ca="1" si="257"/>
        <v>0.67549160839614242</v>
      </c>
      <c r="AO141" s="190">
        <f t="shared" ref="AO141:BH141" ca="1" si="258">(Rds_ON_V5B_150-Rds_ON_V5B_min40)/190*(AO89-150)+Rds_ON_V5B_150</f>
        <v>0.6761350958740141</v>
      </c>
      <c r="AP141" s="190">
        <f t="shared" ca="1" si="258"/>
        <v>0.67679362734274728</v>
      </c>
      <c r="AQ141" s="190">
        <f t="shared" ca="1" si="258"/>
        <v>0.67746708933379041</v>
      </c>
      <c r="AR141" s="190">
        <f t="shared" ca="1" si="258"/>
        <v>0.67815537605434606</v>
      </c>
      <c r="AS141" s="190">
        <f t="shared" ca="1" si="258"/>
        <v>0.67885838874540327</v>
      </c>
      <c r="AT141" s="190">
        <f t="shared" ca="1" si="258"/>
        <v>0.67957603510348918</v>
      </c>
      <c r="AU141" s="190">
        <f t="shared" ca="1" si="258"/>
        <v>0.680308228758844</v>
      </c>
      <c r="AV141" s="190">
        <f t="shared" ca="1" si="258"/>
        <v>0.6810548888036686</v>
      </c>
      <c r="AW141" s="190">
        <f t="shared" ca="1" si="258"/>
        <v>0.68181593936489804</v>
      </c>
      <c r="AX141" s="190">
        <f t="shared" ca="1" si="258"/>
        <v>0.68259130921665412</v>
      </c>
      <c r="AY141" s="190">
        <f t="shared" ca="1" si="258"/>
        <v>0.68338093142811984</v>
      </c>
      <c r="AZ141" s="190">
        <f t="shared" ca="1" si="258"/>
        <v>0.68418474304310106</v>
      </c>
      <c r="BA141" s="190">
        <f t="shared" ca="1" si="258"/>
        <v>0.6850026847879831</v>
      </c>
      <c r="BB141" s="190">
        <f t="shared" ca="1" si="258"/>
        <v>0.68583470080517484</v>
      </c>
      <c r="BC141" s="190">
        <f t="shared" ca="1" si="258"/>
        <v>0.68668073840947497</v>
      </c>
      <c r="BD141" s="190">
        <f t="shared" ca="1" si="258"/>
        <v>0.68754074786508046</v>
      </c>
      <c r="BE141" s="190">
        <f t="shared" ca="1" si="258"/>
        <v>0.68841468218122048</v>
      </c>
      <c r="BF141" s="190">
        <f t="shared" ca="1" si="258"/>
        <v>0.68930249692461609</v>
      </c>
      <c r="BG141" s="190">
        <f t="shared" ca="1" si="258"/>
        <v>0.69020415004716629</v>
      </c>
      <c r="BH141" s="190">
        <f t="shared" ca="1" si="258"/>
        <v>0.72279036737913116</v>
      </c>
      <c r="BI141" s="15"/>
    </row>
    <row r="142" spans="1:62" s="280" customFormat="1" x14ac:dyDescent="0.3">
      <c r="B142" s="281"/>
      <c r="C142" s="282"/>
      <c r="G142" s="170"/>
      <c r="H142" s="187" t="s">
        <v>96</v>
      </c>
      <c r="I142" s="198">
        <f t="shared" ref="I142:AN142" ca="1" si="259">I99-I140</f>
        <v>0.34999999999999964</v>
      </c>
      <c r="J142" s="198">
        <f t="shared" ca="1" si="259"/>
        <v>0.34999999999999964</v>
      </c>
      <c r="K142" s="198">
        <f t="shared" ca="1" si="259"/>
        <v>0.34999999999999964</v>
      </c>
      <c r="L142" s="198">
        <f t="shared" ca="1" si="259"/>
        <v>0.34999999999999964</v>
      </c>
      <c r="M142" s="198">
        <f t="shared" ca="1" si="259"/>
        <v>0.34999999999999964</v>
      </c>
      <c r="N142" s="198">
        <f t="shared" ca="1" si="259"/>
        <v>0.34999999999999964</v>
      </c>
      <c r="O142" s="198">
        <f t="shared" ca="1" si="259"/>
        <v>0.34999999999999964</v>
      </c>
      <c r="P142" s="198">
        <f t="shared" ca="1" si="259"/>
        <v>0.34999999999999964</v>
      </c>
      <c r="Q142" s="198">
        <f t="shared" ca="1" si="259"/>
        <v>0.34999999999999964</v>
      </c>
      <c r="R142" s="198">
        <f t="shared" ca="1" si="259"/>
        <v>0.34999999999999964</v>
      </c>
      <c r="S142" s="198">
        <f t="shared" ca="1" si="259"/>
        <v>0.34999999999999964</v>
      </c>
      <c r="T142" s="198">
        <f t="shared" ca="1" si="259"/>
        <v>0.34999999999999964</v>
      </c>
      <c r="U142" s="198">
        <f t="shared" ca="1" si="259"/>
        <v>0.34999999999999964</v>
      </c>
      <c r="V142" s="198">
        <f t="shared" ca="1" si="259"/>
        <v>0.35000000000000053</v>
      </c>
      <c r="W142" s="198">
        <f t="shared" ca="1" si="259"/>
        <v>0.34999999999999964</v>
      </c>
      <c r="X142" s="198">
        <f t="shared" ca="1" si="259"/>
        <v>0.34999999999999964</v>
      </c>
      <c r="Y142" s="198">
        <f t="shared" ca="1" si="259"/>
        <v>0.34999999999999964</v>
      </c>
      <c r="Z142" s="198">
        <f t="shared" ca="1" si="259"/>
        <v>0.35000000000000053</v>
      </c>
      <c r="AA142" s="198">
        <f t="shared" ca="1" si="259"/>
        <v>0.34999999999999964</v>
      </c>
      <c r="AB142" s="198">
        <f t="shared" ca="1" si="259"/>
        <v>0.35000000000000142</v>
      </c>
      <c r="AC142" s="198">
        <f t="shared" ca="1" si="259"/>
        <v>0.34999999999999964</v>
      </c>
      <c r="AD142" s="198">
        <f t="shared" ca="1" si="259"/>
        <v>0.34999999999999964</v>
      </c>
      <c r="AE142" s="198">
        <f t="shared" ca="1" si="259"/>
        <v>0.35000000000000053</v>
      </c>
      <c r="AF142" s="198">
        <f t="shared" ca="1" si="259"/>
        <v>0.34999999999999964</v>
      </c>
      <c r="AG142" s="198">
        <f t="shared" ca="1" si="259"/>
        <v>0.34999999999999964</v>
      </c>
      <c r="AH142" s="198">
        <f t="shared" ca="1" si="259"/>
        <v>0.34999999999999964</v>
      </c>
      <c r="AI142" s="198">
        <f t="shared" ca="1" si="259"/>
        <v>0.34999999999999876</v>
      </c>
      <c r="AJ142" s="198">
        <f t="shared" ca="1" si="259"/>
        <v>0.34999999999999964</v>
      </c>
      <c r="AK142" s="198">
        <f t="shared" ca="1" si="259"/>
        <v>0.34999999999999964</v>
      </c>
      <c r="AL142" s="198">
        <f t="shared" ca="1" si="259"/>
        <v>0.34999999999999964</v>
      </c>
      <c r="AM142" s="198">
        <f t="shared" ca="1" si="259"/>
        <v>0.34999999999999964</v>
      </c>
      <c r="AN142" s="198">
        <f t="shared" ca="1" si="259"/>
        <v>0.34999999999999964</v>
      </c>
      <c r="AO142" s="198">
        <f t="shared" ref="AO142:BH142" ca="1" si="260">AO99-AO140</f>
        <v>0.35000000000000053</v>
      </c>
      <c r="AP142" s="198">
        <f t="shared" ca="1" si="260"/>
        <v>0.34999999999999964</v>
      </c>
      <c r="AQ142" s="198">
        <f t="shared" ca="1" si="260"/>
        <v>0.35000000000000053</v>
      </c>
      <c r="AR142" s="198">
        <f t="shared" ca="1" si="260"/>
        <v>0.34999999999999964</v>
      </c>
      <c r="AS142" s="198">
        <f t="shared" ca="1" si="260"/>
        <v>0.34999999999999964</v>
      </c>
      <c r="AT142" s="198">
        <f t="shared" ca="1" si="260"/>
        <v>0.34999999999999964</v>
      </c>
      <c r="AU142" s="198">
        <f t="shared" ca="1" si="260"/>
        <v>0.34999999999999876</v>
      </c>
      <c r="AV142" s="198">
        <f t="shared" ca="1" si="260"/>
        <v>0.34999999999999964</v>
      </c>
      <c r="AW142" s="198">
        <f t="shared" ca="1" si="260"/>
        <v>0.34999999999999876</v>
      </c>
      <c r="AX142" s="198">
        <f t="shared" ca="1" si="260"/>
        <v>0.34999999999999964</v>
      </c>
      <c r="AY142" s="198">
        <f t="shared" ca="1" si="260"/>
        <v>0.34999999999999964</v>
      </c>
      <c r="AZ142" s="198">
        <f t="shared" ca="1" si="260"/>
        <v>0.34999999999999964</v>
      </c>
      <c r="BA142" s="198">
        <f t="shared" ca="1" si="260"/>
        <v>0.34999999999999964</v>
      </c>
      <c r="BB142" s="198">
        <f t="shared" ca="1" si="260"/>
        <v>0.34999999999999964</v>
      </c>
      <c r="BC142" s="198">
        <f t="shared" ca="1" si="260"/>
        <v>0.34999999999999964</v>
      </c>
      <c r="BD142" s="198">
        <f t="shared" ca="1" si="260"/>
        <v>0.34999999999999964</v>
      </c>
      <c r="BE142" s="198">
        <f t="shared" ca="1" si="260"/>
        <v>0.34999999999999964</v>
      </c>
      <c r="BF142" s="198">
        <f t="shared" ca="1" si="260"/>
        <v>0.34999999999999964</v>
      </c>
      <c r="BG142" s="198">
        <f t="shared" ca="1" si="260"/>
        <v>0.34999999999999964</v>
      </c>
      <c r="BH142" s="198">
        <f t="shared" ca="1" si="260"/>
        <v>0.35000000000000053</v>
      </c>
      <c r="BI142" s="15"/>
      <c r="BJ142" s="174"/>
    </row>
    <row r="143" spans="1:62" s="280" customFormat="1" x14ac:dyDescent="0.3">
      <c r="B143" s="281"/>
      <c r="C143" s="281"/>
      <c r="G143" s="170"/>
      <c r="H143" s="15" t="s">
        <v>75</v>
      </c>
      <c r="I143" s="172">
        <f t="shared" ref="I143:AN143" ca="1" si="261">(I99-I140)*Iout_V5B</f>
        <v>1.7499999999999984E-2</v>
      </c>
      <c r="J143" s="172">
        <f t="shared" ca="1" si="261"/>
        <v>1.7499999999999984E-2</v>
      </c>
      <c r="K143" s="172">
        <f t="shared" ca="1" si="261"/>
        <v>1.7499999999999984E-2</v>
      </c>
      <c r="L143" s="172">
        <f t="shared" ca="1" si="261"/>
        <v>1.7499999999999984E-2</v>
      </c>
      <c r="M143" s="172">
        <f t="shared" ca="1" si="261"/>
        <v>1.7499999999999984E-2</v>
      </c>
      <c r="N143" s="172">
        <f t="shared" ca="1" si="261"/>
        <v>1.7499999999999984E-2</v>
      </c>
      <c r="O143" s="172">
        <f t="shared" ca="1" si="261"/>
        <v>1.7499999999999984E-2</v>
      </c>
      <c r="P143" s="172">
        <f t="shared" ca="1" si="261"/>
        <v>1.7499999999999984E-2</v>
      </c>
      <c r="Q143" s="172">
        <f t="shared" ca="1" si="261"/>
        <v>1.7499999999999984E-2</v>
      </c>
      <c r="R143" s="172">
        <f t="shared" ca="1" si="261"/>
        <v>1.7499999999999984E-2</v>
      </c>
      <c r="S143" s="172">
        <f t="shared" ca="1" si="261"/>
        <v>1.7499999999999984E-2</v>
      </c>
      <c r="T143" s="172">
        <f t="shared" ca="1" si="261"/>
        <v>1.7499999999999984E-2</v>
      </c>
      <c r="U143" s="172">
        <f t="shared" ca="1" si="261"/>
        <v>1.7499999999999984E-2</v>
      </c>
      <c r="V143" s="172">
        <f t="shared" ca="1" si="261"/>
        <v>1.7500000000000026E-2</v>
      </c>
      <c r="W143" s="172">
        <f t="shared" ca="1" si="261"/>
        <v>1.7499999999999984E-2</v>
      </c>
      <c r="X143" s="172">
        <f t="shared" ca="1" si="261"/>
        <v>1.7499999999999984E-2</v>
      </c>
      <c r="Y143" s="172">
        <f t="shared" ca="1" si="261"/>
        <v>1.7499999999999984E-2</v>
      </c>
      <c r="Z143" s="172">
        <f t="shared" ca="1" si="261"/>
        <v>1.7500000000000026E-2</v>
      </c>
      <c r="AA143" s="172">
        <f t="shared" ca="1" si="261"/>
        <v>1.7499999999999984E-2</v>
      </c>
      <c r="AB143" s="172">
        <f t="shared" ca="1" si="261"/>
        <v>1.7500000000000071E-2</v>
      </c>
      <c r="AC143" s="172">
        <f t="shared" ca="1" si="261"/>
        <v>1.7499999999999984E-2</v>
      </c>
      <c r="AD143" s="172">
        <f t="shared" ca="1" si="261"/>
        <v>1.7499999999999984E-2</v>
      </c>
      <c r="AE143" s="172">
        <f t="shared" ca="1" si="261"/>
        <v>1.7500000000000026E-2</v>
      </c>
      <c r="AF143" s="172">
        <f t="shared" ca="1" si="261"/>
        <v>1.7499999999999984E-2</v>
      </c>
      <c r="AG143" s="172">
        <f t="shared" ca="1" si="261"/>
        <v>1.7499999999999984E-2</v>
      </c>
      <c r="AH143" s="172">
        <f t="shared" ca="1" si="261"/>
        <v>1.7499999999999984E-2</v>
      </c>
      <c r="AI143" s="172">
        <f t="shared" ca="1" si="261"/>
        <v>1.7499999999999939E-2</v>
      </c>
      <c r="AJ143" s="172">
        <f t="shared" ca="1" si="261"/>
        <v>1.7499999999999984E-2</v>
      </c>
      <c r="AK143" s="172">
        <f t="shared" ca="1" si="261"/>
        <v>1.7499999999999984E-2</v>
      </c>
      <c r="AL143" s="172">
        <f t="shared" ca="1" si="261"/>
        <v>1.7499999999999984E-2</v>
      </c>
      <c r="AM143" s="172">
        <f t="shared" ca="1" si="261"/>
        <v>1.7499999999999984E-2</v>
      </c>
      <c r="AN143" s="172">
        <f t="shared" ca="1" si="261"/>
        <v>1.7499999999999984E-2</v>
      </c>
      <c r="AO143" s="172">
        <f t="shared" ref="AO143:BH143" ca="1" si="262">(AO99-AO140)*Iout_V5B</f>
        <v>1.7500000000000026E-2</v>
      </c>
      <c r="AP143" s="172">
        <f t="shared" ca="1" si="262"/>
        <v>1.7499999999999984E-2</v>
      </c>
      <c r="AQ143" s="172">
        <f t="shared" ca="1" si="262"/>
        <v>1.7500000000000026E-2</v>
      </c>
      <c r="AR143" s="172">
        <f t="shared" ca="1" si="262"/>
        <v>1.7499999999999984E-2</v>
      </c>
      <c r="AS143" s="172">
        <f t="shared" ca="1" si="262"/>
        <v>1.7499999999999984E-2</v>
      </c>
      <c r="AT143" s="172">
        <f t="shared" ca="1" si="262"/>
        <v>1.7499999999999984E-2</v>
      </c>
      <c r="AU143" s="172">
        <f t="shared" ca="1" si="262"/>
        <v>1.7499999999999939E-2</v>
      </c>
      <c r="AV143" s="172">
        <f t="shared" ca="1" si="262"/>
        <v>1.7499999999999984E-2</v>
      </c>
      <c r="AW143" s="172">
        <f t="shared" ca="1" si="262"/>
        <v>1.7499999999999939E-2</v>
      </c>
      <c r="AX143" s="172">
        <f t="shared" ca="1" si="262"/>
        <v>1.7499999999999984E-2</v>
      </c>
      <c r="AY143" s="172">
        <f t="shared" ca="1" si="262"/>
        <v>1.7499999999999984E-2</v>
      </c>
      <c r="AZ143" s="172">
        <f t="shared" ca="1" si="262"/>
        <v>1.7499999999999984E-2</v>
      </c>
      <c r="BA143" s="172">
        <f t="shared" ca="1" si="262"/>
        <v>1.7499999999999984E-2</v>
      </c>
      <c r="BB143" s="172">
        <f t="shared" ca="1" si="262"/>
        <v>1.7499999999999984E-2</v>
      </c>
      <c r="BC143" s="172">
        <f t="shared" ca="1" si="262"/>
        <v>1.7499999999999984E-2</v>
      </c>
      <c r="BD143" s="172">
        <f t="shared" ca="1" si="262"/>
        <v>1.7499999999999984E-2</v>
      </c>
      <c r="BE143" s="172">
        <f t="shared" ca="1" si="262"/>
        <v>1.7499999999999984E-2</v>
      </c>
      <c r="BF143" s="172">
        <f t="shared" ca="1" si="262"/>
        <v>1.7499999999999984E-2</v>
      </c>
      <c r="BG143" s="172">
        <f t="shared" ca="1" si="262"/>
        <v>1.7499999999999984E-2</v>
      </c>
      <c r="BH143" s="172">
        <f t="shared" ca="1" si="262"/>
        <v>1.7500000000000026E-2</v>
      </c>
      <c r="BI143" s="15"/>
      <c r="BJ143" s="174"/>
    </row>
    <row r="144" spans="1:62" s="280" customFormat="1" x14ac:dyDescent="0.3">
      <c r="B144" s="281"/>
      <c r="C144" s="281"/>
      <c r="G144" s="170" t="s">
        <v>256</v>
      </c>
      <c r="H144" s="15" t="s">
        <v>76</v>
      </c>
      <c r="I144" s="168">
        <f t="shared" ref="I144:AN144" ca="1" si="263">IF(I99-5&lt;I145*Iout_V5CAN,I99-I145*Iout_sync_buck,5)</f>
        <v>5</v>
      </c>
      <c r="J144" s="168">
        <f t="shared" ca="1" si="263"/>
        <v>5</v>
      </c>
      <c r="K144" s="168">
        <f t="shared" ca="1" si="263"/>
        <v>5</v>
      </c>
      <c r="L144" s="168">
        <f t="shared" ca="1" si="263"/>
        <v>5</v>
      </c>
      <c r="M144" s="168">
        <f t="shared" ca="1" si="263"/>
        <v>5</v>
      </c>
      <c r="N144" s="168">
        <f t="shared" ca="1" si="263"/>
        <v>5</v>
      </c>
      <c r="O144" s="168">
        <f t="shared" ca="1" si="263"/>
        <v>5</v>
      </c>
      <c r="P144" s="168">
        <f t="shared" ca="1" si="263"/>
        <v>5</v>
      </c>
      <c r="Q144" s="168">
        <f t="shared" ca="1" si="263"/>
        <v>5</v>
      </c>
      <c r="R144" s="168">
        <f t="shared" ca="1" si="263"/>
        <v>5</v>
      </c>
      <c r="S144" s="168">
        <f t="shared" ca="1" si="263"/>
        <v>5</v>
      </c>
      <c r="T144" s="168">
        <f t="shared" ca="1" si="263"/>
        <v>5</v>
      </c>
      <c r="U144" s="168">
        <f t="shared" ca="1" si="263"/>
        <v>5</v>
      </c>
      <c r="V144" s="168">
        <f t="shared" ca="1" si="263"/>
        <v>5</v>
      </c>
      <c r="W144" s="168">
        <f t="shared" ca="1" si="263"/>
        <v>5</v>
      </c>
      <c r="X144" s="168">
        <f t="shared" ca="1" si="263"/>
        <v>5</v>
      </c>
      <c r="Y144" s="168">
        <f t="shared" ca="1" si="263"/>
        <v>5</v>
      </c>
      <c r="Z144" s="168">
        <f t="shared" ca="1" si="263"/>
        <v>5</v>
      </c>
      <c r="AA144" s="168">
        <f t="shared" ca="1" si="263"/>
        <v>5</v>
      </c>
      <c r="AB144" s="168">
        <f t="shared" ca="1" si="263"/>
        <v>5</v>
      </c>
      <c r="AC144" s="168">
        <f t="shared" ca="1" si="263"/>
        <v>5</v>
      </c>
      <c r="AD144" s="168">
        <f t="shared" ca="1" si="263"/>
        <v>5</v>
      </c>
      <c r="AE144" s="168">
        <f t="shared" ca="1" si="263"/>
        <v>5</v>
      </c>
      <c r="AF144" s="168">
        <f t="shared" ca="1" si="263"/>
        <v>5</v>
      </c>
      <c r="AG144" s="168">
        <f t="shared" ca="1" si="263"/>
        <v>5</v>
      </c>
      <c r="AH144" s="168">
        <f t="shared" ca="1" si="263"/>
        <v>5</v>
      </c>
      <c r="AI144" s="168">
        <f t="shared" ca="1" si="263"/>
        <v>5</v>
      </c>
      <c r="AJ144" s="168">
        <f t="shared" ca="1" si="263"/>
        <v>5</v>
      </c>
      <c r="AK144" s="168">
        <f t="shared" ca="1" si="263"/>
        <v>5</v>
      </c>
      <c r="AL144" s="168">
        <f t="shared" ca="1" si="263"/>
        <v>5</v>
      </c>
      <c r="AM144" s="168">
        <f t="shared" ca="1" si="263"/>
        <v>5</v>
      </c>
      <c r="AN144" s="168">
        <f t="shared" ca="1" si="263"/>
        <v>5</v>
      </c>
      <c r="AO144" s="168">
        <f t="shared" ref="AO144:BH144" ca="1" si="264">IF(AO99-5&lt;AO145*Iout_V5CAN,AO99-AO145*Iout_sync_buck,5)</f>
        <v>5</v>
      </c>
      <c r="AP144" s="168">
        <f t="shared" ca="1" si="264"/>
        <v>5</v>
      </c>
      <c r="AQ144" s="168">
        <f t="shared" ca="1" si="264"/>
        <v>5</v>
      </c>
      <c r="AR144" s="168">
        <f t="shared" ca="1" si="264"/>
        <v>5</v>
      </c>
      <c r="AS144" s="168">
        <f t="shared" ca="1" si="264"/>
        <v>5</v>
      </c>
      <c r="AT144" s="168">
        <f t="shared" ca="1" si="264"/>
        <v>5</v>
      </c>
      <c r="AU144" s="168">
        <f t="shared" ca="1" si="264"/>
        <v>5</v>
      </c>
      <c r="AV144" s="168">
        <f t="shared" ca="1" si="264"/>
        <v>5</v>
      </c>
      <c r="AW144" s="168">
        <f t="shared" ca="1" si="264"/>
        <v>5</v>
      </c>
      <c r="AX144" s="168">
        <f t="shared" ca="1" si="264"/>
        <v>5</v>
      </c>
      <c r="AY144" s="168">
        <f t="shared" ca="1" si="264"/>
        <v>5</v>
      </c>
      <c r="AZ144" s="168">
        <f t="shared" ca="1" si="264"/>
        <v>5</v>
      </c>
      <c r="BA144" s="168">
        <f t="shared" ca="1" si="264"/>
        <v>5</v>
      </c>
      <c r="BB144" s="168">
        <f t="shared" ca="1" si="264"/>
        <v>5</v>
      </c>
      <c r="BC144" s="168">
        <f t="shared" ca="1" si="264"/>
        <v>5</v>
      </c>
      <c r="BD144" s="168">
        <f t="shared" ca="1" si="264"/>
        <v>5</v>
      </c>
      <c r="BE144" s="168">
        <f t="shared" ca="1" si="264"/>
        <v>5</v>
      </c>
      <c r="BF144" s="168">
        <f t="shared" ca="1" si="264"/>
        <v>5</v>
      </c>
      <c r="BG144" s="168">
        <f t="shared" ca="1" si="264"/>
        <v>5</v>
      </c>
      <c r="BH144" s="168">
        <f t="shared" ca="1" si="264"/>
        <v>5</v>
      </c>
      <c r="BI144" s="15"/>
      <c r="BJ144" s="174"/>
    </row>
    <row r="145" spans="2:62" s="280" customFormat="1" x14ac:dyDescent="0.3">
      <c r="B145" s="281"/>
      <c r="C145" s="281"/>
      <c r="G145" s="170"/>
      <c r="H145" s="15" t="s">
        <v>74</v>
      </c>
      <c r="I145" s="190">
        <f t="shared" ref="I145:AN145" ca="1" si="265">(Rds_ON_V5CAN_150-Rds_ON_V5CAN_min40)/190*(I89-150)+Rds_ON_V5CAN_150</f>
        <v>0.48766462266510568</v>
      </c>
      <c r="J145" s="190">
        <f t="shared" ca="1" si="265"/>
        <v>0.48359018250150049</v>
      </c>
      <c r="K145" s="190">
        <f t="shared" ca="1" si="265"/>
        <v>0.48358882800762143</v>
      </c>
      <c r="L145" s="190">
        <f t="shared" ca="1" si="265"/>
        <v>0.4836088454903269</v>
      </c>
      <c r="M145" s="190">
        <f t="shared" ca="1" si="265"/>
        <v>0.48364867097529451</v>
      </c>
      <c r="N145" s="190">
        <f t="shared" ca="1" si="265"/>
        <v>0.48370696897831172</v>
      </c>
      <c r="O145" s="190">
        <f t="shared" ca="1" si="265"/>
        <v>0.48348906059561347</v>
      </c>
      <c r="P145" s="190">
        <f t="shared" ca="1" si="265"/>
        <v>0.48359049714438634</v>
      </c>
      <c r="Q145" s="190">
        <f t="shared" ca="1" si="265"/>
        <v>0.4837067981031139</v>
      </c>
      <c r="R145" s="190">
        <f t="shared" ca="1" si="265"/>
        <v>0.48383726673072286</v>
      </c>
      <c r="S145" s="190">
        <f t="shared" ca="1" si="265"/>
        <v>0.48398129116875321</v>
      </c>
      <c r="T145" s="190">
        <f t="shared" ca="1" si="265"/>
        <v>0.48413833173497983</v>
      </c>
      <c r="U145" s="190">
        <f t="shared" ca="1" si="265"/>
        <v>0.48430791045517374</v>
      </c>
      <c r="V145" s="190">
        <f t="shared" ca="1" si="265"/>
        <v>0.48448960238296446</v>
      </c>
      <c r="W145" s="190">
        <f t="shared" ca="1" si="265"/>
        <v>0.48468302835878507</v>
      </c>
      <c r="X145" s="190">
        <f t="shared" ca="1" si="265"/>
        <v>0.48488784893501646</v>
      </c>
      <c r="Y145" s="190">
        <f t="shared" ca="1" si="265"/>
        <v>0.48510375925233268</v>
      </c>
      <c r="Z145" s="190">
        <f t="shared" ca="1" si="265"/>
        <v>0.48533048469663043</v>
      </c>
      <c r="AA145" s="190">
        <f t="shared" ca="1" si="265"/>
        <v>0.48556777720021876</v>
      </c>
      <c r="AB145" s="190">
        <f t="shared" ca="1" si="265"/>
        <v>0.48581541207764695</v>
      </c>
      <c r="AC145" s="190">
        <f t="shared" ca="1" si="265"/>
        <v>0.48607318530747962</v>
      </c>
      <c r="AD145" s="190">
        <f t="shared" ca="1" si="265"/>
        <v>0.48634091118785033</v>
      </c>
      <c r="AE145" s="190">
        <f t="shared" ca="1" si="265"/>
        <v>0.48661842030674868</v>
      </c>
      <c r="AF145" s="190">
        <f t="shared" ca="1" si="265"/>
        <v>0.48690555777848049</v>
      </c>
      <c r="AG145" s="190">
        <f t="shared" ca="1" si="265"/>
        <v>0.48720218170616969</v>
      </c>
      <c r="AH145" s="190">
        <f t="shared" ca="1" si="265"/>
        <v>0.48750816183697787</v>
      </c>
      <c r="AI145" s="190">
        <f t="shared" ca="1" si="265"/>
        <v>0.48782337838224887</v>
      </c>
      <c r="AJ145" s="190">
        <f t="shared" ca="1" si="265"/>
        <v>0.48814772097930048</v>
      </c>
      <c r="AK145" s="190">
        <f t="shared" ca="1" si="265"/>
        <v>0.48848108777528459</v>
      </c>
      <c r="AL145" s="190">
        <f t="shared" ca="1" si="265"/>
        <v>0.48882338461659081</v>
      </c>
      <c r="AM145" s="190">
        <f t="shared" ca="1" si="265"/>
        <v>0.48917452432978625</v>
      </c>
      <c r="AN145" s="190">
        <f t="shared" ca="1" si="265"/>
        <v>0.48953442608218445</v>
      </c>
      <c r="AO145" s="190">
        <f t="shared" ref="AO145:BH145" ca="1" si="266">(Rds_ON_V5CAN_150-Rds_ON_V5CAN_min40)/190*(AO89-150)+Rds_ON_V5CAN_150</f>
        <v>0.48990301481188087</v>
      </c>
      <c r="AP145" s="190">
        <f t="shared" ca="1" si="266"/>
        <v>0.49028022071855709</v>
      </c>
      <c r="AQ145" s="190">
        <f t="shared" ca="1" si="266"/>
        <v>0.49066597880758528</v>
      </c>
      <c r="AR145" s="190">
        <f t="shared" ca="1" si="266"/>
        <v>0.49106022848099856</v>
      </c>
      <c r="AS145" s="190">
        <f t="shared" ca="1" si="266"/>
        <v>0.49146291316977331</v>
      </c>
      <c r="AT145" s="190">
        <f t="shared" ca="1" si="266"/>
        <v>0.49187398000260896</v>
      </c>
      <c r="AU145" s="190">
        <f t="shared" ca="1" si="266"/>
        <v>0.49229337950702751</v>
      </c>
      <c r="AV145" s="190">
        <f t="shared" ca="1" si="266"/>
        <v>0.49272106533915455</v>
      </c>
      <c r="AW145" s="190">
        <f t="shared" ca="1" si="266"/>
        <v>0.49315699403900443</v>
      </c>
      <c r="AX145" s="190">
        <f t="shared" ca="1" si="266"/>
        <v>0.49360112480849327</v>
      </c>
      <c r="AY145" s="190">
        <f t="shared" ca="1" si="266"/>
        <v>0.49405341930974256</v>
      </c>
      <c r="AZ145" s="190">
        <f t="shared" ca="1" si="266"/>
        <v>0.49451384148153221</v>
      </c>
      <c r="BA145" s="190">
        <f t="shared" ca="1" si="266"/>
        <v>0.49498235737201823</v>
      </c>
      <c r="BB145" s="190">
        <f t="shared" ca="1" si="266"/>
        <v>0.49545893498605048</v>
      </c>
      <c r="BC145" s="190">
        <f t="shared" ca="1" si="266"/>
        <v>0.49594354414561909</v>
      </c>
      <c r="BD145" s="190">
        <f t="shared" ca="1" si="266"/>
        <v>0.49643615636212546</v>
      </c>
      <c r="BE145" s="190">
        <f t="shared" ca="1" si="266"/>
        <v>0.49693674471932164</v>
      </c>
      <c r="BF145" s="190">
        <f t="shared" ca="1" si="266"/>
        <v>0.49744528376588731</v>
      </c>
      <c r="BG145" s="190">
        <f t="shared" ca="1" si="266"/>
        <v>0.4979617494167291</v>
      </c>
      <c r="BH145" s="190">
        <f t="shared" ca="1" si="266"/>
        <v>0.51662708924855205</v>
      </c>
      <c r="BI145" s="15"/>
      <c r="BJ145" s="174"/>
    </row>
    <row r="146" spans="2:62" s="280" customFormat="1" x14ac:dyDescent="0.3">
      <c r="B146" s="281"/>
      <c r="C146" s="281"/>
      <c r="G146" s="170"/>
      <c r="H146" s="187" t="s">
        <v>96</v>
      </c>
      <c r="I146" s="198">
        <f t="shared" ref="I146:AN146" ca="1" si="267">I99-I144</f>
        <v>0.34999999999999964</v>
      </c>
      <c r="J146" s="198">
        <f t="shared" ca="1" si="267"/>
        <v>0.34999999999999964</v>
      </c>
      <c r="K146" s="198">
        <f t="shared" ca="1" si="267"/>
        <v>0.34999999999999964</v>
      </c>
      <c r="L146" s="198">
        <f t="shared" ca="1" si="267"/>
        <v>0.34999999999999964</v>
      </c>
      <c r="M146" s="198">
        <f t="shared" ca="1" si="267"/>
        <v>0.34999999999999964</v>
      </c>
      <c r="N146" s="198">
        <f t="shared" ca="1" si="267"/>
        <v>0.34999999999999964</v>
      </c>
      <c r="O146" s="198">
        <f t="shared" ca="1" si="267"/>
        <v>0.34999999999999964</v>
      </c>
      <c r="P146" s="198">
        <f t="shared" ca="1" si="267"/>
        <v>0.34999999999999964</v>
      </c>
      <c r="Q146" s="198">
        <f t="shared" ca="1" si="267"/>
        <v>0.34999999999999964</v>
      </c>
      <c r="R146" s="198">
        <f t="shared" ca="1" si="267"/>
        <v>0.34999999999999964</v>
      </c>
      <c r="S146" s="198">
        <f t="shared" ca="1" si="267"/>
        <v>0.34999999999999964</v>
      </c>
      <c r="T146" s="198">
        <f t="shared" ca="1" si="267"/>
        <v>0.34999999999999964</v>
      </c>
      <c r="U146" s="198">
        <f t="shared" ca="1" si="267"/>
        <v>0.34999999999999964</v>
      </c>
      <c r="V146" s="198">
        <f t="shared" ca="1" si="267"/>
        <v>0.35000000000000053</v>
      </c>
      <c r="W146" s="198">
        <f t="shared" ca="1" si="267"/>
        <v>0.34999999999999964</v>
      </c>
      <c r="X146" s="198">
        <f t="shared" ca="1" si="267"/>
        <v>0.34999999999999964</v>
      </c>
      <c r="Y146" s="198">
        <f t="shared" ca="1" si="267"/>
        <v>0.34999999999999964</v>
      </c>
      <c r="Z146" s="198">
        <f t="shared" ca="1" si="267"/>
        <v>0.35000000000000053</v>
      </c>
      <c r="AA146" s="198">
        <f t="shared" ca="1" si="267"/>
        <v>0.34999999999999964</v>
      </c>
      <c r="AB146" s="198">
        <f t="shared" ca="1" si="267"/>
        <v>0.35000000000000142</v>
      </c>
      <c r="AC146" s="198">
        <f t="shared" ca="1" si="267"/>
        <v>0.34999999999999964</v>
      </c>
      <c r="AD146" s="198">
        <f t="shared" ca="1" si="267"/>
        <v>0.34999999999999964</v>
      </c>
      <c r="AE146" s="198">
        <f t="shared" ca="1" si="267"/>
        <v>0.35000000000000053</v>
      </c>
      <c r="AF146" s="198">
        <f t="shared" ca="1" si="267"/>
        <v>0.34999999999999964</v>
      </c>
      <c r="AG146" s="198">
        <f t="shared" ca="1" si="267"/>
        <v>0.34999999999999964</v>
      </c>
      <c r="AH146" s="198">
        <f t="shared" ca="1" si="267"/>
        <v>0.34999999999999964</v>
      </c>
      <c r="AI146" s="198">
        <f t="shared" ca="1" si="267"/>
        <v>0.34999999999999876</v>
      </c>
      <c r="AJ146" s="198">
        <f t="shared" ca="1" si="267"/>
        <v>0.34999999999999964</v>
      </c>
      <c r="AK146" s="198">
        <f t="shared" ca="1" si="267"/>
        <v>0.34999999999999964</v>
      </c>
      <c r="AL146" s="198">
        <f t="shared" ca="1" si="267"/>
        <v>0.34999999999999964</v>
      </c>
      <c r="AM146" s="198">
        <f t="shared" ca="1" si="267"/>
        <v>0.34999999999999964</v>
      </c>
      <c r="AN146" s="198">
        <f t="shared" ca="1" si="267"/>
        <v>0.34999999999999964</v>
      </c>
      <c r="AO146" s="198">
        <f t="shared" ref="AO146:BH146" ca="1" si="268">AO99-AO144</f>
        <v>0.35000000000000053</v>
      </c>
      <c r="AP146" s="198">
        <f t="shared" ca="1" si="268"/>
        <v>0.34999999999999964</v>
      </c>
      <c r="AQ146" s="198">
        <f t="shared" ca="1" si="268"/>
        <v>0.35000000000000053</v>
      </c>
      <c r="AR146" s="198">
        <f t="shared" ca="1" si="268"/>
        <v>0.34999999999999964</v>
      </c>
      <c r="AS146" s="198">
        <f t="shared" ca="1" si="268"/>
        <v>0.34999999999999964</v>
      </c>
      <c r="AT146" s="198">
        <f t="shared" ca="1" si="268"/>
        <v>0.34999999999999964</v>
      </c>
      <c r="AU146" s="198">
        <f t="shared" ca="1" si="268"/>
        <v>0.34999999999999876</v>
      </c>
      <c r="AV146" s="198">
        <f t="shared" ca="1" si="268"/>
        <v>0.34999999999999964</v>
      </c>
      <c r="AW146" s="198">
        <f t="shared" ca="1" si="268"/>
        <v>0.34999999999999876</v>
      </c>
      <c r="AX146" s="198">
        <f t="shared" ca="1" si="268"/>
        <v>0.34999999999999964</v>
      </c>
      <c r="AY146" s="198">
        <f t="shared" ca="1" si="268"/>
        <v>0.34999999999999964</v>
      </c>
      <c r="AZ146" s="198">
        <f t="shared" ca="1" si="268"/>
        <v>0.34999999999999964</v>
      </c>
      <c r="BA146" s="198">
        <f t="shared" ca="1" si="268"/>
        <v>0.34999999999999964</v>
      </c>
      <c r="BB146" s="198">
        <f t="shared" ca="1" si="268"/>
        <v>0.34999999999999964</v>
      </c>
      <c r="BC146" s="198">
        <f t="shared" ca="1" si="268"/>
        <v>0.34999999999999964</v>
      </c>
      <c r="BD146" s="198">
        <f t="shared" ca="1" si="268"/>
        <v>0.34999999999999964</v>
      </c>
      <c r="BE146" s="198">
        <f t="shared" ca="1" si="268"/>
        <v>0.34999999999999964</v>
      </c>
      <c r="BF146" s="198">
        <f t="shared" ca="1" si="268"/>
        <v>0.34999999999999964</v>
      </c>
      <c r="BG146" s="198">
        <f t="shared" ca="1" si="268"/>
        <v>0.34999999999999964</v>
      </c>
      <c r="BH146" s="198">
        <f t="shared" ca="1" si="268"/>
        <v>0.35000000000000053</v>
      </c>
      <c r="BI146" s="15"/>
      <c r="BJ146" s="174"/>
    </row>
    <row r="147" spans="2:62" s="280" customFormat="1" x14ac:dyDescent="0.3">
      <c r="B147" s="281"/>
      <c r="C147" s="281"/>
      <c r="G147" s="170"/>
      <c r="H147" s="15" t="s">
        <v>75</v>
      </c>
      <c r="I147" s="172">
        <f t="shared" ref="I147:AN147" ca="1" si="269">(I99-I144)*Iout_V5CAN</f>
        <v>6.9999999999999937E-2</v>
      </c>
      <c r="J147" s="172">
        <f t="shared" ca="1" si="269"/>
        <v>6.9999999999999937E-2</v>
      </c>
      <c r="K147" s="172">
        <f t="shared" ca="1" si="269"/>
        <v>6.9999999999999937E-2</v>
      </c>
      <c r="L147" s="172">
        <f t="shared" ca="1" si="269"/>
        <v>6.9999999999999937E-2</v>
      </c>
      <c r="M147" s="172">
        <f t="shared" ca="1" si="269"/>
        <v>6.9999999999999937E-2</v>
      </c>
      <c r="N147" s="172">
        <f t="shared" ca="1" si="269"/>
        <v>6.9999999999999937E-2</v>
      </c>
      <c r="O147" s="172">
        <f t="shared" ca="1" si="269"/>
        <v>6.9999999999999937E-2</v>
      </c>
      <c r="P147" s="172">
        <f t="shared" ca="1" si="269"/>
        <v>6.9999999999999937E-2</v>
      </c>
      <c r="Q147" s="172">
        <f t="shared" ca="1" si="269"/>
        <v>6.9999999999999937E-2</v>
      </c>
      <c r="R147" s="172">
        <f t="shared" ca="1" si="269"/>
        <v>6.9999999999999937E-2</v>
      </c>
      <c r="S147" s="172">
        <f t="shared" ca="1" si="269"/>
        <v>6.9999999999999937E-2</v>
      </c>
      <c r="T147" s="172">
        <f t="shared" ca="1" si="269"/>
        <v>6.9999999999999937E-2</v>
      </c>
      <c r="U147" s="172">
        <f t="shared" ca="1" si="269"/>
        <v>6.9999999999999937E-2</v>
      </c>
      <c r="V147" s="172">
        <f t="shared" ca="1" si="269"/>
        <v>7.0000000000000104E-2</v>
      </c>
      <c r="W147" s="172">
        <f t="shared" ca="1" si="269"/>
        <v>6.9999999999999937E-2</v>
      </c>
      <c r="X147" s="172">
        <f t="shared" ca="1" si="269"/>
        <v>6.9999999999999937E-2</v>
      </c>
      <c r="Y147" s="172">
        <f t="shared" ca="1" si="269"/>
        <v>6.9999999999999937E-2</v>
      </c>
      <c r="Z147" s="172">
        <f t="shared" ca="1" si="269"/>
        <v>7.0000000000000104E-2</v>
      </c>
      <c r="AA147" s="172">
        <f t="shared" ca="1" si="269"/>
        <v>6.9999999999999937E-2</v>
      </c>
      <c r="AB147" s="172">
        <f t="shared" ca="1" si="269"/>
        <v>7.0000000000000284E-2</v>
      </c>
      <c r="AC147" s="172">
        <f t="shared" ca="1" si="269"/>
        <v>6.9999999999999937E-2</v>
      </c>
      <c r="AD147" s="172">
        <f t="shared" ca="1" si="269"/>
        <v>6.9999999999999937E-2</v>
      </c>
      <c r="AE147" s="172">
        <f t="shared" ca="1" si="269"/>
        <v>7.0000000000000104E-2</v>
      </c>
      <c r="AF147" s="172">
        <f t="shared" ca="1" si="269"/>
        <v>6.9999999999999937E-2</v>
      </c>
      <c r="AG147" s="172">
        <f t="shared" ca="1" si="269"/>
        <v>6.9999999999999937E-2</v>
      </c>
      <c r="AH147" s="172">
        <f t="shared" ca="1" si="269"/>
        <v>6.9999999999999937E-2</v>
      </c>
      <c r="AI147" s="172">
        <f t="shared" ca="1" si="269"/>
        <v>6.9999999999999757E-2</v>
      </c>
      <c r="AJ147" s="172">
        <f t="shared" ca="1" si="269"/>
        <v>6.9999999999999937E-2</v>
      </c>
      <c r="AK147" s="172">
        <f t="shared" ca="1" si="269"/>
        <v>6.9999999999999937E-2</v>
      </c>
      <c r="AL147" s="172">
        <f t="shared" ca="1" si="269"/>
        <v>6.9999999999999937E-2</v>
      </c>
      <c r="AM147" s="172">
        <f t="shared" ca="1" si="269"/>
        <v>6.9999999999999937E-2</v>
      </c>
      <c r="AN147" s="172">
        <f t="shared" ca="1" si="269"/>
        <v>6.9999999999999937E-2</v>
      </c>
      <c r="AO147" s="172">
        <f t="shared" ref="AO147:BH147" ca="1" si="270">(AO99-AO144)*Iout_V5CAN</f>
        <v>7.0000000000000104E-2</v>
      </c>
      <c r="AP147" s="172">
        <f t="shared" ca="1" si="270"/>
        <v>6.9999999999999937E-2</v>
      </c>
      <c r="AQ147" s="172">
        <f t="shared" ca="1" si="270"/>
        <v>7.0000000000000104E-2</v>
      </c>
      <c r="AR147" s="172">
        <f t="shared" ca="1" si="270"/>
        <v>6.9999999999999937E-2</v>
      </c>
      <c r="AS147" s="172">
        <f t="shared" ca="1" si="270"/>
        <v>6.9999999999999937E-2</v>
      </c>
      <c r="AT147" s="172">
        <f t="shared" ca="1" si="270"/>
        <v>6.9999999999999937E-2</v>
      </c>
      <c r="AU147" s="172">
        <f t="shared" ca="1" si="270"/>
        <v>6.9999999999999757E-2</v>
      </c>
      <c r="AV147" s="172">
        <f t="shared" ca="1" si="270"/>
        <v>6.9999999999999937E-2</v>
      </c>
      <c r="AW147" s="172">
        <f t="shared" ca="1" si="270"/>
        <v>6.9999999999999757E-2</v>
      </c>
      <c r="AX147" s="172">
        <f t="shared" ca="1" si="270"/>
        <v>6.9999999999999937E-2</v>
      </c>
      <c r="AY147" s="172">
        <f t="shared" ca="1" si="270"/>
        <v>6.9999999999999937E-2</v>
      </c>
      <c r="AZ147" s="172">
        <f t="shared" ca="1" si="270"/>
        <v>6.9999999999999937E-2</v>
      </c>
      <c r="BA147" s="172">
        <f t="shared" ca="1" si="270"/>
        <v>6.9999999999999937E-2</v>
      </c>
      <c r="BB147" s="172">
        <f t="shared" ca="1" si="270"/>
        <v>6.9999999999999937E-2</v>
      </c>
      <c r="BC147" s="172">
        <f t="shared" ca="1" si="270"/>
        <v>6.9999999999999937E-2</v>
      </c>
      <c r="BD147" s="172">
        <f t="shared" ca="1" si="270"/>
        <v>6.9999999999999937E-2</v>
      </c>
      <c r="BE147" s="172">
        <f t="shared" ca="1" si="270"/>
        <v>6.9999999999999937E-2</v>
      </c>
      <c r="BF147" s="172">
        <f t="shared" ca="1" si="270"/>
        <v>6.9999999999999937E-2</v>
      </c>
      <c r="BG147" s="172">
        <f t="shared" ca="1" si="270"/>
        <v>6.9999999999999937E-2</v>
      </c>
      <c r="BH147" s="172">
        <f t="shared" ca="1" si="270"/>
        <v>7.0000000000000104E-2</v>
      </c>
      <c r="BI147" s="15"/>
      <c r="BJ147" s="174"/>
    </row>
    <row r="148" spans="2:62" s="280" customFormat="1" x14ac:dyDescent="0.3">
      <c r="B148" s="281"/>
      <c r="C148" s="281"/>
      <c r="D148" s="281"/>
      <c r="E148" s="281"/>
      <c r="F148" s="281"/>
      <c r="G148" s="170" t="s">
        <v>257</v>
      </c>
      <c r="H148" s="15" t="s">
        <v>76</v>
      </c>
      <c r="I148" s="168">
        <f t="shared" ref="I148:AN148" ca="1" si="271">IF(I99-5&lt;I149*Iout_V5P,I99-I149*Iout_V5P,5)</f>
        <v>5</v>
      </c>
      <c r="J148" s="168">
        <f t="shared" ca="1" si="271"/>
        <v>5</v>
      </c>
      <c r="K148" s="168">
        <f t="shared" ca="1" si="271"/>
        <v>5</v>
      </c>
      <c r="L148" s="168">
        <f t="shared" ca="1" si="271"/>
        <v>5</v>
      </c>
      <c r="M148" s="168">
        <f t="shared" ca="1" si="271"/>
        <v>5</v>
      </c>
      <c r="N148" s="168">
        <f t="shared" ca="1" si="271"/>
        <v>5</v>
      </c>
      <c r="O148" s="168">
        <f t="shared" ca="1" si="271"/>
        <v>5</v>
      </c>
      <c r="P148" s="168">
        <f t="shared" ca="1" si="271"/>
        <v>5</v>
      </c>
      <c r="Q148" s="168">
        <f t="shared" ca="1" si="271"/>
        <v>5</v>
      </c>
      <c r="R148" s="168">
        <f t="shared" ca="1" si="271"/>
        <v>5</v>
      </c>
      <c r="S148" s="168">
        <f t="shared" ca="1" si="271"/>
        <v>5</v>
      </c>
      <c r="T148" s="168">
        <f t="shared" ca="1" si="271"/>
        <v>5</v>
      </c>
      <c r="U148" s="168">
        <f t="shared" ca="1" si="271"/>
        <v>5</v>
      </c>
      <c r="V148" s="168">
        <f t="shared" ca="1" si="271"/>
        <v>5</v>
      </c>
      <c r="W148" s="168">
        <f t="shared" ca="1" si="271"/>
        <v>5</v>
      </c>
      <c r="X148" s="168">
        <f t="shared" ca="1" si="271"/>
        <v>5</v>
      </c>
      <c r="Y148" s="168">
        <f t="shared" ca="1" si="271"/>
        <v>5</v>
      </c>
      <c r="Z148" s="168">
        <f t="shared" ca="1" si="271"/>
        <v>5</v>
      </c>
      <c r="AA148" s="168">
        <f t="shared" ca="1" si="271"/>
        <v>5</v>
      </c>
      <c r="AB148" s="168">
        <f t="shared" ca="1" si="271"/>
        <v>5</v>
      </c>
      <c r="AC148" s="168">
        <f t="shared" ca="1" si="271"/>
        <v>5</v>
      </c>
      <c r="AD148" s="168">
        <f t="shared" ca="1" si="271"/>
        <v>5</v>
      </c>
      <c r="AE148" s="168">
        <f t="shared" ca="1" si="271"/>
        <v>5</v>
      </c>
      <c r="AF148" s="168">
        <f t="shared" ca="1" si="271"/>
        <v>5</v>
      </c>
      <c r="AG148" s="168">
        <f t="shared" ca="1" si="271"/>
        <v>5</v>
      </c>
      <c r="AH148" s="168">
        <f t="shared" ca="1" si="271"/>
        <v>5</v>
      </c>
      <c r="AI148" s="168">
        <f t="shared" ca="1" si="271"/>
        <v>5</v>
      </c>
      <c r="AJ148" s="168">
        <f t="shared" ca="1" si="271"/>
        <v>5</v>
      </c>
      <c r="AK148" s="168">
        <f t="shared" ca="1" si="271"/>
        <v>5</v>
      </c>
      <c r="AL148" s="168">
        <f t="shared" ca="1" si="271"/>
        <v>5</v>
      </c>
      <c r="AM148" s="168">
        <f t="shared" ca="1" si="271"/>
        <v>5</v>
      </c>
      <c r="AN148" s="168">
        <f t="shared" ca="1" si="271"/>
        <v>5</v>
      </c>
      <c r="AO148" s="168">
        <f t="shared" ref="AO148:BH148" ca="1" si="272">IF(AO99-5&lt;AO149*Iout_V5P,AO99-AO149*Iout_V5P,5)</f>
        <v>5</v>
      </c>
      <c r="AP148" s="168">
        <f t="shared" ca="1" si="272"/>
        <v>5</v>
      </c>
      <c r="AQ148" s="168">
        <f t="shared" ca="1" si="272"/>
        <v>5</v>
      </c>
      <c r="AR148" s="168">
        <f t="shared" ca="1" si="272"/>
        <v>5</v>
      </c>
      <c r="AS148" s="168">
        <f t="shared" ca="1" si="272"/>
        <v>5</v>
      </c>
      <c r="AT148" s="168">
        <f t="shared" ca="1" si="272"/>
        <v>5</v>
      </c>
      <c r="AU148" s="168">
        <f t="shared" ca="1" si="272"/>
        <v>5</v>
      </c>
      <c r="AV148" s="168">
        <f t="shared" ca="1" si="272"/>
        <v>5</v>
      </c>
      <c r="AW148" s="168">
        <f t="shared" ca="1" si="272"/>
        <v>5</v>
      </c>
      <c r="AX148" s="168">
        <f t="shared" ca="1" si="272"/>
        <v>5</v>
      </c>
      <c r="AY148" s="168">
        <f t="shared" ca="1" si="272"/>
        <v>5</v>
      </c>
      <c r="AZ148" s="168">
        <f t="shared" ca="1" si="272"/>
        <v>5</v>
      </c>
      <c r="BA148" s="168">
        <f t="shared" ca="1" si="272"/>
        <v>5</v>
      </c>
      <c r="BB148" s="168">
        <f t="shared" ca="1" si="272"/>
        <v>5</v>
      </c>
      <c r="BC148" s="168">
        <f t="shared" ca="1" si="272"/>
        <v>5</v>
      </c>
      <c r="BD148" s="168">
        <f t="shared" ca="1" si="272"/>
        <v>5</v>
      </c>
      <c r="BE148" s="168">
        <f t="shared" ca="1" si="272"/>
        <v>5</v>
      </c>
      <c r="BF148" s="168">
        <f t="shared" ca="1" si="272"/>
        <v>5</v>
      </c>
      <c r="BG148" s="168">
        <f t="shared" ca="1" si="272"/>
        <v>5</v>
      </c>
      <c r="BH148" s="168">
        <f t="shared" ca="1" si="272"/>
        <v>5</v>
      </c>
      <c r="BI148" s="15" t="s">
        <v>76</v>
      </c>
      <c r="BJ148" s="174"/>
    </row>
    <row r="149" spans="2:62" s="280" customFormat="1" x14ac:dyDescent="0.3">
      <c r="B149" s="281"/>
      <c r="C149" s="281"/>
      <c r="D149" s="281"/>
      <c r="E149" s="281"/>
      <c r="F149" s="281"/>
      <c r="G149" s="170"/>
      <c r="H149" s="15" t="s">
        <v>74</v>
      </c>
      <c r="I149" s="190">
        <f t="shared" ref="I149:AN149" ca="1" si="273">(Rds_ON_V5P_150-Rds_ON_V5P_min40)/190*(I89-150)+Rds_ON_V5P_150</f>
        <v>0.67222727883847211</v>
      </c>
      <c r="J149" s="190">
        <f t="shared" ca="1" si="273"/>
        <v>0.66511406290596808</v>
      </c>
      <c r="K149" s="190">
        <f t="shared" ca="1" si="273"/>
        <v>0.66511169821117466</v>
      </c>
      <c r="L149" s="190">
        <f t="shared" ca="1" si="273"/>
        <v>0.6651466450188811</v>
      </c>
      <c r="M149" s="190">
        <f t="shared" ca="1" si="273"/>
        <v>0.66521617292033908</v>
      </c>
      <c r="N149" s="190">
        <f t="shared" ca="1" si="273"/>
        <v>0.66531795040810271</v>
      </c>
      <c r="O149" s="190">
        <f t="shared" ca="1" si="273"/>
        <v>0.66493752283587315</v>
      </c>
      <c r="P149" s="190">
        <f t="shared" ca="1" si="273"/>
        <v>0.66511461221401991</v>
      </c>
      <c r="Q149" s="190">
        <f t="shared" ca="1" si="273"/>
        <v>0.66531765209173765</v>
      </c>
      <c r="R149" s="190">
        <f t="shared" ca="1" si="273"/>
        <v>0.66554542608849176</v>
      </c>
      <c r="S149" s="190">
        <f t="shared" ca="1" si="273"/>
        <v>0.66579686601302879</v>
      </c>
      <c r="T149" s="190">
        <f t="shared" ca="1" si="273"/>
        <v>0.66607102968039855</v>
      </c>
      <c r="U149" s="190">
        <f t="shared" ca="1" si="273"/>
        <v>0.66636708263635347</v>
      </c>
      <c r="V149" s="190">
        <f t="shared" ca="1" si="273"/>
        <v>0.66668428300344018</v>
      </c>
      <c r="W149" s="190">
        <f t="shared" ca="1" si="273"/>
        <v>0.66702196883946185</v>
      </c>
      <c r="X149" s="190">
        <f t="shared" ca="1" si="273"/>
        <v>0.66737954753190842</v>
      </c>
      <c r="Y149" s="190">
        <f t="shared" ca="1" si="273"/>
        <v>0.66775648685300693</v>
      </c>
      <c r="Z149" s="190">
        <f t="shared" ca="1" si="273"/>
        <v>0.66815230737752673</v>
      </c>
      <c r="AA149" s="190">
        <f t="shared" ca="1" si="273"/>
        <v>0.66856657602534375</v>
      </c>
      <c r="AB149" s="190">
        <f t="shared" ca="1" si="273"/>
        <v>0.66899890053738353</v>
      </c>
      <c r="AC149" s="190">
        <f t="shared" ca="1" si="273"/>
        <v>0.66944892473010509</v>
      </c>
      <c r="AD149" s="190">
        <f t="shared" ca="1" si="273"/>
        <v>0.66991632440253324</v>
      </c>
      <c r="AE149" s="190">
        <f t="shared" ca="1" si="273"/>
        <v>0.67040080379275602</v>
      </c>
      <c r="AF149" s="190">
        <f t="shared" ca="1" si="273"/>
        <v>0.67090209249911281</v>
      </c>
      <c r="AG149" s="190">
        <f t="shared" ca="1" si="273"/>
        <v>0.67141994279600703</v>
      </c>
      <c r="AH149" s="190">
        <f t="shared" ca="1" si="273"/>
        <v>0.67195412728616988</v>
      </c>
      <c r="AI149" s="190">
        <f t="shared" ca="1" si="273"/>
        <v>0.67250443684085148</v>
      </c>
      <c r="AJ149" s="190">
        <f t="shared" ca="1" si="273"/>
        <v>0.67307067878730231</v>
      </c>
      <c r="AK149" s="190">
        <f t="shared" ca="1" si="273"/>
        <v>0.6736526753093629</v>
      </c>
      <c r="AL149" s="190">
        <f t="shared" ca="1" si="273"/>
        <v>0.67425026203231297</v>
      </c>
      <c r="AM149" s="190">
        <f t="shared" ca="1" si="273"/>
        <v>0.67486328676752638</v>
      </c>
      <c r="AN149" s="190">
        <f t="shared" ca="1" si="273"/>
        <v>0.67549160839614242</v>
      </c>
      <c r="AO149" s="190">
        <f t="shared" ref="AO149:BH149" ca="1" si="274">(Rds_ON_V5P_150-Rds_ON_V5P_min40)/190*(AO89-150)+Rds_ON_V5P_150</f>
        <v>0.6761350958740141</v>
      </c>
      <c r="AP149" s="190">
        <f t="shared" ca="1" si="274"/>
        <v>0.67679362734274728</v>
      </c>
      <c r="AQ149" s="190">
        <f t="shared" ca="1" si="274"/>
        <v>0.67746708933379041</v>
      </c>
      <c r="AR149" s="190">
        <f t="shared" ca="1" si="274"/>
        <v>0.67815537605434606</v>
      </c>
      <c r="AS149" s="190">
        <f t="shared" ca="1" si="274"/>
        <v>0.67885838874540327</v>
      </c>
      <c r="AT149" s="190">
        <f t="shared" ca="1" si="274"/>
        <v>0.67957603510348918</v>
      </c>
      <c r="AU149" s="190">
        <f t="shared" ca="1" si="274"/>
        <v>0.680308228758844</v>
      </c>
      <c r="AV149" s="190">
        <f t="shared" ca="1" si="274"/>
        <v>0.6810548888036686</v>
      </c>
      <c r="AW149" s="190">
        <f t="shared" ca="1" si="274"/>
        <v>0.68181593936489804</v>
      </c>
      <c r="AX149" s="190">
        <f t="shared" ca="1" si="274"/>
        <v>0.68259130921665412</v>
      </c>
      <c r="AY149" s="190">
        <f t="shared" ca="1" si="274"/>
        <v>0.68338093142811984</v>
      </c>
      <c r="AZ149" s="190">
        <f t="shared" ca="1" si="274"/>
        <v>0.68418474304310106</v>
      </c>
      <c r="BA149" s="190">
        <f t="shared" ca="1" si="274"/>
        <v>0.6850026847879831</v>
      </c>
      <c r="BB149" s="190">
        <f t="shared" ca="1" si="274"/>
        <v>0.68583470080517484</v>
      </c>
      <c r="BC149" s="190">
        <f t="shared" ca="1" si="274"/>
        <v>0.68668073840947497</v>
      </c>
      <c r="BD149" s="190">
        <f t="shared" ca="1" si="274"/>
        <v>0.68754074786508046</v>
      </c>
      <c r="BE149" s="190">
        <f t="shared" ca="1" si="274"/>
        <v>0.68841468218122048</v>
      </c>
      <c r="BF149" s="190">
        <f t="shared" ca="1" si="274"/>
        <v>0.68930249692461609</v>
      </c>
      <c r="BG149" s="190">
        <f t="shared" ca="1" si="274"/>
        <v>0.69020415004716629</v>
      </c>
      <c r="BH149" s="190">
        <f t="shared" ca="1" si="274"/>
        <v>0.72279036737913116</v>
      </c>
      <c r="BI149" s="15" t="s">
        <v>74</v>
      </c>
      <c r="BJ149" s="174"/>
    </row>
    <row r="150" spans="2:62" s="280" customFormat="1" x14ac:dyDescent="0.3">
      <c r="B150" s="281"/>
      <c r="C150" s="281"/>
      <c r="D150" s="281"/>
      <c r="E150" s="281"/>
      <c r="F150" s="281"/>
      <c r="G150" s="170"/>
      <c r="H150" s="187" t="s">
        <v>96</v>
      </c>
      <c r="I150" s="198">
        <f t="shared" ref="I150:AN150" ca="1" si="275">I99-I148</f>
        <v>0.34999999999999964</v>
      </c>
      <c r="J150" s="198">
        <f t="shared" ca="1" si="275"/>
        <v>0.34999999999999964</v>
      </c>
      <c r="K150" s="198">
        <f t="shared" ca="1" si="275"/>
        <v>0.34999999999999964</v>
      </c>
      <c r="L150" s="198">
        <f t="shared" ca="1" si="275"/>
        <v>0.34999999999999964</v>
      </c>
      <c r="M150" s="198">
        <f t="shared" ca="1" si="275"/>
        <v>0.34999999999999964</v>
      </c>
      <c r="N150" s="198">
        <f t="shared" ca="1" si="275"/>
        <v>0.34999999999999964</v>
      </c>
      <c r="O150" s="198">
        <f t="shared" ca="1" si="275"/>
        <v>0.34999999999999964</v>
      </c>
      <c r="P150" s="198">
        <f t="shared" ca="1" si="275"/>
        <v>0.34999999999999964</v>
      </c>
      <c r="Q150" s="198">
        <f t="shared" ca="1" si="275"/>
        <v>0.34999999999999964</v>
      </c>
      <c r="R150" s="198">
        <f t="shared" ca="1" si="275"/>
        <v>0.34999999999999964</v>
      </c>
      <c r="S150" s="198">
        <f t="shared" ca="1" si="275"/>
        <v>0.34999999999999964</v>
      </c>
      <c r="T150" s="198">
        <f t="shared" ca="1" si="275"/>
        <v>0.34999999999999964</v>
      </c>
      <c r="U150" s="198">
        <f t="shared" ca="1" si="275"/>
        <v>0.34999999999999964</v>
      </c>
      <c r="V150" s="198">
        <f t="shared" ca="1" si="275"/>
        <v>0.35000000000000053</v>
      </c>
      <c r="W150" s="198">
        <f t="shared" ca="1" si="275"/>
        <v>0.34999999999999964</v>
      </c>
      <c r="X150" s="198">
        <f t="shared" ca="1" si="275"/>
        <v>0.34999999999999964</v>
      </c>
      <c r="Y150" s="198">
        <f t="shared" ca="1" si="275"/>
        <v>0.34999999999999964</v>
      </c>
      <c r="Z150" s="198">
        <f t="shared" ca="1" si="275"/>
        <v>0.35000000000000053</v>
      </c>
      <c r="AA150" s="198">
        <f t="shared" ca="1" si="275"/>
        <v>0.34999999999999964</v>
      </c>
      <c r="AB150" s="198">
        <f t="shared" ca="1" si="275"/>
        <v>0.35000000000000142</v>
      </c>
      <c r="AC150" s="198">
        <f t="shared" ca="1" si="275"/>
        <v>0.34999999999999964</v>
      </c>
      <c r="AD150" s="198">
        <f t="shared" ca="1" si="275"/>
        <v>0.34999999999999964</v>
      </c>
      <c r="AE150" s="198">
        <f t="shared" ca="1" si="275"/>
        <v>0.35000000000000053</v>
      </c>
      <c r="AF150" s="198">
        <f t="shared" ca="1" si="275"/>
        <v>0.34999999999999964</v>
      </c>
      <c r="AG150" s="198">
        <f t="shared" ca="1" si="275"/>
        <v>0.34999999999999964</v>
      </c>
      <c r="AH150" s="198">
        <f t="shared" ca="1" si="275"/>
        <v>0.34999999999999964</v>
      </c>
      <c r="AI150" s="198">
        <f t="shared" ca="1" si="275"/>
        <v>0.34999999999999876</v>
      </c>
      <c r="AJ150" s="198">
        <f t="shared" ca="1" si="275"/>
        <v>0.34999999999999964</v>
      </c>
      <c r="AK150" s="198">
        <f t="shared" ca="1" si="275"/>
        <v>0.34999999999999964</v>
      </c>
      <c r="AL150" s="198">
        <f t="shared" ca="1" si="275"/>
        <v>0.34999999999999964</v>
      </c>
      <c r="AM150" s="198">
        <f t="shared" ca="1" si="275"/>
        <v>0.34999999999999964</v>
      </c>
      <c r="AN150" s="198">
        <f t="shared" ca="1" si="275"/>
        <v>0.34999999999999964</v>
      </c>
      <c r="AO150" s="198">
        <f t="shared" ref="AO150:BH150" ca="1" si="276">AO99-AO148</f>
        <v>0.35000000000000053</v>
      </c>
      <c r="AP150" s="198">
        <f t="shared" ca="1" si="276"/>
        <v>0.34999999999999964</v>
      </c>
      <c r="AQ150" s="198">
        <f t="shared" ca="1" si="276"/>
        <v>0.35000000000000053</v>
      </c>
      <c r="AR150" s="198">
        <f t="shared" ca="1" si="276"/>
        <v>0.34999999999999964</v>
      </c>
      <c r="AS150" s="198">
        <f t="shared" ca="1" si="276"/>
        <v>0.34999999999999964</v>
      </c>
      <c r="AT150" s="198">
        <f t="shared" ca="1" si="276"/>
        <v>0.34999999999999964</v>
      </c>
      <c r="AU150" s="198">
        <f t="shared" ca="1" si="276"/>
        <v>0.34999999999999876</v>
      </c>
      <c r="AV150" s="198">
        <f t="shared" ca="1" si="276"/>
        <v>0.34999999999999964</v>
      </c>
      <c r="AW150" s="198">
        <f t="shared" ca="1" si="276"/>
        <v>0.34999999999999876</v>
      </c>
      <c r="AX150" s="198">
        <f t="shared" ca="1" si="276"/>
        <v>0.34999999999999964</v>
      </c>
      <c r="AY150" s="198">
        <f t="shared" ca="1" si="276"/>
        <v>0.34999999999999964</v>
      </c>
      <c r="AZ150" s="198">
        <f t="shared" ca="1" si="276"/>
        <v>0.34999999999999964</v>
      </c>
      <c r="BA150" s="198">
        <f t="shared" ca="1" si="276"/>
        <v>0.34999999999999964</v>
      </c>
      <c r="BB150" s="198">
        <f t="shared" ca="1" si="276"/>
        <v>0.34999999999999964</v>
      </c>
      <c r="BC150" s="198">
        <f t="shared" ca="1" si="276"/>
        <v>0.34999999999999964</v>
      </c>
      <c r="BD150" s="198">
        <f t="shared" ca="1" si="276"/>
        <v>0.34999999999999964</v>
      </c>
      <c r="BE150" s="198">
        <f t="shared" ca="1" si="276"/>
        <v>0.34999999999999964</v>
      </c>
      <c r="BF150" s="198">
        <f t="shared" ca="1" si="276"/>
        <v>0.34999999999999964</v>
      </c>
      <c r="BG150" s="198">
        <f t="shared" ca="1" si="276"/>
        <v>0.34999999999999964</v>
      </c>
      <c r="BH150" s="198">
        <f t="shared" ca="1" si="276"/>
        <v>0.35000000000000053</v>
      </c>
      <c r="BI150" s="187" t="s">
        <v>96</v>
      </c>
      <c r="BJ150" s="174"/>
    </row>
    <row r="151" spans="2:62" s="280" customFormat="1" x14ac:dyDescent="0.3">
      <c r="B151" s="281"/>
      <c r="C151" s="281"/>
      <c r="D151" s="281"/>
      <c r="E151" s="281"/>
      <c r="F151" s="281"/>
      <c r="G151" s="170"/>
      <c r="H151" s="15" t="s">
        <v>75</v>
      </c>
      <c r="I151" s="172">
        <f t="shared" ref="I151:AN151" ca="1" si="277">(I99-I148)*Iout_V5P</f>
        <v>2.6249999999999971E-2</v>
      </c>
      <c r="J151" s="172">
        <f t="shared" ca="1" si="277"/>
        <v>2.6249999999999971E-2</v>
      </c>
      <c r="K151" s="172">
        <f t="shared" ca="1" si="277"/>
        <v>2.6249999999999971E-2</v>
      </c>
      <c r="L151" s="172">
        <f t="shared" ca="1" si="277"/>
        <v>2.6249999999999971E-2</v>
      </c>
      <c r="M151" s="172">
        <f t="shared" ca="1" si="277"/>
        <v>2.6249999999999971E-2</v>
      </c>
      <c r="N151" s="172">
        <f t="shared" ca="1" si="277"/>
        <v>2.6249999999999971E-2</v>
      </c>
      <c r="O151" s="172">
        <f t="shared" ca="1" si="277"/>
        <v>2.6249999999999971E-2</v>
      </c>
      <c r="P151" s="172">
        <f t="shared" ca="1" si="277"/>
        <v>2.6249999999999971E-2</v>
      </c>
      <c r="Q151" s="172">
        <f t="shared" ca="1" si="277"/>
        <v>2.6249999999999971E-2</v>
      </c>
      <c r="R151" s="172">
        <f t="shared" ca="1" si="277"/>
        <v>2.6249999999999971E-2</v>
      </c>
      <c r="S151" s="172">
        <f t="shared" ca="1" si="277"/>
        <v>2.6249999999999971E-2</v>
      </c>
      <c r="T151" s="172">
        <f t="shared" ca="1" si="277"/>
        <v>2.6249999999999971E-2</v>
      </c>
      <c r="U151" s="172">
        <f t="shared" ca="1" si="277"/>
        <v>2.6249999999999971E-2</v>
      </c>
      <c r="V151" s="172">
        <f t="shared" ca="1" si="277"/>
        <v>2.6250000000000041E-2</v>
      </c>
      <c r="W151" s="172">
        <f t="shared" ca="1" si="277"/>
        <v>2.6249999999999971E-2</v>
      </c>
      <c r="X151" s="172">
        <f t="shared" ca="1" si="277"/>
        <v>2.6249999999999971E-2</v>
      </c>
      <c r="Y151" s="172">
        <f t="shared" ca="1" si="277"/>
        <v>2.6249999999999971E-2</v>
      </c>
      <c r="Z151" s="172">
        <f t="shared" ca="1" si="277"/>
        <v>2.6250000000000041E-2</v>
      </c>
      <c r="AA151" s="172">
        <f t="shared" ca="1" si="277"/>
        <v>2.6249999999999971E-2</v>
      </c>
      <c r="AB151" s="172">
        <f t="shared" ca="1" si="277"/>
        <v>2.6250000000000107E-2</v>
      </c>
      <c r="AC151" s="172">
        <f t="shared" ca="1" si="277"/>
        <v>2.6249999999999971E-2</v>
      </c>
      <c r="AD151" s="172">
        <f t="shared" ca="1" si="277"/>
        <v>2.6249999999999971E-2</v>
      </c>
      <c r="AE151" s="172">
        <f t="shared" ca="1" si="277"/>
        <v>2.6250000000000041E-2</v>
      </c>
      <c r="AF151" s="172">
        <f t="shared" ca="1" si="277"/>
        <v>2.6249999999999971E-2</v>
      </c>
      <c r="AG151" s="172">
        <f t="shared" ca="1" si="277"/>
        <v>2.6249999999999971E-2</v>
      </c>
      <c r="AH151" s="172">
        <f t="shared" ca="1" si="277"/>
        <v>2.6249999999999971E-2</v>
      </c>
      <c r="AI151" s="172">
        <f t="shared" ca="1" si="277"/>
        <v>2.6249999999999905E-2</v>
      </c>
      <c r="AJ151" s="172">
        <f t="shared" ca="1" si="277"/>
        <v>2.6249999999999971E-2</v>
      </c>
      <c r="AK151" s="172">
        <f t="shared" ca="1" si="277"/>
        <v>2.6249999999999971E-2</v>
      </c>
      <c r="AL151" s="172">
        <f t="shared" ca="1" si="277"/>
        <v>2.6249999999999971E-2</v>
      </c>
      <c r="AM151" s="172">
        <f t="shared" ca="1" si="277"/>
        <v>2.6249999999999971E-2</v>
      </c>
      <c r="AN151" s="172">
        <f t="shared" ca="1" si="277"/>
        <v>2.6249999999999971E-2</v>
      </c>
      <c r="AO151" s="172">
        <f t="shared" ref="AO151:BH151" ca="1" si="278">(AO99-AO148)*Iout_V5P</f>
        <v>2.6250000000000041E-2</v>
      </c>
      <c r="AP151" s="172">
        <f t="shared" ca="1" si="278"/>
        <v>2.6249999999999971E-2</v>
      </c>
      <c r="AQ151" s="172">
        <f t="shared" ca="1" si="278"/>
        <v>2.6250000000000041E-2</v>
      </c>
      <c r="AR151" s="172">
        <f t="shared" ca="1" si="278"/>
        <v>2.6249999999999971E-2</v>
      </c>
      <c r="AS151" s="172">
        <f t="shared" ca="1" si="278"/>
        <v>2.6249999999999971E-2</v>
      </c>
      <c r="AT151" s="172">
        <f t="shared" ca="1" si="278"/>
        <v>2.6249999999999971E-2</v>
      </c>
      <c r="AU151" s="172">
        <f t="shared" ca="1" si="278"/>
        <v>2.6249999999999905E-2</v>
      </c>
      <c r="AV151" s="172">
        <f t="shared" ca="1" si="278"/>
        <v>2.6249999999999971E-2</v>
      </c>
      <c r="AW151" s="172">
        <f t="shared" ca="1" si="278"/>
        <v>2.6249999999999905E-2</v>
      </c>
      <c r="AX151" s="172">
        <f t="shared" ca="1" si="278"/>
        <v>2.6249999999999971E-2</v>
      </c>
      <c r="AY151" s="172">
        <f t="shared" ca="1" si="278"/>
        <v>2.6249999999999971E-2</v>
      </c>
      <c r="AZ151" s="172">
        <f t="shared" ca="1" si="278"/>
        <v>2.6249999999999971E-2</v>
      </c>
      <c r="BA151" s="172">
        <f t="shared" ca="1" si="278"/>
        <v>2.6249999999999971E-2</v>
      </c>
      <c r="BB151" s="172">
        <f t="shared" ca="1" si="278"/>
        <v>2.6249999999999971E-2</v>
      </c>
      <c r="BC151" s="172">
        <f t="shared" ca="1" si="278"/>
        <v>2.6249999999999971E-2</v>
      </c>
      <c r="BD151" s="172">
        <f t="shared" ca="1" si="278"/>
        <v>2.6249999999999971E-2</v>
      </c>
      <c r="BE151" s="172">
        <f t="shared" ca="1" si="278"/>
        <v>2.6249999999999971E-2</v>
      </c>
      <c r="BF151" s="172">
        <f t="shared" ca="1" si="278"/>
        <v>2.6249999999999971E-2</v>
      </c>
      <c r="BG151" s="172">
        <f t="shared" ca="1" si="278"/>
        <v>2.6249999999999971E-2</v>
      </c>
      <c r="BH151" s="172">
        <f t="shared" ca="1" si="278"/>
        <v>2.6250000000000041E-2</v>
      </c>
      <c r="BI151" s="15" t="s">
        <v>75</v>
      </c>
      <c r="BJ151" s="174"/>
    </row>
    <row r="152" spans="2:62" s="280" customFormat="1" x14ac:dyDescent="0.3">
      <c r="B152" s="281"/>
      <c r="C152" s="281"/>
      <c r="D152" s="281"/>
      <c r="E152" s="281"/>
      <c r="F152" s="281"/>
      <c r="G152" s="170" t="s">
        <v>52</v>
      </c>
      <c r="H152" s="15" t="s">
        <v>67</v>
      </c>
      <c r="I152" s="191">
        <f t="shared" ref="I152" ca="1" si="279">I155*RTHavg_Vd+Ta</f>
        <v>143.38448652702658</v>
      </c>
      <c r="J152" s="191">
        <f t="shared" ref="J152:AO152" ca="1" si="280">J155*RTHavg_Vd+Ta</f>
        <v>127.73499179817318</v>
      </c>
      <c r="K152" s="191">
        <f t="shared" ca="1" si="280"/>
        <v>129.0006879479962</v>
      </c>
      <c r="L152" s="191">
        <f t="shared" ca="1" si="280"/>
        <v>130.16495358669917</v>
      </c>
      <c r="M152" s="191">
        <f t="shared" ca="1" si="280"/>
        <v>131.23946047686874</v>
      </c>
      <c r="N152" s="191">
        <f t="shared" ca="1" si="280"/>
        <v>132.23416280490252</v>
      </c>
      <c r="O152" s="191">
        <f t="shared" ca="1" si="280"/>
        <v>133.1967791972088</v>
      </c>
      <c r="P152" s="191">
        <f t="shared" ca="1" si="280"/>
        <v>134.05364808464384</v>
      </c>
      <c r="Q152" s="191">
        <f t="shared" ca="1" si="280"/>
        <v>134.85327296571305</v>
      </c>
      <c r="R152" s="191">
        <f t="shared" ca="1" si="280"/>
        <v>135.6011878003805</v>
      </c>
      <c r="S152" s="191">
        <f t="shared" ca="1" si="280"/>
        <v>136.30223750316233</v>
      </c>
      <c r="T152" s="191">
        <f t="shared" ca="1" si="280"/>
        <v>136.96068166293509</v>
      </c>
      <c r="U152" s="191">
        <f t="shared" ca="1" si="280"/>
        <v>137.58028012283339</v>
      </c>
      <c r="V152" s="191">
        <f t="shared" ca="1" si="280"/>
        <v>138.16436400768549</v>
      </c>
      <c r="W152" s="191">
        <f t="shared" ca="1" si="280"/>
        <v>138.71589499978938</v>
      </c>
      <c r="X152" s="191">
        <f t="shared" ca="1" si="280"/>
        <v>139.23751506562382</v>
      </c>
      <c r="Y152" s="191">
        <f t="shared" ca="1" si="280"/>
        <v>139.73158837757572</v>
      </c>
      <c r="Z152" s="191">
        <f t="shared" ca="1" si="280"/>
        <v>140.2002368206895</v>
      </c>
      <c r="AA152" s="191">
        <f t="shared" ca="1" si="280"/>
        <v>140.64537019908303</v>
      </c>
      <c r="AB152" s="191">
        <f t="shared" ca="1" si="280"/>
        <v>141.06871204108495</v>
      </c>
      <c r="AC152" s="191">
        <f t="shared" ca="1" si="280"/>
        <v>141.4718217322816</v>
      </c>
      <c r="AD152" s="191">
        <f t="shared" ca="1" si="280"/>
        <v>141.85611357101024</v>
      </c>
      <c r="AE152" s="191">
        <f t="shared" ca="1" si="280"/>
        <v>142.22287323347936</v>
      </c>
      <c r="AF152" s="191">
        <f t="shared" ca="1" si="280"/>
        <v>142.57327204963801</v>
      </c>
      <c r="AG152" s="191">
        <f t="shared" ca="1" si="280"/>
        <v>142.90837942156384</v>
      </c>
      <c r="AH152" s="191">
        <f t="shared" ca="1" si="280"/>
        <v>143.22917365997401</v>
      </c>
      <c r="AI152" s="191">
        <f t="shared" ca="1" si="280"/>
        <v>143.53655146875883</v>
      </c>
      <c r="AJ152" s="191">
        <f t="shared" ca="1" si="280"/>
        <v>143.83133627007587</v>
      </c>
      <c r="AK152" s="191">
        <f t="shared" ca="1" si="280"/>
        <v>144.11428553186826</v>
      </c>
      <c r="AL152" s="191">
        <f t="shared" ca="1" si="280"/>
        <v>144.38609723437909</v>
      </c>
      <c r="AM152" s="191">
        <f t="shared" ca="1" si="280"/>
        <v>144.64741559129934</v>
      </c>
      <c r="AN152" s="191">
        <f t="shared" ca="1" si="280"/>
        <v>144.8988361237902</v>
      </c>
      <c r="AO152" s="191">
        <f t="shared" ca="1" si="280"/>
        <v>145.14091017111051</v>
      </c>
      <c r="AP152" s="191">
        <f t="shared" ref="AP152:BH152" ca="1" si="281">AP155*RTHavg_Vd+Ta</f>
        <v>145.37414890943589</v>
      </c>
      <c r="AQ152" s="191">
        <f t="shared" ca="1" si="281"/>
        <v>145.59902694025502</v>
      </c>
      <c r="AR152" s="191">
        <f t="shared" ca="1" si="281"/>
        <v>145.81598550113438</v>
      </c>
      <c r="AS152" s="191">
        <f t="shared" ca="1" si="281"/>
        <v>146.02543534437589</v>
      </c>
      <c r="AT152" s="191">
        <f t="shared" ca="1" si="281"/>
        <v>146.22775932293177</v>
      </c>
      <c r="AU152" s="191">
        <f t="shared" ca="1" si="281"/>
        <v>146.4233147177018</v>
      </c>
      <c r="AV152" s="191">
        <f t="shared" ca="1" si="281"/>
        <v>146.61243533586952</v>
      </c>
      <c r="AW152" s="191">
        <f t="shared" ca="1" si="281"/>
        <v>146.79543340611315</v>
      </c>
      <c r="AX152" s="191">
        <f t="shared" ca="1" si="281"/>
        <v>146.97260129325062</v>
      </c>
      <c r="AY152" s="191">
        <f t="shared" ca="1" si="281"/>
        <v>147.14421305206116</v>
      </c>
      <c r="AZ152" s="191">
        <f t="shared" ca="1" si="281"/>
        <v>147.31052583759907</v>
      </c>
      <c r="BA152" s="191">
        <f t="shared" ca="1" si="281"/>
        <v>147.47178118721777</v>
      </c>
      <c r="BB152" s="191">
        <f t="shared" ca="1" si="281"/>
        <v>147.62820618770692</v>
      </c>
      <c r="BC152" s="191">
        <f t="shared" ca="1" si="281"/>
        <v>147.78001453937006</v>
      </c>
      <c r="BD152" s="191">
        <f t="shared" ca="1" si="281"/>
        <v>147.9274075274987</v>
      </c>
      <c r="BE152" s="191">
        <f t="shared" ca="1" si="281"/>
        <v>148.0705749105054</v>
      </c>
      <c r="BF152" s="191">
        <f t="shared" ca="1" si="281"/>
        <v>148.2096957329349</v>
      </c>
      <c r="BG152" s="191">
        <f t="shared" ca="1" si="281"/>
        <v>148.34493907065863</v>
      </c>
      <c r="BH152" s="191">
        <f t="shared" ca="1" si="281"/>
        <v>153.18805097524651</v>
      </c>
      <c r="BI152" s="15" t="s">
        <v>67</v>
      </c>
      <c r="BJ152" s="174"/>
    </row>
    <row r="153" spans="2:62" s="280" customFormat="1" x14ac:dyDescent="0.3">
      <c r="B153" s="281"/>
      <c r="C153" s="281"/>
      <c r="D153" s="281"/>
      <c r="E153" s="281"/>
      <c r="F153" s="281"/>
      <c r="G153" s="170"/>
      <c r="H153" s="15" t="s">
        <v>93</v>
      </c>
      <c r="I153" s="180">
        <f t="shared" ref="I153:AN153" ca="1" si="282">I102-I103/2</f>
        <v>0.83065420560747671</v>
      </c>
      <c r="J153" s="180">
        <f t="shared" ca="1" si="282"/>
        <v>0.83065420560747671</v>
      </c>
      <c r="K153" s="180">
        <f t="shared" ca="1" si="282"/>
        <v>0.83065420560747671</v>
      </c>
      <c r="L153" s="180">
        <f t="shared" ca="1" si="282"/>
        <v>0.83065420560747671</v>
      </c>
      <c r="M153" s="180">
        <f t="shared" ca="1" si="282"/>
        <v>0.83065420560747683</v>
      </c>
      <c r="N153" s="180">
        <f t="shared" ca="1" si="282"/>
        <v>0.83065420560747671</v>
      </c>
      <c r="O153" s="180">
        <f t="shared" ca="1" si="282"/>
        <v>0.83065420560747671</v>
      </c>
      <c r="P153" s="180">
        <f t="shared" ca="1" si="282"/>
        <v>0.83065420560747671</v>
      </c>
      <c r="Q153" s="180">
        <f t="shared" ca="1" si="282"/>
        <v>0.83065420560747671</v>
      </c>
      <c r="R153" s="180">
        <f t="shared" ca="1" si="282"/>
        <v>0.83065420560747671</v>
      </c>
      <c r="S153" s="180">
        <f t="shared" ca="1" si="282"/>
        <v>0.83065420560747671</v>
      </c>
      <c r="T153" s="180">
        <f t="shared" ca="1" si="282"/>
        <v>0.83065420560747671</v>
      </c>
      <c r="U153" s="180">
        <f t="shared" ca="1" si="282"/>
        <v>0.83065420560747671</v>
      </c>
      <c r="V153" s="180">
        <f t="shared" ca="1" si="282"/>
        <v>0.83065420560747671</v>
      </c>
      <c r="W153" s="180">
        <f t="shared" ca="1" si="282"/>
        <v>0.83065420560747671</v>
      </c>
      <c r="X153" s="180">
        <f t="shared" ca="1" si="282"/>
        <v>0.83065420560747671</v>
      </c>
      <c r="Y153" s="180">
        <f t="shared" ca="1" si="282"/>
        <v>0.83065420560747671</v>
      </c>
      <c r="Z153" s="180">
        <f t="shared" ca="1" si="282"/>
        <v>0.83065420560747671</v>
      </c>
      <c r="AA153" s="180">
        <f t="shared" ca="1" si="282"/>
        <v>0.83065420560747683</v>
      </c>
      <c r="AB153" s="180">
        <f t="shared" ca="1" si="282"/>
        <v>0.8306542056074766</v>
      </c>
      <c r="AC153" s="180">
        <f t="shared" ca="1" si="282"/>
        <v>0.83065420560747671</v>
      </c>
      <c r="AD153" s="180">
        <f t="shared" ca="1" si="282"/>
        <v>0.83065420560747671</v>
      </c>
      <c r="AE153" s="180">
        <f t="shared" ca="1" si="282"/>
        <v>0.8306542056074766</v>
      </c>
      <c r="AF153" s="180">
        <f t="shared" ca="1" si="282"/>
        <v>0.83065420560747671</v>
      </c>
      <c r="AG153" s="180">
        <f t="shared" ca="1" si="282"/>
        <v>0.83065420560747671</v>
      </c>
      <c r="AH153" s="180">
        <f t="shared" ca="1" si="282"/>
        <v>0.83065420560747671</v>
      </c>
      <c r="AI153" s="180">
        <f t="shared" ca="1" si="282"/>
        <v>0.8306542056074766</v>
      </c>
      <c r="AJ153" s="180">
        <f t="shared" ca="1" si="282"/>
        <v>0.83065420560747671</v>
      </c>
      <c r="AK153" s="180">
        <f t="shared" ca="1" si="282"/>
        <v>0.8306542056074766</v>
      </c>
      <c r="AL153" s="180">
        <f t="shared" ca="1" si="282"/>
        <v>0.8306542056074766</v>
      </c>
      <c r="AM153" s="180">
        <f t="shared" ca="1" si="282"/>
        <v>0.83065420560747671</v>
      </c>
      <c r="AN153" s="180">
        <f t="shared" ca="1" si="282"/>
        <v>0.8306542056074766</v>
      </c>
      <c r="AO153" s="180">
        <f t="shared" ref="AO153:BH153" ca="1" si="283">AO102-AO103/2</f>
        <v>0.8306542056074766</v>
      </c>
      <c r="AP153" s="180">
        <f t="shared" ca="1" si="283"/>
        <v>0.83065420560747671</v>
      </c>
      <c r="AQ153" s="180">
        <f t="shared" ca="1" si="283"/>
        <v>0.83065420560747671</v>
      </c>
      <c r="AR153" s="180">
        <f t="shared" ca="1" si="283"/>
        <v>0.83065420560747671</v>
      </c>
      <c r="AS153" s="180">
        <f t="shared" ca="1" si="283"/>
        <v>0.83065420560747683</v>
      </c>
      <c r="AT153" s="180">
        <f t="shared" ca="1" si="283"/>
        <v>0.83065420560747683</v>
      </c>
      <c r="AU153" s="180">
        <f t="shared" ca="1" si="283"/>
        <v>0.8306542056074766</v>
      </c>
      <c r="AV153" s="180">
        <f t="shared" ca="1" si="283"/>
        <v>0.8306542056074766</v>
      </c>
      <c r="AW153" s="180">
        <f t="shared" ca="1" si="283"/>
        <v>0.83065420560747683</v>
      </c>
      <c r="AX153" s="180">
        <f t="shared" ca="1" si="283"/>
        <v>0.83065420560747671</v>
      </c>
      <c r="AY153" s="180">
        <f t="shared" ca="1" si="283"/>
        <v>0.83065420560747683</v>
      </c>
      <c r="AZ153" s="180">
        <f t="shared" ca="1" si="283"/>
        <v>0.83065420560747683</v>
      </c>
      <c r="BA153" s="180">
        <f t="shared" ca="1" si="283"/>
        <v>0.83065420560747671</v>
      </c>
      <c r="BB153" s="180">
        <f t="shared" ca="1" si="283"/>
        <v>0.83065420560747671</v>
      </c>
      <c r="BC153" s="180">
        <f t="shared" ca="1" si="283"/>
        <v>0.83065420560747671</v>
      </c>
      <c r="BD153" s="180">
        <f t="shared" ca="1" si="283"/>
        <v>0.83065420560747683</v>
      </c>
      <c r="BE153" s="180">
        <f t="shared" ca="1" si="283"/>
        <v>0.8306542056074766</v>
      </c>
      <c r="BF153" s="180">
        <f t="shared" ca="1" si="283"/>
        <v>0.83065420560747671</v>
      </c>
      <c r="BG153" s="180">
        <f t="shared" ca="1" si="283"/>
        <v>0.83065420560747671</v>
      </c>
      <c r="BH153" s="180">
        <f t="shared" ca="1" si="283"/>
        <v>0.83065420560747683</v>
      </c>
      <c r="BI153" s="15" t="s">
        <v>93</v>
      </c>
      <c r="BJ153" s="174"/>
    </row>
    <row r="154" spans="2:62" s="280" customFormat="1" x14ac:dyDescent="0.3">
      <c r="B154" s="281"/>
      <c r="C154" s="281"/>
      <c r="D154" s="281"/>
      <c r="E154" s="281"/>
      <c r="F154" s="281"/>
      <c r="G154" s="170"/>
      <c r="H154" s="15" t="s">
        <v>68</v>
      </c>
      <c r="I154" s="171">
        <f ca="1">IF(I153&lt;I_Vd1,Vd_1+(I152-25)*vd_temp_coeff/1000,IF(I153=0,0,IF(Reset=1,0.45,FORECAST(I153, OFFSET(Vd_1:Vd_3,MATCH(I153,I_Vd1:I_Vd3,1)-1,0,2), OFFSET(I_Vd1:I_Vd3,MATCH(I153,I_Vd1:I_Vd3,1)-1,0,2))+(I152-25)*vd_temp_coeff/1000)))</f>
        <v>0.34761712084046531</v>
      </c>
      <c r="J154" s="171">
        <f ca="1">IF(J153&lt;I_Vd1,Vd_1+(J152-25)*vd_temp_coeff/1000,IF(J153=0,0,IF(Reset=1,0.45,FORECAST(J153, OFFSET(Vd_1:Vd_3,MATCH(J153,I_Vd1:I_Vd3,1)-1,0,2), OFFSET(I_Vd1:I_Vd3,MATCH(J153,I_Vd1:I_Vd3,1)-1,0,2))+(J152-25)*vd_temp_coeff/1000)))</f>
        <v>0.36639651451508937</v>
      </c>
      <c r="K154" s="171">
        <f ca="1">IF(K153&lt;I_Vd1,Vd_1+(K152-25)*vd_temp_coeff/1000,IF(K153=0,0,IF(Reset=1,0.45,FORECAST(K153, OFFSET(Vd_1:Vd_3,MATCH(K153,I_Vd1:I_Vd3,1)-1,0,2), OFFSET(I_Vd1:I_Vd3,MATCH(K153,I_Vd1:I_Vd3,1)-1,0,2))+(K152-25)*vd_temp_coeff/1000)))</f>
        <v>0.36487767913530178</v>
      </c>
      <c r="L154" s="171">
        <f ca="1">IF(L153&lt;I_Vd1,Vd_1+(L152-25)*vd_temp_coeff/1000,IF(L153=0,0,IF(Reset=1,0.45,FORECAST(L153, OFFSET(Vd_1:Vd_3,MATCH(L153,I_Vd1:I_Vd3,1)-1,0,2), OFFSET(I_Vd1:I_Vd3,MATCH(L153,I_Vd1:I_Vd3,1)-1,0,2))+(L152-25)*vd_temp_coeff/1000)))</f>
        <v>0.36348056036885823</v>
      </c>
      <c r="M154" s="171">
        <f ca="1">IF(M153&lt;I_Vd1,Vd_1+(M152-25)*vd_temp_coeff/1000,IF(M153=0,0,IF(Reset=1,0.45,FORECAST(M153, OFFSET(Vd_1:Vd_3,MATCH(M153,I_Vd1:I_Vd3,1)-1,0,2), OFFSET(I_Vd1:I_Vd3,MATCH(M153,I_Vd1:I_Vd3,1)-1,0,2))+(M152-25)*vd_temp_coeff/1000)))</f>
        <v>0.36219115210065472</v>
      </c>
      <c r="N154" s="171">
        <f ca="1">IF(N153&lt;I_Vd1,Vd_1+(N152-25)*vd_temp_coeff/1000,IF(N153=0,0,IF(Reset=1,0.45,FORECAST(N153, OFFSET(Vd_1:Vd_3,MATCH(N153,I_Vd1:I_Vd3,1)-1,0,2), OFFSET(I_Vd1:I_Vd3,MATCH(N153,I_Vd1:I_Vd3,1)-1,0,2))+(N152-25)*vd_temp_coeff/1000)))</f>
        <v>0.36099750930701413</v>
      </c>
      <c r="O154" s="171">
        <f ca="1">IF(O153&lt;I_Vd1,Vd_1+(O152-25)*vd_temp_coeff/1000,IF(O153=0,0,IF(Reset=1,0.45,FORECAST(O153, OFFSET(Vd_1:Vd_3,MATCH(O153,I_Vd1:I_Vd3,1)-1,0,2), OFFSET(I_Vd1:I_Vd3,MATCH(O153,I_Vd1:I_Vd3,1)-1,0,2))+(O152-25)*vd_temp_coeff/1000)))</f>
        <v>0.35984236963624666</v>
      </c>
      <c r="P154" s="171">
        <f ca="1">IF(P153&lt;I_Vd1,Vd_1+(P152-25)*vd_temp_coeff/1000,IF(P153=0,0,IF(Reset=1,0.45,FORECAST(P153, OFFSET(Vd_1:Vd_3,MATCH(P153,I_Vd1:I_Vd3,1)-1,0,2), OFFSET(I_Vd1:I_Vd3,MATCH(P153,I_Vd1:I_Vd3,1)-1,0,2))+(P152-25)*vd_temp_coeff/1000)))</f>
        <v>0.35881412697132459</v>
      </c>
      <c r="Q154" s="171">
        <f ca="1">IF(Q153&lt;I_Vd1,Vd_1+(Q152-25)*vd_temp_coeff/1000,IF(Q153=0,0,IF(Reset=1,0.45,FORECAST(Q153, OFFSET(Vd_1:Vd_3,MATCH(Q153,I_Vd1:I_Vd3,1)-1,0,2), OFFSET(I_Vd1:I_Vd3,MATCH(Q153,I_Vd1:I_Vd3,1)-1,0,2))+(Q152-25)*vd_temp_coeff/1000)))</f>
        <v>0.35785457711404156</v>
      </c>
      <c r="R154" s="171">
        <f ca="1">IF(R153&lt;I_Vd1,Vd_1+(R152-25)*vd_temp_coeff/1000,IF(R153=0,0,IF(Reset=1,0.45,FORECAST(R153, OFFSET(Vd_1:Vd_3,MATCH(R153,I_Vd1:I_Vd3,1)-1,0,2), OFFSET(I_Vd1:I_Vd3,MATCH(R153,I_Vd1:I_Vd3,1)-1,0,2))+(R152-25)*vd_temp_coeff/1000)))</f>
        <v>0.35695707931244058</v>
      </c>
      <c r="S154" s="171">
        <f ca="1">IF(S153&lt;I_Vd1,Vd_1+(S152-25)*vd_temp_coeff/1000,IF(S153=0,0,IF(Reset=1,0.45,FORECAST(S153, OFFSET(Vd_1:Vd_3,MATCH(S153,I_Vd1:I_Vd3,1)-1,0,2), OFFSET(I_Vd1:I_Vd3,MATCH(S153,I_Vd1:I_Vd3,1)-1,0,2))+(S152-25)*vd_temp_coeff/1000)))</f>
        <v>0.35611581966910244</v>
      </c>
      <c r="T154" s="171">
        <f ca="1">IF(T153&lt;I_Vd1,Vd_1+(T152-25)*vd_temp_coeff/1000,IF(T153=0,0,IF(Reset=1,0.45,FORECAST(T153, OFFSET(Vd_1:Vd_3,MATCH(T153,I_Vd1:I_Vd3,1)-1,0,2), OFFSET(I_Vd1:I_Vd3,MATCH(T153,I_Vd1:I_Vd3,1)-1,0,2))+(T152-25)*vd_temp_coeff/1000)))</f>
        <v>0.35532568667737507</v>
      </c>
      <c r="U154" s="171">
        <f ca="1">IF(U153&lt;I_Vd1,Vd_1+(U152-25)*vd_temp_coeff/1000,IF(U153=0,0,IF(Reset=1,0.45,FORECAST(U153, OFFSET(Vd_1:Vd_3,MATCH(U153,I_Vd1:I_Vd3,1)-1,0,2), OFFSET(I_Vd1:I_Vd3,MATCH(U153,I_Vd1:I_Vd3,1)-1,0,2))+(U152-25)*vd_temp_coeff/1000)))</f>
        <v>0.35458216852549718</v>
      </c>
      <c r="V154" s="171">
        <f ca="1">IF(V153&lt;I_Vd1,Vd_1+(V152-25)*vd_temp_coeff/1000,IF(V153=0,0,IF(Reset=1,0.45,FORECAST(V153, OFFSET(Vd_1:Vd_3,MATCH(V153,I_Vd1:I_Vd3,1)-1,0,2), OFFSET(I_Vd1:I_Vd3,MATCH(V153,I_Vd1:I_Vd3,1)-1,0,2))+(V152-25)*vd_temp_coeff/1000)))</f>
        <v>0.35388126786367458</v>
      </c>
      <c r="W154" s="171">
        <f ca="1">IF(W153&lt;I_Vd1,Vd_1+(W152-25)*vd_temp_coeff/1000,IF(W153=0,0,IF(Reset=1,0.45,FORECAST(W153, OFFSET(Vd_1:Vd_3,MATCH(W153,I_Vd1:I_Vd3,1)-1,0,2), OFFSET(I_Vd1:I_Vd3,MATCH(W153,I_Vd1:I_Vd3,1)-1,0,2))+(W152-25)*vd_temp_coeff/1000)))</f>
        <v>0.35321943067314993</v>
      </c>
      <c r="X154" s="171">
        <f ca="1">IF(X153&lt;I_Vd1,Vd_1+(X152-25)*vd_temp_coeff/1000,IF(X153=0,0,IF(Reset=1,0.45,FORECAST(X153, OFFSET(Vd_1:Vd_3,MATCH(X153,I_Vd1:I_Vd3,1)-1,0,2), OFFSET(I_Vd1:I_Vd3,MATCH(X153,I_Vd1:I_Vd3,1)-1,0,2))+(X152-25)*vd_temp_coeff/1000)))</f>
        <v>0.35259348659414858</v>
      </c>
      <c r="Y154" s="171">
        <f ca="1">IF(Y153&lt;I_Vd1,Vd_1+(Y152-25)*vd_temp_coeff/1000,IF(Y153=0,0,IF(Reset=1,0.45,FORECAST(Y153, OFFSET(Vd_1:Vd_3,MATCH(Y153,I_Vd1:I_Vd3,1)-1,0,2), OFFSET(I_Vd1:I_Vd3,MATCH(Y153,I_Vd1:I_Vd3,1)-1,0,2))+(Y152-25)*vd_temp_coeff/1000)))</f>
        <v>0.35200059861980637</v>
      </c>
      <c r="Z154" s="171">
        <f ca="1">IF(Z153&lt;I_Vd1,Vd_1+(Z152-25)*vd_temp_coeff/1000,IF(Z153=0,0,IF(Reset=1,0.45,FORECAST(Z153, OFFSET(Vd_1:Vd_3,MATCH(Z153,I_Vd1:I_Vd3,1)-1,0,2), OFFSET(I_Vd1:I_Vd3,MATCH(Z153,I_Vd1:I_Vd3,1)-1,0,2))+(Z152-25)*vd_temp_coeff/1000)))</f>
        <v>0.35143822048806983</v>
      </c>
      <c r="AA154" s="171">
        <f ca="1">IF(AA153&lt;I_Vd1,Vd_1+(AA152-25)*vd_temp_coeff/1000,IF(AA153=0,0,IF(Reset=1,0.45,FORECAST(AA153, OFFSET(Vd_1:Vd_3,MATCH(AA153,I_Vd1:I_Vd3,1)-1,0,2), OFFSET(I_Vd1:I_Vd3,MATCH(AA153,I_Vd1:I_Vd3,1)-1,0,2))+(AA152-25)*vd_temp_coeff/1000)))</f>
        <v>0.35090406043399758</v>
      </c>
      <c r="AB154" s="171">
        <f ca="1">IF(AB153&lt;I_Vd1,Vd_1+(AB152-25)*vd_temp_coeff/1000,IF(AB153=0,0,IF(Reset=1,0.45,FORECAST(AB153, OFFSET(Vd_1:Vd_3,MATCH(AB153,I_Vd1:I_Vd3,1)-1,0,2), OFFSET(I_Vd1:I_Vd3,MATCH(AB153,I_Vd1:I_Vd3,1)-1,0,2))+(AB152-25)*vd_temp_coeff/1000)))</f>
        <v>0.35039605022359527</v>
      </c>
      <c r="AC154" s="171">
        <f ca="1">IF(AC153&lt;I_Vd1,Vd_1+(AC152-25)*vd_temp_coeff/1000,IF(AC153=0,0,IF(Reset=1,0.45,FORECAST(AC153, OFFSET(Vd_1:Vd_3,MATCH(AC153,I_Vd1:I_Vd3,1)-1,0,2), OFFSET(I_Vd1:I_Vd3,MATCH(AC153,I_Vd1:I_Vd3,1)-1,0,2))+(AC152-25)*vd_temp_coeff/1000)))</f>
        <v>0.34991231859415928</v>
      </c>
      <c r="AD154" s="171">
        <f ca="1">IF(AD153&lt;I_Vd1,Vd_1+(AD152-25)*vd_temp_coeff/1000,IF(AD153=0,0,IF(Reset=1,0.45,FORECAST(AD153, OFFSET(Vd_1:Vd_3,MATCH(AD153,I_Vd1:I_Vd3,1)-1,0,2), OFFSET(I_Vd1:I_Vd3,MATCH(AD153,I_Vd1:I_Vd3,1)-1,0,2))+(AD152-25)*vd_temp_coeff/1000)))</f>
        <v>0.34945116838768492</v>
      </c>
      <c r="AE154" s="171">
        <f ca="1">IF(AE153&lt;I_Vd1,Vd_1+(AE152-25)*vd_temp_coeff/1000,IF(AE153=0,0,IF(Reset=1,0.45,FORECAST(AE153, OFFSET(Vd_1:Vd_3,MATCH(AE153,I_Vd1:I_Vd3,1)-1,0,2), OFFSET(I_Vd1:I_Vd3,MATCH(AE153,I_Vd1:I_Vd3,1)-1,0,2))+(AE152-25)*vd_temp_coeff/1000)))</f>
        <v>0.34901105679272199</v>
      </c>
      <c r="AF154" s="171">
        <f ca="1">IF(AF153&lt;I_Vd1,Vd_1+(AF152-25)*vd_temp_coeff/1000,IF(AF153=0,0,IF(Reset=1,0.45,FORECAST(AF153, OFFSET(Vd_1:Vd_3,MATCH(AF153,I_Vd1:I_Vd3,1)-1,0,2), OFFSET(I_Vd1:I_Vd3,MATCH(AF153,I_Vd1:I_Vd3,1)-1,0,2))+(AF152-25)*vd_temp_coeff/1000)))</f>
        <v>0.34859057821333161</v>
      </c>
      <c r="AG154" s="171">
        <f ca="1">IF(AG153&lt;I_Vd1,Vd_1+(AG152-25)*vd_temp_coeff/1000,IF(AG153=0,0,IF(Reset=1,0.45,FORECAST(AG153, OFFSET(Vd_1:Vd_3,MATCH(AG153,I_Vd1:I_Vd3,1)-1,0,2), OFFSET(I_Vd1:I_Vd3,MATCH(AG153,I_Vd1:I_Vd3,1)-1,0,2))+(AG152-25)*vd_temp_coeff/1000)))</f>
        <v>0.34818844936702059</v>
      </c>
      <c r="AH154" s="171">
        <f ca="1">IF(AH153&lt;I_Vd1,Vd_1+(AH152-25)*vd_temp_coeff/1000,IF(AH153=0,0,IF(Reset=1,0.45,FORECAST(AH153, OFFSET(Vd_1:Vd_3,MATCH(AH153,I_Vd1:I_Vd3,1)-1,0,2), OFFSET(I_Vd1:I_Vd3,MATCH(AH153,I_Vd1:I_Vd3,1)-1,0,2))+(AH152-25)*vd_temp_coeff/1000)))</f>
        <v>0.34780349628092838</v>
      </c>
      <c r="AI154" s="171">
        <f ca="1">IF(AI153&lt;I_Vd1,Vd_1+(AI152-25)*vd_temp_coeff/1000,IF(AI153=0,0,IF(Reset=1,0.45,FORECAST(AI153, OFFSET(Vd_1:Vd_3,MATCH(AI153,I_Vd1:I_Vd3,1)-1,0,2), OFFSET(I_Vd1:I_Vd3,MATCH(AI153,I_Vd1:I_Vd3,1)-1,0,2))+(AI152-25)*vd_temp_coeff/1000)))</f>
        <v>0.34743464291038662</v>
      </c>
      <c r="AJ154" s="171">
        <f ca="1">IF(AJ153&lt;I_Vd1,Vd_1+(AJ152-25)*vd_temp_coeff/1000,IF(AJ153=0,0,IF(Reset=1,0.45,FORECAST(AJ153, OFFSET(Vd_1:Vd_3,MATCH(AJ153,I_Vd1:I_Vd3,1)-1,0,2), OFFSET(I_Vd1:I_Vd3,MATCH(AJ153,I_Vd1:I_Vd3,1)-1,0,2))+(AJ152-25)*vd_temp_coeff/1000)))</f>
        <v>0.34708090114880619</v>
      </c>
      <c r="AK154" s="171">
        <f ca="1">IF(AK153&lt;I_Vd1,Vd_1+(AK152-25)*vd_temp_coeff/1000,IF(AK153=0,0,IF(Reset=1,0.45,FORECAST(AK153, OFFSET(Vd_1:Vd_3,MATCH(AK153,I_Vd1:I_Vd3,1)-1,0,2), OFFSET(I_Vd1:I_Vd3,MATCH(AK153,I_Vd1:I_Vd3,1)-1,0,2))+(AK152-25)*vd_temp_coeff/1000)))</f>
        <v>0.34674136203465528</v>
      </c>
      <c r="AL154" s="171">
        <f ca="1">IF(AL153&lt;I_Vd1,Vd_1+(AL152-25)*vd_temp_coeff/1000,IF(AL153=0,0,IF(Reset=1,0.45,FORECAST(AL153, OFFSET(Vd_1:Vd_3,MATCH(AL153,I_Vd1:I_Vd3,1)-1,0,2), OFFSET(I_Vd1:I_Vd3,MATCH(AL153,I_Vd1:I_Vd3,1)-1,0,2))+(AL152-25)*vd_temp_coeff/1000)))</f>
        <v>0.34641518799164228</v>
      </c>
      <c r="AM154" s="171">
        <f ca="1">IF(AM153&lt;I_Vd1,Vd_1+(AM152-25)*vd_temp_coeff/1000,IF(AM153=0,0,IF(Reset=1,0.45,FORECAST(AM153, OFFSET(Vd_1:Vd_3,MATCH(AM153,I_Vd1:I_Vd3,1)-1,0,2), OFFSET(I_Vd1:I_Vd3,MATCH(AM153,I_Vd1:I_Vd3,1)-1,0,2))+(AM152-25)*vd_temp_coeff/1000)))</f>
        <v>0.346101605963338</v>
      </c>
      <c r="AN154" s="171">
        <f ca="1">IF(AN153&lt;I_Vd1,Vd_1+(AN152-25)*vd_temp_coeff/1000,IF(AN153=0,0,IF(Reset=1,0.45,FORECAST(AN153, OFFSET(Vd_1:Vd_3,MATCH(AN153,I_Vd1:I_Vd3,1)-1,0,2), OFFSET(I_Vd1:I_Vd3,MATCH(AN153,I_Vd1:I_Vd3,1)-1,0,2))+(AN152-25)*vd_temp_coeff/1000)))</f>
        <v>0.34579990132434896</v>
      </c>
      <c r="AO154" s="171">
        <f ca="1">IF(AO153&lt;I_Vd1,Vd_1+(AO152-25)*vd_temp_coeff/1000,IF(AO153=0,0,IF(Reset=1,0.45,FORECAST(AO153, OFFSET(Vd_1:Vd_3,MATCH(AO153,I_Vd1:I_Vd3,1)-1,0,2), OFFSET(I_Vd1:I_Vd3,MATCH(AO153,I_Vd1:I_Vd3,1)-1,0,2))+(AO152-25)*vd_temp_coeff/1000)))</f>
        <v>0.34550941246756461</v>
      </c>
      <c r="AP154" s="171">
        <f ca="1">IF(AP153&lt;I_Vd1,Vd_1+(AP152-25)*vd_temp_coeff/1000,IF(AP153=0,0,IF(Reset=1,0.45,FORECAST(AP153, OFFSET(Vd_1:Vd_3,MATCH(AP153,I_Vd1:I_Vd3,1)-1,0,2), OFFSET(I_Vd1:I_Vd3,MATCH(AP153,I_Vd1:I_Vd3,1)-1,0,2))+(AP152-25)*vd_temp_coeff/1000)))</f>
        <v>0.34522952598157414</v>
      </c>
      <c r="AQ154" s="171">
        <f ca="1">IF(AQ153&lt;I_Vd1,Vd_1+(AQ152-25)*vd_temp_coeff/1000,IF(AQ153=0,0,IF(Reset=1,0.45,FORECAST(AQ153, OFFSET(Vd_1:Vd_3,MATCH(AQ153,I_Vd1:I_Vd3,1)-1,0,2), OFFSET(I_Vd1:I_Vd3,MATCH(AQ153,I_Vd1:I_Vd3,1)-1,0,2))+(AQ152-25)*vd_temp_coeff/1000)))</f>
        <v>0.34495967234459118</v>
      </c>
      <c r="AR154" s="171">
        <f ca="1">IF(AR153&lt;I_Vd1,Vd_1+(AR152-25)*vd_temp_coeff/1000,IF(AR153=0,0,IF(Reset=1,0.45,FORECAST(AR153, OFFSET(Vd_1:Vd_3,MATCH(AR153,I_Vd1:I_Vd3,1)-1,0,2), OFFSET(I_Vd1:I_Vd3,MATCH(AR153,I_Vd1:I_Vd3,1)-1,0,2))+(AR152-25)*vd_temp_coeff/1000)))</f>
        <v>0.34469932207153597</v>
      </c>
      <c r="AS154" s="171">
        <f ca="1">IF(AS153&lt;I_Vd1,Vd_1+(AS152-25)*vd_temp_coeff/1000,IF(AS153=0,0,IF(Reset=1,0.45,FORECAST(AS153, OFFSET(Vd_1:Vd_3,MATCH(AS153,I_Vd1:I_Vd3,1)-1,0,2), OFFSET(I_Vd1:I_Vd3,MATCH(AS153,I_Vd1:I_Vd3,1)-1,0,2))+(AS152-25)*vd_temp_coeff/1000)))</f>
        <v>0.34444798225964612</v>
      </c>
      <c r="AT154" s="171">
        <f ca="1">IF(AT153&lt;I_Vd1,Vd_1+(AT152-25)*vd_temp_coeff/1000,IF(AT153=0,0,IF(Reset=1,0.45,FORECAST(AT153, OFFSET(Vd_1:Vd_3,MATCH(AT153,I_Vd1:I_Vd3,1)-1,0,2), OFFSET(I_Vd1:I_Vd3,MATCH(AT153,I_Vd1:I_Vd3,1)-1,0,2))+(AT152-25)*vd_temp_coeff/1000)))</f>
        <v>0.34420519348537904</v>
      </c>
      <c r="AU154" s="171">
        <f ca="1">IF(AU153&lt;I_Vd1,Vd_1+(AU152-25)*vd_temp_coeff/1000,IF(AU153=0,0,IF(Reset=1,0.45,FORECAST(AU153, OFFSET(Vd_1:Vd_3,MATCH(AU153,I_Vd1:I_Vd3,1)-1,0,2), OFFSET(I_Vd1:I_Vd3,MATCH(AU153,I_Vd1:I_Vd3,1)-1,0,2))+(AU152-25)*vd_temp_coeff/1000)))</f>
        <v>0.34397052701165504</v>
      </c>
      <c r="AV154" s="171">
        <f ca="1">IF(AV153&lt;I_Vd1,Vd_1+(AV152-25)*vd_temp_coeff/1000,IF(AV153=0,0,IF(Reset=1,0.45,FORECAST(AV153, OFFSET(Vd_1:Vd_3,MATCH(AV153,I_Vd1:I_Vd3,1)-1,0,2), OFFSET(I_Vd1:I_Vd3,MATCH(AV153,I_Vd1:I_Vd3,1)-1,0,2))+(AV152-25)*vd_temp_coeff/1000)))</f>
        <v>0.3437435822698538</v>
      </c>
      <c r="AW154" s="171">
        <f ca="1">IF(AW153&lt;I_Vd1,Vd_1+(AW152-25)*vd_temp_coeff/1000,IF(AW153=0,0,IF(Reset=1,0.45,FORECAST(AW153, OFFSET(Vd_1:Vd_3,MATCH(AW153,I_Vd1:I_Vd3,1)-1,0,2), OFFSET(I_Vd1:I_Vd3,MATCH(AW153,I_Vd1:I_Vd3,1)-1,0,2))+(AW152-25)*vd_temp_coeff/1000)))</f>
        <v>0.34352398458556144</v>
      </c>
      <c r="AX154" s="171">
        <f ca="1">IF(AX153&lt;I_Vd1,Vd_1+(AX152-25)*vd_temp_coeff/1000,IF(AX153=0,0,IF(Reset=1,0.45,FORECAST(AX153, OFFSET(Vd_1:Vd_3,MATCH(AX153,I_Vd1:I_Vd3,1)-1,0,2), OFFSET(I_Vd1:I_Vd3,MATCH(AX153,I_Vd1:I_Vd3,1)-1,0,2))+(AX152-25)*vd_temp_coeff/1000)))</f>
        <v>0.34331138312099646</v>
      </c>
      <c r="AY154" s="171">
        <f ca="1">IF(AY153&lt;I_Vd1,Vd_1+(AY152-25)*vd_temp_coeff/1000,IF(AY153=0,0,IF(Reset=1,0.45,FORECAST(AY153, OFFSET(Vd_1:Vd_3,MATCH(AY153,I_Vd1:I_Vd3,1)-1,0,2), OFFSET(I_Vd1:I_Vd3,MATCH(AY153,I_Vd1:I_Vd3,1)-1,0,2))+(AY152-25)*vd_temp_coeff/1000)))</f>
        <v>0.34310544901042384</v>
      </c>
      <c r="AZ154" s="171">
        <f ca="1">IF(AZ153&lt;I_Vd1,Vd_1+(AZ152-25)*vd_temp_coeff/1000,IF(AZ153=0,0,IF(Reset=1,0.45,FORECAST(AZ153, OFFSET(Vd_1:Vd_3,MATCH(AZ153,I_Vd1:I_Vd3,1)-1,0,2), OFFSET(I_Vd1:I_Vd3,MATCH(AZ153,I_Vd1:I_Vd3,1)-1,0,2))+(AZ152-25)*vd_temp_coeff/1000)))</f>
        <v>0.3429058736677783</v>
      </c>
      <c r="BA154" s="171">
        <f ca="1">IF(BA153&lt;I_Vd1,Vd_1+(BA152-25)*vd_temp_coeff/1000,IF(BA153=0,0,IF(Reset=1,0.45,FORECAST(BA153, OFFSET(Vd_1:Vd_3,MATCH(BA153,I_Vd1:I_Vd3,1)-1,0,2), OFFSET(I_Vd1:I_Vd3,MATCH(BA153,I_Vd1:I_Vd3,1)-1,0,2))+(BA152-25)*vd_temp_coeff/1000)))</f>
        <v>0.34271236724823584</v>
      </c>
      <c r="BB154" s="171">
        <f ca="1">IF(BB153&lt;I_Vd1,Vd_1+(BB152-25)*vd_temp_coeff/1000,IF(BB153=0,0,IF(Reset=1,0.45,FORECAST(BB153, OFFSET(Vd_1:Vd_3,MATCH(BB153,I_Vd1:I_Vd3,1)-1,0,2), OFFSET(I_Vd1:I_Vd3,MATCH(BB153,I_Vd1:I_Vd3,1)-1,0,2))+(BB152-25)*vd_temp_coeff/1000)))</f>
        <v>0.34252465724764891</v>
      </c>
      <c r="BC154" s="171">
        <f ca="1">IF(BC153&lt;I_Vd1,Vd_1+(BC152-25)*vd_temp_coeff/1000,IF(BC153=0,0,IF(Reset=1,0.45,FORECAST(BC153, OFFSET(Vd_1:Vd_3,MATCH(BC153,I_Vd1:I_Vd3,1)-1,0,2), OFFSET(I_Vd1:I_Vd3,MATCH(BC153,I_Vd1:I_Vd3,1)-1,0,2))+(BC152-25)*vd_temp_coeff/1000)))</f>
        <v>0.34234248722565314</v>
      </c>
      <c r="BD154" s="171">
        <f ca="1">IF(BD153&lt;I_Vd1,Vd_1+(BD152-25)*vd_temp_coeff/1000,IF(BD153=0,0,IF(Reset=1,0.45,FORECAST(BD153, OFFSET(Vd_1:Vd_3,MATCH(BD153,I_Vd1:I_Vd3,1)-1,0,2), OFFSET(I_Vd1:I_Vd3,MATCH(BD153,I_Vd1:I_Vd3,1)-1,0,2))+(BD152-25)*vd_temp_coeff/1000)))</f>
        <v>0.34216561563989878</v>
      </c>
      <c r="BE154" s="171">
        <f ca="1">IF(BE153&lt;I_Vd1,Vd_1+(BE152-25)*vd_temp_coeff/1000,IF(BE153=0,0,IF(Reset=1,0.45,FORECAST(BE153, OFFSET(Vd_1:Vd_3,MATCH(BE153,I_Vd1:I_Vd3,1)-1,0,2), OFFSET(I_Vd1:I_Vd3,MATCH(BE153,I_Vd1:I_Vd3,1)-1,0,2))+(BE152-25)*vd_temp_coeff/1000)))</f>
        <v>0.34199381478029067</v>
      </c>
      <c r="BF154" s="171">
        <f ca="1">IF(BF153&lt;I_Vd1,Vd_1+(BF152-25)*vd_temp_coeff/1000,IF(BF153=0,0,IF(Reset=1,0.45,FORECAST(BF153, OFFSET(Vd_1:Vd_3,MATCH(BF153,I_Vd1:I_Vd3,1)-1,0,2), OFFSET(I_Vd1:I_Vd3,MATCH(BF153,I_Vd1:I_Vd3,1)-1,0,2))+(BF152-25)*vd_temp_coeff/1000)))</f>
        <v>0.34182686979337534</v>
      </c>
      <c r="BG154" s="171">
        <f ca="1">IF(BG153&lt;I_Vd1,Vd_1+(BG152-25)*vd_temp_coeff/1000,IF(BG153=0,0,IF(Reset=1,0.45,FORECAST(BG153, OFFSET(Vd_1:Vd_3,MATCH(BG153,I_Vd1:I_Vd3,1)-1,0,2), OFFSET(I_Vd1:I_Vd3,MATCH(BG153,I_Vd1:I_Vd3,1)-1,0,2))+(BG152-25)*vd_temp_coeff/1000)))</f>
        <v>0.34166457778810688</v>
      </c>
      <c r="BH154" s="171">
        <f ca="1">IF(BH153&lt;I_Vd1,Vd_1+(BH152-25)*vd_temp_coeff/1000,IF(BH153=0,0,IF(Reset=1,0.45,FORECAST(BH153, OFFSET(Vd_1:Vd_3,MATCH(BH153,I_Vd1:I_Vd3,1)-1,0,2), OFFSET(I_Vd1:I_Vd3,MATCH(BH153,I_Vd1:I_Vd3,1)-1,0,2))+(BH152-25)*vd_temp_coeff/1000)))</f>
        <v>0.33585284350260136</v>
      </c>
      <c r="BI154" s="15" t="s">
        <v>68</v>
      </c>
      <c r="BJ154" s="174"/>
    </row>
    <row r="155" spans="2:62" s="280" customFormat="1" x14ac:dyDescent="0.3">
      <c r="G155" s="170"/>
      <c r="H155" s="15" t="s">
        <v>73</v>
      </c>
      <c r="I155" s="172">
        <f t="shared" ref="I155:AN155" ca="1" si="284">I154*I106</f>
        <v>0.15320405439188811</v>
      </c>
      <c r="J155" s="172">
        <f t="shared" ca="1" si="284"/>
        <v>2.2791598318109847E-2</v>
      </c>
      <c r="K155" s="172">
        <f t="shared" ca="1" si="284"/>
        <v>3.3339066233301587E-2</v>
      </c>
      <c r="L155" s="172">
        <f t="shared" ca="1" si="284"/>
        <v>4.3041279889159657E-2</v>
      </c>
      <c r="M155" s="172">
        <f t="shared" ca="1" si="284"/>
        <v>5.1995503973906149E-2</v>
      </c>
      <c r="N155" s="172">
        <f t="shared" ca="1" si="284"/>
        <v>6.0284690040854273E-2</v>
      </c>
      <c r="O155" s="172">
        <f t="shared" ca="1" si="284"/>
        <v>6.8306493310073255E-2</v>
      </c>
      <c r="P155" s="172">
        <f t="shared" ca="1" si="284"/>
        <v>7.5447067372031995E-2</v>
      </c>
      <c r="Q155" s="172">
        <f t="shared" ca="1" si="284"/>
        <v>8.211060804760878E-2</v>
      </c>
      <c r="R155" s="172">
        <f t="shared" ca="1" si="284"/>
        <v>8.8343231669837624E-2</v>
      </c>
      <c r="S155" s="172">
        <f t="shared" ca="1" si="284"/>
        <v>9.4185312526352719E-2</v>
      </c>
      <c r="T155" s="172">
        <f t="shared" ca="1" si="284"/>
        <v>9.9672347191125624E-2</v>
      </c>
      <c r="U155" s="172">
        <f t="shared" ca="1" si="284"/>
        <v>0.10483566769027816</v>
      </c>
      <c r="V155" s="172">
        <f t="shared" ca="1" si="284"/>
        <v>0.10970303339737909</v>
      </c>
      <c r="W155" s="172">
        <f t="shared" ca="1" si="284"/>
        <v>0.11429912499824475</v>
      </c>
      <c r="X155" s="172">
        <f t="shared" ca="1" si="284"/>
        <v>0.11864595888019862</v>
      </c>
      <c r="Y155" s="172">
        <f t="shared" ca="1" si="284"/>
        <v>0.12276323647979769</v>
      </c>
      <c r="Z155" s="172">
        <f t="shared" ca="1" si="284"/>
        <v>0.12666864017241236</v>
      </c>
      <c r="AA155" s="172">
        <f t="shared" ca="1" si="284"/>
        <v>0.13037808499235862</v>
      </c>
      <c r="AB155" s="172">
        <f t="shared" ca="1" si="284"/>
        <v>0.13390593367570783</v>
      </c>
      <c r="AC155" s="172">
        <f t="shared" ca="1" si="284"/>
        <v>0.13726518110234673</v>
      </c>
      <c r="AD155" s="172">
        <f t="shared" ca="1" si="284"/>
        <v>0.14046761309175199</v>
      </c>
      <c r="AE155" s="172">
        <f t="shared" ca="1" si="284"/>
        <v>0.14352394361232793</v>
      </c>
      <c r="AF155" s="172">
        <f t="shared" ca="1" si="284"/>
        <v>0.14644393374698339</v>
      </c>
      <c r="AG155" s="172">
        <f t="shared" ca="1" si="284"/>
        <v>0.14923649517969861</v>
      </c>
      <c r="AH155" s="172">
        <f t="shared" ca="1" si="284"/>
        <v>0.15190978049978349</v>
      </c>
      <c r="AI155" s="172">
        <f t="shared" ca="1" si="284"/>
        <v>0.15447126223965679</v>
      </c>
      <c r="AJ155" s="172">
        <f t="shared" ca="1" si="284"/>
        <v>0.15692780225063216</v>
      </c>
      <c r="AK155" s="172">
        <f t="shared" ca="1" si="284"/>
        <v>0.15928571276556891</v>
      </c>
      <c r="AL155" s="172">
        <f t="shared" ca="1" si="284"/>
        <v>0.16155081028649246</v>
      </c>
      <c r="AM155" s="172">
        <f t="shared" ca="1" si="284"/>
        <v>0.16372846326082788</v>
      </c>
      <c r="AN155" s="172">
        <f t="shared" ca="1" si="284"/>
        <v>0.16582363436491829</v>
      </c>
      <c r="AO155" s="172">
        <f t="shared" ref="AO155:BH155" ca="1" si="285">AO154*AO106</f>
        <v>0.16784091809258758</v>
      </c>
      <c r="AP155" s="172">
        <f t="shared" ca="1" si="285"/>
        <v>0.16978457424529894</v>
      </c>
      <c r="AQ155" s="172">
        <f t="shared" ca="1" si="285"/>
        <v>0.17165855783545844</v>
      </c>
      <c r="AR155" s="172">
        <f t="shared" ca="1" si="285"/>
        <v>0.17346654584278656</v>
      </c>
      <c r="AS155" s="172">
        <f t="shared" ca="1" si="285"/>
        <v>0.17521196120313243</v>
      </c>
      <c r="AT155" s="172">
        <f t="shared" ca="1" si="285"/>
        <v>0.17689799435776477</v>
      </c>
      <c r="AU155" s="172">
        <f t="shared" ca="1" si="285"/>
        <v>0.17852762264751501</v>
      </c>
      <c r="AV155" s="172">
        <f t="shared" ca="1" si="285"/>
        <v>0.18010362779891267</v>
      </c>
      <c r="AW155" s="172">
        <f t="shared" ca="1" si="285"/>
        <v>0.18162861171760966</v>
      </c>
      <c r="AX155" s="172">
        <f t="shared" ca="1" si="285"/>
        <v>0.18310501077708841</v>
      </c>
      <c r="AY155" s="172">
        <f t="shared" ca="1" si="285"/>
        <v>0.18453510876717641</v>
      </c>
      <c r="AZ155" s="172">
        <f t="shared" ca="1" si="285"/>
        <v>0.18592104864665904</v>
      </c>
      <c r="BA155" s="172">
        <f t="shared" ca="1" si="285"/>
        <v>0.18726484322681466</v>
      </c>
      <c r="BB155" s="172">
        <f t="shared" ca="1" si="285"/>
        <v>0.18856838489755762</v>
      </c>
      <c r="BC155" s="172">
        <f t="shared" ca="1" si="285"/>
        <v>0.18983345449475048</v>
      </c>
      <c r="BD155" s="172">
        <f t="shared" ca="1" si="285"/>
        <v>0.19106172939582239</v>
      </c>
      <c r="BE155" s="172">
        <f t="shared" ca="1" si="285"/>
        <v>0.19225479092087833</v>
      </c>
      <c r="BF155" s="172">
        <f t="shared" ca="1" si="285"/>
        <v>0.19341413110779085</v>
      </c>
      <c r="BG155" s="172">
        <f t="shared" ca="1" si="285"/>
        <v>0.19454115892215526</v>
      </c>
      <c r="BH155" s="172">
        <f t="shared" ca="1" si="285"/>
        <v>0.23490042479372103</v>
      </c>
      <c r="BI155" s="15" t="s">
        <v>73</v>
      </c>
      <c r="BJ155" s="174"/>
    </row>
    <row r="156" spans="2:62" s="280" customFormat="1" x14ac:dyDescent="0.3">
      <c r="G156" s="170"/>
      <c r="H156" s="169" t="s">
        <v>176</v>
      </c>
      <c r="I156" s="188">
        <f t="shared" ref="I156:AN156" ca="1" si="286">I99*Iout_PreReg</f>
        <v>4.444</v>
      </c>
      <c r="J156" s="188">
        <f t="shared" ca="1" si="286"/>
        <v>4.444</v>
      </c>
      <c r="K156" s="188">
        <f t="shared" ca="1" si="286"/>
        <v>4.444</v>
      </c>
      <c r="L156" s="188">
        <f t="shared" ca="1" si="286"/>
        <v>4.444</v>
      </c>
      <c r="M156" s="188">
        <f t="shared" ca="1" si="286"/>
        <v>4.444</v>
      </c>
      <c r="N156" s="188">
        <f t="shared" ca="1" si="286"/>
        <v>4.444</v>
      </c>
      <c r="O156" s="188">
        <f t="shared" ca="1" si="286"/>
        <v>4.444</v>
      </c>
      <c r="P156" s="188">
        <f t="shared" ca="1" si="286"/>
        <v>4.444</v>
      </c>
      <c r="Q156" s="188">
        <f t="shared" ca="1" si="286"/>
        <v>4.444</v>
      </c>
      <c r="R156" s="188">
        <f t="shared" ca="1" si="286"/>
        <v>4.444</v>
      </c>
      <c r="S156" s="188">
        <f t="shared" ca="1" si="286"/>
        <v>4.444</v>
      </c>
      <c r="T156" s="188">
        <f t="shared" ca="1" si="286"/>
        <v>4.444</v>
      </c>
      <c r="U156" s="188">
        <f t="shared" ca="1" si="286"/>
        <v>4.444</v>
      </c>
      <c r="V156" s="188">
        <f t="shared" ca="1" si="286"/>
        <v>4.4440000000000008</v>
      </c>
      <c r="W156" s="188">
        <f t="shared" ca="1" si="286"/>
        <v>4.444</v>
      </c>
      <c r="X156" s="188">
        <f t="shared" ca="1" si="286"/>
        <v>4.444</v>
      </c>
      <c r="Y156" s="188">
        <f t="shared" ca="1" si="286"/>
        <v>4.444</v>
      </c>
      <c r="Z156" s="188">
        <f t="shared" ca="1" si="286"/>
        <v>4.4440000000000008</v>
      </c>
      <c r="AA156" s="188">
        <f t="shared" ca="1" si="286"/>
        <v>4.444</v>
      </c>
      <c r="AB156" s="188">
        <f t="shared" ca="1" si="286"/>
        <v>4.4440000000000017</v>
      </c>
      <c r="AC156" s="188">
        <f t="shared" ca="1" si="286"/>
        <v>4.444</v>
      </c>
      <c r="AD156" s="188">
        <f t="shared" ca="1" si="286"/>
        <v>4.444</v>
      </c>
      <c r="AE156" s="188">
        <f t="shared" ca="1" si="286"/>
        <v>4.4440000000000008</v>
      </c>
      <c r="AF156" s="188">
        <f t="shared" ca="1" si="286"/>
        <v>4.444</v>
      </c>
      <c r="AG156" s="188">
        <f t="shared" ca="1" si="286"/>
        <v>4.444</v>
      </c>
      <c r="AH156" s="188">
        <f t="shared" ca="1" si="286"/>
        <v>4.444</v>
      </c>
      <c r="AI156" s="188">
        <f t="shared" ca="1" si="286"/>
        <v>4.4439999999999991</v>
      </c>
      <c r="AJ156" s="188">
        <f t="shared" ca="1" si="286"/>
        <v>4.444</v>
      </c>
      <c r="AK156" s="188">
        <f t="shared" ca="1" si="286"/>
        <v>4.444</v>
      </c>
      <c r="AL156" s="188">
        <f t="shared" ca="1" si="286"/>
        <v>4.444</v>
      </c>
      <c r="AM156" s="188">
        <f t="shared" ca="1" si="286"/>
        <v>4.444</v>
      </c>
      <c r="AN156" s="188">
        <f t="shared" ca="1" si="286"/>
        <v>4.444</v>
      </c>
      <c r="AO156" s="188">
        <f t="shared" ref="AO156:BH156" ca="1" si="287">AO99*Iout_PreReg</f>
        <v>4.4440000000000008</v>
      </c>
      <c r="AP156" s="188">
        <f t="shared" ca="1" si="287"/>
        <v>4.444</v>
      </c>
      <c r="AQ156" s="188">
        <f t="shared" ca="1" si="287"/>
        <v>4.4440000000000008</v>
      </c>
      <c r="AR156" s="188">
        <f t="shared" ca="1" si="287"/>
        <v>4.444</v>
      </c>
      <c r="AS156" s="188">
        <f t="shared" ca="1" si="287"/>
        <v>4.444</v>
      </c>
      <c r="AT156" s="188">
        <f t="shared" ca="1" si="287"/>
        <v>4.444</v>
      </c>
      <c r="AU156" s="188">
        <f t="shared" ca="1" si="287"/>
        <v>4.4439999999999991</v>
      </c>
      <c r="AV156" s="188">
        <f t="shared" ca="1" si="287"/>
        <v>4.444</v>
      </c>
      <c r="AW156" s="188">
        <f t="shared" ca="1" si="287"/>
        <v>4.4439999999999991</v>
      </c>
      <c r="AX156" s="188">
        <f t="shared" ca="1" si="287"/>
        <v>4.444</v>
      </c>
      <c r="AY156" s="188">
        <f t="shared" ca="1" si="287"/>
        <v>4.444</v>
      </c>
      <c r="AZ156" s="188">
        <f t="shared" ca="1" si="287"/>
        <v>4.444</v>
      </c>
      <c r="BA156" s="188">
        <f t="shared" ca="1" si="287"/>
        <v>4.444</v>
      </c>
      <c r="BB156" s="188">
        <f t="shared" ca="1" si="287"/>
        <v>4.444</v>
      </c>
      <c r="BC156" s="188">
        <f t="shared" ca="1" si="287"/>
        <v>4.444</v>
      </c>
      <c r="BD156" s="188">
        <f t="shared" ca="1" si="287"/>
        <v>4.444</v>
      </c>
      <c r="BE156" s="188">
        <f t="shared" ca="1" si="287"/>
        <v>4.444</v>
      </c>
      <c r="BF156" s="188">
        <f t="shared" ca="1" si="287"/>
        <v>4.444</v>
      </c>
      <c r="BG156" s="188">
        <f t="shared" ca="1" si="287"/>
        <v>4.444</v>
      </c>
      <c r="BH156" s="188">
        <f t="shared" ca="1" si="287"/>
        <v>4.4440000000000008</v>
      </c>
      <c r="BI156" s="15"/>
      <c r="BJ156" s="174"/>
    </row>
    <row r="157" spans="2:62" s="280" customFormat="1" x14ac:dyDescent="0.3">
      <c r="G157" s="170"/>
      <c r="H157" s="187" t="s">
        <v>177</v>
      </c>
      <c r="I157" s="188">
        <f t="shared" ref="I157:AN157" ca="1" si="288">I88+I155+I104*dcr*10^-3</f>
        <v>0.64789098062858697</v>
      </c>
      <c r="J157" s="188">
        <f t="shared" ca="1" si="288"/>
        <v>0.41909725842695544</v>
      </c>
      <c r="K157" s="188">
        <f t="shared" ca="1" si="288"/>
        <v>0.42961658217850179</v>
      </c>
      <c r="L157" s="188">
        <f t="shared" ca="1" si="288"/>
        <v>0.43980689853586052</v>
      </c>
      <c r="M157" s="188">
        <f t="shared" ca="1" si="288"/>
        <v>0.4497274979895986</v>
      </c>
      <c r="N157" s="188">
        <f t="shared" ca="1" si="288"/>
        <v>0.45942892350454911</v>
      </c>
      <c r="O157" s="188">
        <f t="shared" ca="1" si="288"/>
        <v>0.46220740828739898</v>
      </c>
      <c r="P157" s="188">
        <f t="shared" ca="1" si="288"/>
        <v>0.47180072574645449</v>
      </c>
      <c r="Q157" s="188">
        <f t="shared" ca="1" si="288"/>
        <v>0.48127548344124954</v>
      </c>
      <c r="R157" s="188">
        <f t="shared" ca="1" si="288"/>
        <v>0.49066091730503747</v>
      </c>
      <c r="S157" s="188">
        <f t="shared" ca="1" si="288"/>
        <v>0.49998258483667046</v>
      </c>
      <c r="T157" s="188">
        <f t="shared" ca="1" si="288"/>
        <v>0.50926291963695258</v>
      </c>
      <c r="U157" s="188">
        <f t="shared" ca="1" si="288"/>
        <v>0.51852168947075161</v>
      </c>
      <c r="V157" s="188">
        <f t="shared" ca="1" si="288"/>
        <v>0.52777637673441935</v>
      </c>
      <c r="W157" s="188">
        <f t="shared" ca="1" si="288"/>
        <v>0.53704249612840194</v>
      </c>
      <c r="X157" s="188">
        <f t="shared" ca="1" si="288"/>
        <v>0.54633386121516625</v>
      </c>
      <c r="Y157" s="188">
        <f t="shared" ca="1" si="288"/>
        <v>0.55566280913944954</v>
      </c>
      <c r="Z157" s="188">
        <f t="shared" ca="1" si="288"/>
        <v>0.56504039092396297</v>
      </c>
      <c r="AA157" s="188">
        <f t="shared" ca="1" si="288"/>
        <v>0.57447653329849213</v>
      </c>
      <c r="AB157" s="188">
        <f t="shared" ca="1" si="288"/>
        <v>0.58398017687714898</v>
      </c>
      <c r="AC157" s="188">
        <f t="shared" ca="1" si="288"/>
        <v>0.59355939459504725</v>
      </c>
      <c r="AD157" s="188">
        <f t="shared" ca="1" si="288"/>
        <v>0.60322149359764654</v>
      </c>
      <c r="AE157" s="188">
        <f t="shared" ca="1" si="288"/>
        <v>0.61297310320216181</v>
      </c>
      <c r="AF157" s="188">
        <f t="shared" ca="1" si="288"/>
        <v>0.62282025108956929</v>
      </c>
      <c r="AG157" s="188">
        <f t="shared" ca="1" si="288"/>
        <v>0.63276842951366929</v>
      </c>
      <c r="AH157" s="188">
        <f t="shared" ca="1" si="288"/>
        <v>0.64282265301189356</v>
      </c>
      <c r="AI157" s="188">
        <f t="shared" ca="1" si="288"/>
        <v>0.65298750885671841</v>
      </c>
      <c r="AJ157" s="188">
        <f t="shared" ca="1" si="288"/>
        <v>0.66326720128533523</v>
      </c>
      <c r="AK157" s="188">
        <f t="shared" ca="1" si="288"/>
        <v>0.67366559037992257</v>
      </c>
      <c r="AL157" s="188">
        <f t="shared" ca="1" si="288"/>
        <v>0.68418622633448389</v>
      </c>
      <c r="AM157" s="188">
        <f t="shared" ca="1" si="288"/>
        <v>0.69483237973124024</v>
      </c>
      <c r="AN157" s="188">
        <f t="shared" ca="1" si="288"/>
        <v>0.70560706835568188</v>
      </c>
      <c r="AO157" s="188">
        <f t="shared" ref="AO157:BH157" ca="1" si="289">AO88+AO155+AO104*dcr*10^-3</f>
        <v>0.71651308100104549</v>
      </c>
      <c r="AP157" s="188">
        <f t="shared" ca="1" si="289"/>
        <v>0.72755299864740097</v>
      </c>
      <c r="AQ157" s="188">
        <f t="shared" ca="1" si="289"/>
        <v>0.73872921334547359</v>
      </c>
      <c r="AR157" s="188">
        <f t="shared" ca="1" si="289"/>
        <v>0.75004394508889727</v>
      </c>
      <c r="AS157" s="188">
        <f t="shared" ca="1" si="289"/>
        <v>0.7614992569194069</v>
      </c>
      <c r="AT157" s="188">
        <f t="shared" ca="1" si="289"/>
        <v>0.77309706847619597</v>
      </c>
      <c r="AU157" s="188">
        <f t="shared" ca="1" si="289"/>
        <v>0.78483916817243748</v>
      </c>
      <c r="AV157" s="188">
        <f t="shared" ca="1" si="289"/>
        <v>0.79672722415784525</v>
      </c>
      <c r="AW157" s="188">
        <f t="shared" ca="1" si="289"/>
        <v>0.80876279420556962</v>
      </c>
      <c r="AX157" s="188">
        <f t="shared" ca="1" si="289"/>
        <v>0.8209473346440801</v>
      </c>
      <c r="AY157" s="188">
        <f t="shared" ca="1" si="289"/>
        <v>0.83328220843950107</v>
      </c>
      <c r="AZ157" s="188">
        <f t="shared" ca="1" si="289"/>
        <v>0.84576869252083364</v>
      </c>
      <c r="BA157" s="188">
        <f t="shared" ca="1" si="289"/>
        <v>0.85840798442920063</v>
      </c>
      <c r="BB157" s="188">
        <f t="shared" ca="1" si="289"/>
        <v>0.87120120836251169</v>
      </c>
      <c r="BC157" s="188">
        <f t="shared" ca="1" si="289"/>
        <v>0.88414942067847724</v>
      </c>
      <c r="BD157" s="188">
        <f t="shared" ca="1" si="289"/>
        <v>0.89725361491155164</v>
      </c>
      <c r="BE157" s="188">
        <f t="shared" ca="1" si="289"/>
        <v>0.91051472635298714</v>
      </c>
      <c r="BF157" s="188">
        <f t="shared" ca="1" si="289"/>
        <v>0.9239336362375834</v>
      </c>
      <c r="BG157" s="188">
        <f t="shared" ca="1" si="289"/>
        <v>0.93751117557584496</v>
      </c>
      <c r="BH157" s="188">
        <f t="shared" ca="1" si="289"/>
        <v>1.4293085858569765</v>
      </c>
      <c r="BI157" s="15"/>
      <c r="BJ157" s="174"/>
    </row>
    <row r="158" spans="2:62" s="280" customFormat="1" x14ac:dyDescent="0.3">
      <c r="G158" s="170"/>
      <c r="H158" s="187" t="s">
        <v>178</v>
      </c>
      <c r="I158" s="193">
        <f ca="1">I156/(I156+I157)</f>
        <v>0.87276024111800499</v>
      </c>
      <c r="J158" s="193">
        <f t="shared" ref="J158:BH158" ca="1" si="290">J156/(J156+J157)</f>
        <v>0.91382091779046204</v>
      </c>
      <c r="K158" s="193">
        <f t="shared" ca="1" si="290"/>
        <v>0.91184850614849478</v>
      </c>
      <c r="L158" s="193">
        <f t="shared" ca="1" si="290"/>
        <v>0.90994588695394318</v>
      </c>
      <c r="M158" s="193">
        <f t="shared" ca="1" si="290"/>
        <v>0.90810123813098464</v>
      </c>
      <c r="N158" s="193">
        <f t="shared" ca="1" si="290"/>
        <v>0.90630456142592786</v>
      </c>
      <c r="O158" s="193">
        <f t="shared" ca="1" si="290"/>
        <v>0.90579130276745867</v>
      </c>
      <c r="P158" s="193">
        <f t="shared" ca="1" si="290"/>
        <v>0.904023626654473</v>
      </c>
      <c r="Q158" s="193">
        <f t="shared" ca="1" si="290"/>
        <v>0.90228455544074737</v>
      </c>
      <c r="R158" s="193">
        <f t="shared" ca="1" si="290"/>
        <v>0.90056846346131481</v>
      </c>
      <c r="S158" s="193">
        <f t="shared" ca="1" si="290"/>
        <v>0.89887048017318449</v>
      </c>
      <c r="T158" s="193">
        <f t="shared" ca="1" si="290"/>
        <v>0.89718637433559068</v>
      </c>
      <c r="U158" s="193">
        <f t="shared" ca="1" si="290"/>
        <v>0.8955124588027642</v>
      </c>
      <c r="V158" s="193">
        <f t="shared" ca="1" si="290"/>
        <v>0.89384551179651506</v>
      </c>
      <c r="W158" s="193">
        <f t="shared" ca="1" si="290"/>
        <v>0.89218271144126415</v>
      </c>
      <c r="X158" s="193">
        <f t="shared" ca="1" si="290"/>
        <v>0.89052158103864176</v>
      </c>
      <c r="Y158" s="193">
        <f t="shared" ca="1" si="290"/>
        <v>0.88885994308982386</v>
      </c>
      <c r="Z158" s="193">
        <f t="shared" ca="1" si="290"/>
        <v>0.88719588048286102</v>
      </c>
      <c r="AA158" s="193">
        <f t="shared" ca="1" si="290"/>
        <v>0.88552770357961474</v>
      </c>
      <c r="AB158" s="193">
        <f t="shared" ca="1" si="290"/>
        <v>0.8838539221847419</v>
      </c>
      <c r="AC158" s="193">
        <f t="shared" ca="1" si="290"/>
        <v>0.88217322157394407</v>
      </c>
      <c r="AD158" s="193">
        <f t="shared" ca="1" si="290"/>
        <v>0.88048444191267861</v>
      </c>
      <c r="AE158" s="193">
        <f t="shared" ca="1" si="290"/>
        <v>0.87878656051897597</v>
      </c>
      <c r="AF158" s="193">
        <f t="shared" ca="1" si="290"/>
        <v>0.87707867652189986</v>
      </c>
      <c r="AG158" s="193">
        <f t="shared" ca="1" si="290"/>
        <v>0.87535999754586291</v>
      </c>
      <c r="AH158" s="193">
        <f t="shared" ca="1" si="290"/>
        <v>0.87362982811455403</v>
      </c>
      <c r="AI158" s="193">
        <f t="shared" ca="1" si="290"/>
        <v>0.87188755951980212</v>
      </c>
      <c r="AJ158" s="193">
        <f t="shared" ca="1" si="290"/>
        <v>0.87013266094274211</v>
      </c>
      <c r="AK158" s="193">
        <f t="shared" ca="1" si="290"/>
        <v>0.86836467164906894</v>
      </c>
      <c r="AL158" s="193">
        <f t="shared" ca="1" si="290"/>
        <v>0.86658319410847029</v>
      </c>
      <c r="AM158" s="193">
        <f t="shared" ca="1" si="290"/>
        <v>0.86478788791169336</v>
      </c>
      <c r="AN158" s="193">
        <f t="shared" ca="1" si="290"/>
        <v>0.86297846437806203</v>
      </c>
      <c r="AO158" s="193">
        <f t="shared" ca="1" si="290"/>
        <v>0.86115468176236942</v>
      </c>
      <c r="AP158" s="193">
        <f t="shared" ca="1" si="290"/>
        <v>0.85931634098351306</v>
      </c>
      <c r="AQ158" s="193">
        <f t="shared" ca="1" si="290"/>
        <v>0.85746328180850084</v>
      </c>
      <c r="AR158" s="193">
        <f t="shared" ca="1" si="290"/>
        <v>0.85559537943492303</v>
      </c>
      <c r="AS158" s="193">
        <f t="shared" ca="1" si="290"/>
        <v>0.8537125414229606</v>
      </c>
      <c r="AT158" s="193">
        <f t="shared" ca="1" si="290"/>
        <v>0.85181470493474998</v>
      </c>
      <c r="AU158" s="193">
        <f t="shared" ca="1" si="290"/>
        <v>0.84990183424464527</v>
      </c>
      <c r="AV158" s="193">
        <f t="shared" ca="1" si="290"/>
        <v>0.84797391848878867</v>
      </c>
      <c r="AW158" s="193">
        <f t="shared" ca="1" si="290"/>
        <v>0.84603096962654922</v>
      </c>
      <c r="AX158" s="193">
        <f t="shared" ca="1" si="290"/>
        <v>0.84407302058994338</v>
      </c>
      <c r="AY158" s="193">
        <f t="shared" ca="1" si="290"/>
        <v>0.84210012360019237</v>
      </c>
      <c r="AZ158" s="193">
        <f t="shared" ca="1" si="290"/>
        <v>0.84011234863319062</v>
      </c>
      <c r="BA158" s="193">
        <f t="shared" ca="1" si="290"/>
        <v>0.8381097820179132</v>
      </c>
      <c r="BB158" s="193">
        <f t="shared" ca="1" si="290"/>
        <v>0.83609252515373578</v>
      </c>
      <c r="BC158" s="193">
        <f t="shared" ca="1" si="290"/>
        <v>0.83406069333433019</v>
      </c>
      <c r="BD158" s="193">
        <f t="shared" ca="1" si="290"/>
        <v>0.83201441466725601</v>
      </c>
      <c r="BE158" s="193">
        <f t="shared" ca="1" si="290"/>
        <v>0.82995382907964332</v>
      </c>
      <c r="BF158" s="193">
        <f t="shared" ca="1" si="290"/>
        <v>0.82787908740146532</v>
      </c>
      <c r="BG158" s="193">
        <f t="shared" ca="1" si="290"/>
        <v>0.82579035051887129</v>
      </c>
      <c r="BH158" s="193">
        <f t="shared" ca="1" si="290"/>
        <v>0.75664336975265112</v>
      </c>
      <c r="BI158" s="15"/>
      <c r="BJ158" s="174"/>
    </row>
    <row r="159" spans="2:62" s="280" customFormat="1" x14ac:dyDescent="0.3">
      <c r="G159" s="15"/>
      <c r="H159" s="15"/>
      <c r="I159" s="15"/>
      <c r="J159" s="15"/>
      <c r="K159" s="15"/>
      <c r="L159" s="15"/>
      <c r="M159" s="15"/>
      <c r="N159" s="15"/>
      <c r="O159" s="15"/>
      <c r="P159" s="167"/>
      <c r="Q159" s="167"/>
      <c r="R159" s="167"/>
      <c r="S159" s="167"/>
      <c r="T159" s="167"/>
      <c r="U159" s="167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99"/>
      <c r="BJ159" s="174"/>
    </row>
    <row r="160" spans="2:62" s="280" customFormat="1" x14ac:dyDescent="0.3">
      <c r="G160" s="199"/>
      <c r="H160" s="199"/>
      <c r="I160" s="199"/>
      <c r="J160" s="167"/>
      <c r="K160" s="167"/>
      <c r="L160" s="15"/>
      <c r="M160" s="15"/>
      <c r="N160" s="15"/>
      <c r="O160" s="15"/>
      <c r="P160" s="167"/>
      <c r="Q160" s="167"/>
      <c r="R160" s="167"/>
      <c r="S160" s="167"/>
      <c r="T160" s="167"/>
      <c r="U160" s="167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99"/>
      <c r="BJ160" s="174"/>
    </row>
    <row r="161" spans="7:62" s="280" customFormat="1" x14ac:dyDescent="0.3">
      <c r="G161" s="200"/>
      <c r="H161" s="200"/>
      <c r="I161" s="200"/>
      <c r="J161" s="15"/>
      <c r="K161" s="15"/>
      <c r="L161" s="15"/>
      <c r="M161" s="15"/>
      <c r="N161" s="201"/>
      <c r="O161" s="201"/>
      <c r="P161" s="167"/>
      <c r="Q161" s="99"/>
      <c r="R161" s="99"/>
      <c r="S161" s="99"/>
      <c r="T161" s="99"/>
      <c r="U161" s="99"/>
      <c r="V161" s="167"/>
      <c r="W161" s="167"/>
      <c r="X161" s="167"/>
      <c r="Y161" s="167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99"/>
      <c r="BJ161" s="174"/>
    </row>
    <row r="162" spans="7:62" s="280" customFormat="1" x14ac:dyDescent="0.3">
      <c r="G162" s="200"/>
      <c r="H162" s="200"/>
      <c r="I162" s="200"/>
      <c r="J162" s="15"/>
      <c r="K162" s="15"/>
      <c r="L162" s="15"/>
      <c r="M162" s="15"/>
      <c r="N162" s="201"/>
      <c r="O162" s="201"/>
      <c r="P162" s="175"/>
      <c r="Q162" s="99"/>
      <c r="R162" s="202" t="s">
        <v>99</v>
      </c>
      <c r="S162" s="203">
        <v>80</v>
      </c>
      <c r="T162" s="99"/>
      <c r="U162" s="99"/>
      <c r="V162" s="167"/>
      <c r="W162" s="167"/>
      <c r="X162" s="167"/>
      <c r="Y162" s="167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99"/>
      <c r="BJ162" s="174"/>
    </row>
    <row r="163" spans="7:62" s="280" customFormat="1" x14ac:dyDescent="0.3">
      <c r="G163" s="200"/>
      <c r="H163" s="200"/>
      <c r="I163" s="200"/>
      <c r="J163" s="15"/>
      <c r="K163" s="15"/>
      <c r="L163" s="164" t="s">
        <v>2</v>
      </c>
      <c r="M163" s="167">
        <f>Vin_min</f>
        <v>3.5</v>
      </c>
      <c r="N163" s="167">
        <f>Vin_max</f>
        <v>18</v>
      </c>
      <c r="O163" s="201"/>
      <c r="P163" s="204"/>
      <c r="Q163" s="99"/>
      <c r="R163" s="202" t="s">
        <v>195</v>
      </c>
      <c r="S163" s="175">
        <f>(1/(fsw*10^3)-t_off_min*10^-9)*fsw*10^3</f>
        <v>0.84000000000000008</v>
      </c>
      <c r="T163" s="99" t="str">
        <f ca="1">IF(MAX(J12:BG12)&gt;S163,"Increase Boost Duty Cycle","OK")</f>
        <v>OK</v>
      </c>
      <c r="U163" s="99"/>
      <c r="V163" s="205"/>
      <c r="W163" s="166" t="s">
        <v>30</v>
      </c>
      <c r="X163" s="206">
        <v>0.9</v>
      </c>
      <c r="Y163" s="205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99"/>
      <c r="BJ163" s="174"/>
    </row>
    <row r="164" spans="7:62" s="280" customFormat="1" x14ac:dyDescent="0.3">
      <c r="G164" s="200"/>
      <c r="H164" s="200"/>
      <c r="I164" s="200"/>
      <c r="J164" s="15"/>
      <c r="K164" s="15"/>
      <c r="L164" s="207" t="s">
        <v>17</v>
      </c>
      <c r="M164" s="205">
        <f>Ta</f>
        <v>125</v>
      </c>
      <c r="N164" s="205">
        <f>Ta</f>
        <v>125</v>
      </c>
      <c r="O164" s="201"/>
      <c r="P164" s="167"/>
      <c r="Q164" s="99"/>
      <c r="R164" s="99"/>
      <c r="S164" s="208" t="s">
        <v>105</v>
      </c>
      <c r="T164" s="175" t="s">
        <v>106</v>
      </c>
      <c r="U164" s="175" t="s">
        <v>104</v>
      </c>
      <c r="V164" s="167"/>
      <c r="W164" s="167"/>
      <c r="X164" s="167"/>
      <c r="Y164" s="167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99"/>
      <c r="BJ164" s="174"/>
    </row>
    <row r="165" spans="7:62" s="280" customFormat="1" x14ac:dyDescent="0.3">
      <c r="G165" s="200"/>
      <c r="H165" s="200"/>
      <c r="I165" s="200"/>
      <c r="J165" s="15"/>
      <c r="K165" s="15"/>
      <c r="L165" s="164" t="s">
        <v>90</v>
      </c>
      <c r="M165" s="167">
        <v>155</v>
      </c>
      <c r="N165" s="167">
        <v>155</v>
      </c>
      <c r="O165" s="201"/>
      <c r="P165" s="167"/>
      <c r="Q165" s="209" t="s">
        <v>103</v>
      </c>
      <c r="R165" s="99" t="s">
        <v>107</v>
      </c>
      <c r="S165" s="210">
        <f>1.25*Rds_ON_min40_7V</f>
        <v>9.9247499999999989E-2</v>
      </c>
      <c r="T165" s="210">
        <f>1.1429*Rds_ON_150_7V</f>
        <v>0.20572199999999999</v>
      </c>
      <c r="U165" s="99">
        <f>(Rds_ON_150-Rds_ON_min40)/190</f>
        <v>5.6039210526315794E-4</v>
      </c>
      <c r="V165" s="167"/>
      <c r="W165" s="167"/>
      <c r="X165" s="167" t="s">
        <v>271</v>
      </c>
      <c r="Y165" s="167" t="s">
        <v>272</v>
      </c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99"/>
      <c r="BJ165" s="174"/>
    </row>
    <row r="166" spans="7:62" s="280" customFormat="1" x14ac:dyDescent="0.3">
      <c r="G166" s="200"/>
      <c r="H166" s="200"/>
      <c r="I166" s="200"/>
      <c r="J166" s="15"/>
      <c r="K166" s="15"/>
      <c r="L166" s="164" t="s">
        <v>2</v>
      </c>
      <c r="M166" s="167">
        <v>2</v>
      </c>
      <c r="N166" s="167">
        <v>18</v>
      </c>
      <c r="O166" s="201"/>
      <c r="P166" s="167"/>
      <c r="Q166" s="99"/>
      <c r="R166" s="99" t="s">
        <v>323</v>
      </c>
      <c r="S166" s="210">
        <f>1.1667*Rds_ON_min40_7V</f>
        <v>9.2633646600000008E-2</v>
      </c>
      <c r="T166" s="210">
        <f>1.0714*Rds_ON_150_7V</f>
        <v>0.19285199999999997</v>
      </c>
      <c r="U166" s="99">
        <f>(T166-S166)/190</f>
        <v>5.2746501789473666E-4</v>
      </c>
      <c r="V166" s="167"/>
      <c r="W166" s="211" t="s">
        <v>122</v>
      </c>
      <c r="X166" s="212">
        <f ca="1">ROUNDUP(2*MAX(J23:BG23)/(8*C48*fsw),0)</f>
        <v>1</v>
      </c>
      <c r="Y166" s="212">
        <f ca="1">ROUNDUP(2*MAX(J44:BG44)/(8*C114*fsw),0)</f>
        <v>1</v>
      </c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99"/>
      <c r="BJ166" s="174"/>
    </row>
    <row r="167" spans="7:62" s="280" customFormat="1" x14ac:dyDescent="0.3">
      <c r="G167" s="200"/>
      <c r="H167" s="200"/>
      <c r="I167" s="200"/>
      <c r="J167" s="15"/>
      <c r="K167" s="15"/>
      <c r="L167" s="164" t="s">
        <v>98</v>
      </c>
      <c r="M167" s="167">
        <v>4.75</v>
      </c>
      <c r="N167" s="167">
        <v>4.75</v>
      </c>
      <c r="O167" s="201"/>
      <c r="P167" s="167"/>
      <c r="Q167" s="99"/>
      <c r="R167" s="99" t="s">
        <v>108</v>
      </c>
      <c r="S167" s="210">
        <f>Rds_ON_150_7V*0.4411</f>
        <v>7.9397999999999996E-2</v>
      </c>
      <c r="T167" s="210">
        <f>V175</f>
        <v>0.18</v>
      </c>
      <c r="U167" s="99">
        <f>(T167-S167)/190</f>
        <v>5.2948421052631577E-4</v>
      </c>
      <c r="V167" s="167"/>
      <c r="W167" s="211" t="s">
        <v>123</v>
      </c>
      <c r="X167" s="212">
        <f>IF(Vin_min_transient&gt;Vreg,ROUNDUP(L_buck*I_step^2/(2*V_transient*D_max_IC*(Vin_min_transient-Vreg)),0),ROUNDUP(L_buck*I_step^2/(2*V_transient*D_max_IC*(0.7)),0))</f>
        <v>43</v>
      </c>
      <c r="Y167" s="212">
        <f>IF(Vin_min_transient2&gt;Vout_sync_buck,ROUNDUP(L_buck2*I_step2^2/(2*V_transient2*D_max_IC*(Vin_min_transient2-Vout_sync_buck)),0),ROUNDUP(L_buck2*I_step2^2/(2*V_transient2*D_max_IC*(0.7)),0))</f>
        <v>15</v>
      </c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99"/>
      <c r="BJ167" s="174"/>
    </row>
    <row r="168" spans="7:62" s="280" customFormat="1" x14ac:dyDescent="0.3">
      <c r="G168" s="200"/>
      <c r="H168" s="200"/>
      <c r="I168" s="200"/>
      <c r="J168" s="15"/>
      <c r="K168" s="15"/>
      <c r="L168" s="164" t="s">
        <v>2</v>
      </c>
      <c r="M168" s="167">
        <v>0</v>
      </c>
      <c r="N168" s="167">
        <v>14</v>
      </c>
      <c r="O168" s="201"/>
      <c r="P168" s="175"/>
      <c r="Q168" s="99" t="s">
        <v>261</v>
      </c>
      <c r="R168" s="99"/>
      <c r="S168" s="167"/>
      <c r="T168" s="175"/>
      <c r="U168" s="99">
        <f>(Rds_ON_3V3_150-Rds_ON_3V3_min40)/190</f>
        <v>9.2473684210526324E-4</v>
      </c>
      <c r="V168" s="175"/>
      <c r="W168" s="211" t="s">
        <v>124</v>
      </c>
      <c r="X168" s="212">
        <f>ROUNDUP(L_buck*I_step^2/(2*V_transient*D_max_IC*Vreg),0)</f>
        <v>6</v>
      </c>
      <c r="Y168" s="212">
        <f>ROUNDUP(L_buck2*I_step2^2/(2*V_transient2*D_max_IC*Vout_sync_buck),0)</f>
        <v>9</v>
      </c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99"/>
      <c r="BJ168" s="174"/>
    </row>
    <row r="169" spans="7:62" s="280" customFormat="1" x14ac:dyDescent="0.3">
      <c r="G169" s="200"/>
      <c r="H169" s="183"/>
      <c r="I169" s="200"/>
      <c r="J169" s="15"/>
      <c r="K169" s="15"/>
      <c r="L169" s="164" t="s">
        <v>100</v>
      </c>
      <c r="M169" s="167">
        <f>(1/(fsw*10^3)-t_off_min*10^-9)*fsw*10^3</f>
        <v>0.84000000000000008</v>
      </c>
      <c r="N169" s="167">
        <f>(1/(fsw*10^3)-t_off_min*10^-9)*fsw*10^3</f>
        <v>0.84000000000000008</v>
      </c>
      <c r="O169" s="201"/>
      <c r="P169" s="167"/>
      <c r="Q169" s="99" t="s">
        <v>262</v>
      </c>
      <c r="R169" s="99"/>
      <c r="S169" s="167"/>
      <c r="T169" s="175"/>
      <c r="U169" s="99">
        <f>(Rds_ON_V5CAN_150-Rds_ON_V5CAN_min40)/190</f>
        <v>1.3831578947368422E-3</v>
      </c>
      <c r="V169" s="167"/>
      <c r="W169" s="213" t="s">
        <v>134</v>
      </c>
      <c r="X169" s="99"/>
      <c r="Y169" s="99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99"/>
      <c r="BJ169" s="174"/>
    </row>
    <row r="170" spans="7:62" s="280" customFormat="1" x14ac:dyDescent="0.3">
      <c r="G170" s="200"/>
      <c r="H170" s="15"/>
      <c r="I170" s="200"/>
      <c r="J170" s="15"/>
      <c r="K170" s="15"/>
      <c r="L170" s="15"/>
      <c r="M170" s="15"/>
      <c r="N170" s="15"/>
      <c r="O170" s="15"/>
      <c r="P170" s="167"/>
      <c r="Q170" s="99"/>
      <c r="R170" s="99"/>
      <c r="S170" s="99"/>
      <c r="T170" s="15"/>
      <c r="U170" s="99"/>
      <c r="V170" s="167"/>
      <c r="W170" s="213" t="s">
        <v>135</v>
      </c>
      <c r="X170" s="214">
        <v>1.8</v>
      </c>
      <c r="Y170" s="214">
        <v>2.8</v>
      </c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99"/>
      <c r="BJ170" s="174"/>
    </row>
    <row r="171" spans="7:62" s="280" customFormat="1" x14ac:dyDescent="0.3">
      <c r="G171" s="200"/>
      <c r="H171" s="200"/>
      <c r="I171" s="200"/>
      <c r="J171" s="15"/>
      <c r="K171" s="15"/>
      <c r="L171" s="15"/>
      <c r="M171" s="15"/>
      <c r="N171" s="15"/>
      <c r="O171" s="15"/>
      <c r="P171" s="167"/>
      <c r="Q171" s="99"/>
      <c r="R171" s="99"/>
      <c r="S171" s="99"/>
      <c r="T171" s="15"/>
      <c r="U171" s="99"/>
      <c r="V171" s="167"/>
      <c r="W171" s="211" t="s">
        <v>136</v>
      </c>
      <c r="X171" s="215">
        <f>C57*C55</f>
        <v>42.5</v>
      </c>
      <c r="Y171" s="215">
        <f>C123*C121</f>
        <v>17</v>
      </c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99"/>
      <c r="BJ171" s="174"/>
    </row>
    <row r="172" spans="7:62" s="280" customFormat="1" x14ac:dyDescent="0.3">
      <c r="G172" s="200"/>
      <c r="H172" s="200"/>
      <c r="I172" s="200"/>
      <c r="J172" s="15"/>
      <c r="K172" s="15"/>
      <c r="L172" s="15"/>
      <c r="M172" s="15"/>
      <c r="N172" s="15"/>
      <c r="O172" s="15"/>
      <c r="P172" s="167"/>
      <c r="Q172" s="167"/>
      <c r="R172" s="167"/>
      <c r="S172" s="167"/>
      <c r="T172" s="167"/>
      <c r="U172" s="167"/>
      <c r="V172" s="167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99"/>
      <c r="BJ172" s="174"/>
    </row>
    <row r="173" spans="7:62" s="280" customFormat="1" x14ac:dyDescent="0.3">
      <c r="G173" s="200"/>
      <c r="H173" s="200"/>
      <c r="I173" s="200"/>
      <c r="J173" s="15"/>
      <c r="K173" s="15"/>
      <c r="L173" s="15"/>
      <c r="M173" s="15"/>
      <c r="N173" s="15"/>
      <c r="O173" s="15"/>
      <c r="P173" s="167"/>
      <c r="Q173" s="167"/>
      <c r="R173" s="167"/>
      <c r="S173" s="234" t="s">
        <v>302</v>
      </c>
      <c r="T173" s="234"/>
      <c r="U173" s="234"/>
      <c r="V173" s="234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99"/>
      <c r="BJ173" s="174"/>
    </row>
    <row r="174" spans="7:62" s="280" customFormat="1" x14ac:dyDescent="0.3">
      <c r="G174" s="170"/>
      <c r="H174" s="166"/>
      <c r="I174" s="216"/>
      <c r="J174" s="167"/>
      <c r="K174" s="167"/>
      <c r="L174" s="167"/>
      <c r="M174" s="167"/>
      <c r="N174" s="167"/>
      <c r="O174" s="167"/>
      <c r="P174" s="167"/>
      <c r="Q174" s="167"/>
      <c r="R174" s="167"/>
      <c r="S174" s="15"/>
      <c r="T174" s="167" t="s">
        <v>10</v>
      </c>
      <c r="U174" s="167" t="s">
        <v>80</v>
      </c>
      <c r="V174" s="167" t="s">
        <v>33</v>
      </c>
      <c r="W174" s="167" t="s">
        <v>263</v>
      </c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99"/>
      <c r="BJ174" s="174"/>
    </row>
    <row r="175" spans="7:62" s="280" customFormat="1" x14ac:dyDescent="0.3">
      <c r="G175" s="170"/>
      <c r="H175" s="15"/>
      <c r="I175" s="15"/>
      <c r="J175" s="167"/>
      <c r="K175" s="167"/>
      <c r="L175" s="235" t="s">
        <v>311</v>
      </c>
      <c r="M175" s="235"/>
      <c r="N175" s="235"/>
      <c r="O175" s="167"/>
      <c r="P175" s="167"/>
      <c r="Q175" s="167"/>
      <c r="R175" s="167"/>
      <c r="S175" s="15" t="s">
        <v>83</v>
      </c>
      <c r="T175" s="168">
        <f>IF(Topology="Buck",I99,Vreg)</f>
        <v>5.35</v>
      </c>
      <c r="U175" s="172">
        <f ca="1">IF(Topology="Buck",I111,I33)</f>
        <v>0.27345305239789502</v>
      </c>
      <c r="V175" s="190">
        <v>0.18</v>
      </c>
      <c r="W175" s="175"/>
      <c r="X175" s="217">
        <f ca="1">J31</f>
        <v>0.60009570381884203</v>
      </c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99"/>
      <c r="BJ175" s="174"/>
    </row>
    <row r="176" spans="7:62" s="280" customFormat="1" x14ac:dyDescent="0.3">
      <c r="G176" s="170"/>
      <c r="H176" s="15"/>
      <c r="I176" s="15"/>
      <c r="J176" s="167"/>
      <c r="K176" s="167"/>
      <c r="L176" s="218" t="s">
        <v>2</v>
      </c>
      <c r="M176" s="205">
        <v>3.5</v>
      </c>
      <c r="N176" s="205">
        <v>6.5</v>
      </c>
      <c r="O176" s="167"/>
      <c r="P176" s="167"/>
      <c r="Q176" s="167"/>
      <c r="R176" s="167"/>
      <c r="S176" s="219" t="s">
        <v>253</v>
      </c>
      <c r="T176" s="220">
        <f ca="1">IF(Topology="Buck",I112,I34)</f>
        <v>3.3</v>
      </c>
      <c r="U176" s="221">
        <f ca="1">IF(Topology="Buck",I115,I36)</f>
        <v>0</v>
      </c>
      <c r="V176" s="222">
        <v>0.503</v>
      </c>
      <c r="W176" s="222">
        <v>0.32729999999999998</v>
      </c>
      <c r="X176" s="223">
        <f ca="1">J4</f>
        <v>153.97578429325696</v>
      </c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99"/>
      <c r="BJ176" s="174"/>
    </row>
    <row r="177" spans="7:62" s="280" customFormat="1" x14ac:dyDescent="0.3">
      <c r="G177" s="170"/>
      <c r="H177" s="15"/>
      <c r="I177" s="15"/>
      <c r="J177" s="167"/>
      <c r="K177" s="167"/>
      <c r="L177" s="218" t="s">
        <v>89</v>
      </c>
      <c r="M177" s="205">
        <v>0.57999999999999996</v>
      </c>
      <c r="N177" s="205">
        <v>0.2</v>
      </c>
      <c r="O177" s="167"/>
      <c r="P177" s="224" t="s">
        <v>3</v>
      </c>
      <c r="Q177" s="225">
        <v>1.4999999999999999E-2</v>
      </c>
      <c r="R177" s="167"/>
      <c r="S177" s="219" t="s">
        <v>254</v>
      </c>
      <c r="T177" s="220">
        <f ca="1">IF(Topology="Buck",I136,I57)</f>
        <v>5</v>
      </c>
      <c r="U177" s="221">
        <f ca="1">IF(Topology="Buck",I139,I59)</f>
        <v>0</v>
      </c>
      <c r="V177" s="222">
        <v>0.69899999999999995</v>
      </c>
      <c r="W177" s="222">
        <v>0.2402</v>
      </c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99"/>
      <c r="BJ177" s="174"/>
    </row>
    <row r="178" spans="7:62" s="280" customFormat="1" x14ac:dyDescent="0.3">
      <c r="G178" s="170"/>
      <c r="H178" s="15"/>
      <c r="I178" s="15"/>
      <c r="J178" s="167"/>
      <c r="K178" s="167"/>
      <c r="L178" s="15"/>
      <c r="M178" s="167" t="s">
        <v>42</v>
      </c>
      <c r="N178" s="167" t="s">
        <v>43</v>
      </c>
      <c r="O178" s="167"/>
      <c r="P178" s="224" t="s">
        <v>324</v>
      </c>
      <c r="Q178" s="186">
        <f>Rds_ON_150/Rds_on_coeff_150</f>
        <v>0.13158971522718002</v>
      </c>
      <c r="R178" s="167"/>
      <c r="S178" s="15" t="s">
        <v>310</v>
      </c>
      <c r="T178" s="168">
        <f ca="1">IF(Topology="Buck",I140,I60)</f>
        <v>5</v>
      </c>
      <c r="U178" s="172">
        <f ca="1">IF(Topology="Buck",I143,I62)</f>
        <v>1.7499999999999984E-2</v>
      </c>
      <c r="V178" s="190">
        <v>0.69899999999999995</v>
      </c>
      <c r="W178" s="190">
        <v>0.2402</v>
      </c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99"/>
      <c r="BJ178" s="174"/>
    </row>
    <row r="179" spans="7:62" s="280" customFormat="1" x14ac:dyDescent="0.3">
      <c r="G179" s="170"/>
      <c r="H179" s="15"/>
      <c r="I179" s="15"/>
      <c r="J179" s="167"/>
      <c r="K179" s="175"/>
      <c r="L179" s="15"/>
      <c r="M179" s="226">
        <f>(M177-N177)/(M176-N176)</f>
        <v>-0.12666666666666665</v>
      </c>
      <c r="N179" s="177">
        <f>M177-M179*M176</f>
        <v>1.0233333333333332</v>
      </c>
      <c r="O179" s="167"/>
      <c r="P179" s="224" t="s">
        <v>81</v>
      </c>
      <c r="Q179" s="177">
        <f>(150+40)*(1.34655999666222-0.667409045393858)/0.828125/(Rds_ON_150*1000)+0.667409045393858/0.828125</f>
        <v>1.5633592613589595</v>
      </c>
      <c r="R179" s="167"/>
      <c r="S179" s="15" t="s">
        <v>256</v>
      </c>
      <c r="T179" s="168">
        <f ca="1">IF(Topology="Buck",I144,I63)</f>
        <v>5</v>
      </c>
      <c r="U179" s="172">
        <f ca="1">IF(Topology="Buck",I147,I65)</f>
        <v>6.9999999999999937E-2</v>
      </c>
      <c r="V179" s="190">
        <v>0.503</v>
      </c>
      <c r="W179" s="190">
        <v>0.2402</v>
      </c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99"/>
      <c r="BJ179" s="174"/>
    </row>
    <row r="180" spans="7:62" s="280" customFormat="1" x14ac:dyDescent="0.3">
      <c r="G180" s="170"/>
      <c r="H180" s="15"/>
      <c r="I180" s="15"/>
      <c r="J180" s="167"/>
      <c r="K180" s="175"/>
      <c r="L180" s="175"/>
      <c r="M180" s="175"/>
      <c r="N180" s="175"/>
      <c r="O180" s="167"/>
      <c r="P180" s="167"/>
      <c r="Q180" s="167"/>
      <c r="R180" s="167"/>
      <c r="S180" s="15" t="s">
        <v>257</v>
      </c>
      <c r="T180" s="168">
        <f ca="1">IF(Topology="Buck",I148,I66)</f>
        <v>5</v>
      </c>
      <c r="U180" s="172">
        <f ca="1">IF(Topology="Buck",I151,I68)</f>
        <v>2.6249999999999971E-2</v>
      </c>
      <c r="V180" s="190">
        <v>0.69899999999999995</v>
      </c>
      <c r="W180" s="190">
        <v>0.2402</v>
      </c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99"/>
      <c r="BJ180" s="174"/>
    </row>
    <row r="181" spans="7:62" s="280" customFormat="1" x14ac:dyDescent="0.3">
      <c r="G181" s="170"/>
      <c r="H181" s="15"/>
      <c r="I181" s="15"/>
      <c r="J181" s="167"/>
      <c r="K181" s="175"/>
      <c r="L181" s="227" t="s">
        <v>321</v>
      </c>
      <c r="M181" s="175">
        <v>15</v>
      </c>
      <c r="N181" s="175" t="s">
        <v>289</v>
      </c>
      <c r="O181" s="167"/>
      <c r="P181" s="167"/>
      <c r="Q181" s="167"/>
      <c r="R181" s="167"/>
      <c r="S181" s="167" t="s">
        <v>265</v>
      </c>
      <c r="T181" s="175"/>
      <c r="U181" s="175"/>
      <c r="V181" s="190">
        <v>0.3</v>
      </c>
      <c r="W181" s="190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99"/>
      <c r="BJ181" s="174"/>
    </row>
    <row r="182" spans="7:62" s="280" customFormat="1" x14ac:dyDescent="0.3">
      <c r="G182" s="170"/>
      <c r="H182" s="15"/>
      <c r="I182" s="99"/>
      <c r="J182" s="175"/>
      <c r="K182" s="175"/>
      <c r="L182" s="167"/>
      <c r="M182" s="167"/>
      <c r="N182" s="167"/>
      <c r="O182" s="167"/>
      <c r="P182" s="167"/>
      <c r="Q182" s="167"/>
      <c r="R182" s="167"/>
      <c r="S182" s="167" t="s">
        <v>266</v>
      </c>
      <c r="T182" s="175"/>
      <c r="U182" s="175"/>
      <c r="V182" s="190">
        <v>0.11</v>
      </c>
      <c r="W182" s="190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99"/>
      <c r="BJ182" s="174"/>
    </row>
    <row r="183" spans="7:62" s="280" customFormat="1" x14ac:dyDescent="0.3">
      <c r="G183" s="170"/>
      <c r="H183" s="15"/>
      <c r="I183" s="99"/>
      <c r="J183" s="175"/>
      <c r="K183" s="175"/>
      <c r="L183" s="175"/>
      <c r="M183" s="175"/>
      <c r="N183" s="175"/>
      <c r="O183" s="167"/>
      <c r="P183" s="167"/>
      <c r="Q183" s="167"/>
      <c r="R183" s="167"/>
      <c r="S183" s="167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99"/>
      <c r="BJ183" s="174"/>
    </row>
    <row r="184" spans="7:62" s="280" customFormat="1" x14ac:dyDescent="0.3">
      <c r="G184" s="170"/>
      <c r="H184" s="15"/>
      <c r="I184" s="99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99"/>
      <c r="BJ184" s="174"/>
    </row>
    <row r="185" spans="7:62" x14ac:dyDescent="0.3">
      <c r="I185" s="99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</row>
    <row r="186" spans="7:62" x14ac:dyDescent="0.3">
      <c r="I186" s="99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</row>
    <row r="187" spans="7:62" x14ac:dyDescent="0.3">
      <c r="I187" s="99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</row>
    <row r="188" spans="7:62" x14ac:dyDescent="0.3">
      <c r="I188" s="99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</row>
    <row r="189" spans="7:62" x14ac:dyDescent="0.3"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J189" s="99"/>
    </row>
    <row r="190" spans="7:62" x14ac:dyDescent="0.3"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J190" s="99"/>
    </row>
    <row r="191" spans="7:62" x14ac:dyDescent="0.3"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J191" s="99"/>
    </row>
    <row r="192" spans="7:62" x14ac:dyDescent="0.3">
      <c r="I192" s="99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</row>
    <row r="193" spans="7:22" x14ac:dyDescent="0.3">
      <c r="I193" s="99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</row>
    <row r="194" spans="7:22" x14ac:dyDescent="0.3">
      <c r="G194" s="228"/>
      <c r="H194" s="99"/>
      <c r="I194" s="99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</row>
    <row r="195" spans="7:22" x14ac:dyDescent="0.3">
      <c r="G195" s="228"/>
      <c r="H195" s="99"/>
      <c r="I195" s="99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</row>
    <row r="196" spans="7:22" x14ac:dyDescent="0.3">
      <c r="G196" s="228"/>
      <c r="H196" s="99"/>
      <c r="I196" s="99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</row>
  </sheetData>
  <sheetProtection algorithmName="SHA-512" hashValue="Jhwh5mGAQM7BOfm3W6ukVtEQvhrHcpeVotgYeQoIi7d4hVikZatDvDwJsWdt+lQk/XS3pEcDbCTX7wnumTBwFw==" saltValue="eNisFB/4IFME0aCvGSN6OA==" spinCount="100000" sheet="1" objects="1" scenarios="1" selectLockedCells="1"/>
  <mergeCells count="12">
    <mergeCell ref="B113:D113"/>
    <mergeCell ref="D134:D135"/>
    <mergeCell ref="B34:B35"/>
    <mergeCell ref="D34:D35"/>
    <mergeCell ref="B37:D37"/>
    <mergeCell ref="B47:D47"/>
    <mergeCell ref="B59:D59"/>
    <mergeCell ref="B79:D79"/>
    <mergeCell ref="D95:D96"/>
    <mergeCell ref="B60:B61"/>
    <mergeCell ref="B72:D72"/>
    <mergeCell ref="B103:D103"/>
  </mergeCells>
  <dataValidations count="1">
    <dataValidation type="list" allowBlank="1" showInputMessage="1" showErrorMessage="1" sqref="C4">
      <formula1>$G$2:$G$3</formula1>
    </dataValidation>
  </dataValidations>
  <pageMargins left="0.7" right="0.7" top="0.75" bottom="0.75" header="0.3" footer="0.3"/>
  <pageSetup orientation="portrait" r:id="rId1"/>
  <ignoredErrors>
    <ignoredError sqref="C139:C140 C100:C101 C1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Macro2">
                <anchor moveWithCells="1" sizeWithCells="1">
                  <from>
                    <xdr:col>3</xdr:col>
                    <xdr:colOff>3322320</xdr:colOff>
                    <xdr:row>0</xdr:row>
                    <xdr:rowOff>152400</xdr:rowOff>
                  </from>
                  <to>
                    <xdr:col>3</xdr:col>
                    <xdr:colOff>4122420</xdr:colOff>
                    <xdr:row>2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34"/>
  <sheetViews>
    <sheetView workbookViewId="0">
      <selection activeCell="N28" sqref="N28"/>
    </sheetView>
  </sheetViews>
  <sheetFormatPr defaultRowHeight="14.4" x14ac:dyDescent="0.3"/>
  <cols>
    <col min="1" max="1" width="12.33203125" customWidth="1"/>
    <col min="2" max="2" width="11.88671875" customWidth="1"/>
    <col min="3" max="3" width="14.88671875" customWidth="1"/>
    <col min="4" max="4" width="9.33203125" bestFit="1" customWidth="1"/>
    <col min="5" max="5" width="15.6640625" customWidth="1"/>
    <col min="6" max="6" width="12.6640625" style="124" customWidth="1"/>
    <col min="7" max="7" width="9.33203125" bestFit="1" customWidth="1"/>
    <col min="8" max="8" width="18.33203125" style="283" bestFit="1" customWidth="1"/>
    <col min="9" max="9" width="18.109375" style="283" bestFit="1" customWidth="1"/>
    <col min="10" max="11" width="34.33203125" style="283" bestFit="1" customWidth="1"/>
    <col min="12" max="12" width="34.33203125" style="283" customWidth="1"/>
    <col min="13" max="13" width="35.33203125" style="283" customWidth="1"/>
    <col min="14" max="14" width="38.44140625" style="283" bestFit="1" customWidth="1"/>
    <col min="15" max="15" width="21.5546875" style="284" bestFit="1" customWidth="1"/>
    <col min="16" max="16" width="24.5546875" style="284" bestFit="1" customWidth="1"/>
    <col min="17" max="17" width="34.33203125" style="284" bestFit="1" customWidth="1"/>
    <col min="18" max="18" width="37.33203125" style="285" bestFit="1" customWidth="1"/>
    <col min="19" max="19" width="34.44140625" style="285" bestFit="1" customWidth="1"/>
    <col min="20" max="20" width="7.33203125" style="285" bestFit="1" customWidth="1"/>
    <col min="21" max="21" width="7.33203125" style="283" bestFit="1" customWidth="1"/>
    <col min="22" max="153" width="8.88671875" style="283"/>
  </cols>
  <sheetData>
    <row r="1" spans="1:20" x14ac:dyDescent="0.3">
      <c r="A1" s="149"/>
      <c r="B1" s="303" t="s">
        <v>213</v>
      </c>
      <c r="C1" s="303"/>
      <c r="D1" s="149"/>
      <c r="E1" s="304" t="s">
        <v>214</v>
      </c>
      <c r="F1" s="304"/>
      <c r="G1" s="149"/>
      <c r="O1" s="283"/>
      <c r="P1" s="283"/>
      <c r="Q1" s="283"/>
      <c r="R1" s="283"/>
      <c r="S1" s="283"/>
      <c r="T1" s="283"/>
    </row>
    <row r="2" spans="1:20" x14ac:dyDescent="0.3">
      <c r="A2" s="149"/>
      <c r="B2" s="149" t="s">
        <v>142</v>
      </c>
      <c r="C2" s="149">
        <f>Rz</f>
        <v>22.1</v>
      </c>
      <c r="D2" s="149" t="s">
        <v>202</v>
      </c>
      <c r="E2" s="149" t="s">
        <v>203</v>
      </c>
      <c r="F2" s="253">
        <v>39</v>
      </c>
      <c r="G2" s="149" t="s">
        <v>204</v>
      </c>
      <c r="O2" s="283"/>
      <c r="P2" s="283"/>
      <c r="Q2" s="283"/>
      <c r="R2" s="283"/>
      <c r="S2" s="283"/>
      <c r="T2" s="283"/>
    </row>
    <row r="3" spans="1:20" x14ac:dyDescent="0.3">
      <c r="A3" s="149"/>
      <c r="B3" s="149" t="s">
        <v>205</v>
      </c>
      <c r="C3" s="149">
        <f>Cz</f>
        <v>1.5</v>
      </c>
      <c r="D3" s="149" t="s">
        <v>239</v>
      </c>
      <c r="E3" s="149" t="s">
        <v>206</v>
      </c>
      <c r="F3" s="253">
        <v>0</v>
      </c>
      <c r="G3" s="149" t="s">
        <v>207</v>
      </c>
      <c r="O3" s="283"/>
      <c r="P3" s="283"/>
      <c r="Q3" s="283"/>
      <c r="R3" s="283"/>
      <c r="S3" s="283"/>
      <c r="T3" s="283"/>
    </row>
    <row r="4" spans="1:20" x14ac:dyDescent="0.3">
      <c r="A4" s="149"/>
      <c r="B4" s="149" t="s">
        <v>146</v>
      </c>
      <c r="C4" s="149">
        <f>Cp</f>
        <v>22</v>
      </c>
      <c r="D4" s="149" t="s">
        <v>204</v>
      </c>
      <c r="E4" s="149"/>
      <c r="F4" s="253"/>
      <c r="G4" s="149"/>
      <c r="O4" s="283"/>
      <c r="Q4" s="283"/>
      <c r="R4" s="283"/>
      <c r="S4" s="283"/>
      <c r="T4" s="283"/>
    </row>
    <row r="5" spans="1:20" x14ac:dyDescent="0.3">
      <c r="A5" s="149"/>
      <c r="B5" s="149"/>
      <c r="C5" s="231"/>
      <c r="D5" s="231"/>
      <c r="E5" s="231" t="s">
        <v>248</v>
      </c>
      <c r="F5" s="254">
        <v>60</v>
      </c>
      <c r="G5" s="149" t="s">
        <v>297</v>
      </c>
      <c r="O5" s="283"/>
      <c r="Q5" s="283"/>
      <c r="R5" s="283"/>
      <c r="S5" s="283"/>
      <c r="T5" s="283"/>
    </row>
    <row r="6" spans="1:20" x14ac:dyDescent="0.3">
      <c r="A6" s="149"/>
      <c r="B6" s="149" t="s">
        <v>208</v>
      </c>
      <c r="C6" s="232">
        <v>1300</v>
      </c>
      <c r="D6" s="231" t="s">
        <v>207</v>
      </c>
      <c r="E6" s="231"/>
      <c r="F6" s="255">
        <f>10^(F5/20)</f>
        <v>1000</v>
      </c>
      <c r="G6" s="149" t="s">
        <v>249</v>
      </c>
      <c r="O6" s="283"/>
      <c r="Q6" s="283"/>
      <c r="R6" s="283"/>
      <c r="S6" s="283"/>
      <c r="T6" s="283"/>
    </row>
    <row r="7" spans="1:20" x14ac:dyDescent="0.3">
      <c r="A7" s="149"/>
      <c r="B7" s="149" t="s">
        <v>209</v>
      </c>
      <c r="C7" s="231">
        <v>25</v>
      </c>
      <c r="D7" s="231" t="s">
        <v>204</v>
      </c>
      <c r="E7" s="231" t="s">
        <v>277</v>
      </c>
      <c r="F7" s="254">
        <v>750</v>
      </c>
      <c r="G7" s="149" t="s">
        <v>299</v>
      </c>
      <c r="Q7" s="283"/>
      <c r="T7" s="283"/>
    </row>
    <row r="8" spans="1:20" x14ac:dyDescent="0.3">
      <c r="A8" s="149"/>
      <c r="B8" s="149"/>
      <c r="C8" s="231"/>
      <c r="D8" s="231"/>
      <c r="E8" s="231" t="s">
        <v>210</v>
      </c>
      <c r="F8" s="259">
        <f>(Vreg-VFB)/VFB*RFB_2</f>
        <v>56.874999999999993</v>
      </c>
      <c r="G8" s="149" t="s">
        <v>207</v>
      </c>
      <c r="Q8" s="283"/>
      <c r="T8" s="283"/>
    </row>
    <row r="9" spans="1:20" x14ac:dyDescent="0.3">
      <c r="A9" s="149"/>
      <c r="B9" s="149" t="s">
        <v>212</v>
      </c>
      <c r="C9" s="231">
        <f>IF(Type=RCC,Cp+Cstray,IF(Type=RCRC,Cp+Cstray,Cstray))</f>
        <v>47</v>
      </c>
      <c r="D9" s="231" t="s">
        <v>204</v>
      </c>
      <c r="E9" s="231" t="s">
        <v>211</v>
      </c>
      <c r="F9" s="254">
        <v>10</v>
      </c>
      <c r="G9" s="149" t="s">
        <v>207</v>
      </c>
      <c r="Q9" s="283"/>
      <c r="R9" s="283"/>
      <c r="S9" s="283"/>
      <c r="T9" s="283"/>
    </row>
    <row r="10" spans="1:20" x14ac:dyDescent="0.3">
      <c r="A10" s="149"/>
      <c r="B10" s="149"/>
      <c r="C10" s="231"/>
      <c r="D10" s="231"/>
      <c r="E10" s="231" t="s">
        <v>281</v>
      </c>
      <c r="F10" s="258">
        <f>RFB_2/(RFB_1+RFB_2)</f>
        <v>0.14953271028037382</v>
      </c>
      <c r="G10" s="149"/>
      <c r="Q10" s="283"/>
      <c r="R10" s="283"/>
      <c r="S10" s="283"/>
      <c r="T10" s="283"/>
    </row>
    <row r="11" spans="1:20" x14ac:dyDescent="0.3">
      <c r="A11" s="149"/>
      <c r="B11" s="149"/>
      <c r="C11" s="231"/>
      <c r="D11" s="231"/>
      <c r="E11" s="231" t="s">
        <v>247</v>
      </c>
      <c r="F11" s="254">
        <v>0.8</v>
      </c>
      <c r="G11" s="149" t="s">
        <v>275</v>
      </c>
      <c r="Q11" s="283"/>
      <c r="R11" s="286"/>
      <c r="S11" s="287"/>
      <c r="T11" s="283"/>
    </row>
    <row r="12" spans="1:20" x14ac:dyDescent="0.3">
      <c r="A12" s="149"/>
      <c r="B12" s="149" t="s">
        <v>200</v>
      </c>
      <c r="C12" s="231"/>
      <c r="D12" s="231"/>
      <c r="E12" s="231"/>
      <c r="F12" s="254"/>
      <c r="G12" s="149"/>
      <c r="Q12" s="283"/>
      <c r="R12" s="286"/>
      <c r="S12" s="287"/>
      <c r="T12" s="283"/>
    </row>
    <row r="13" spans="1:20" x14ac:dyDescent="0.3">
      <c r="A13" s="149"/>
      <c r="B13" s="149" t="s">
        <v>213</v>
      </c>
      <c r="C13" s="231"/>
      <c r="D13" s="231"/>
      <c r="E13" s="233" t="s">
        <v>233</v>
      </c>
      <c r="F13" s="259">
        <f>1/gm_POWER1</f>
        <v>0.22222222222222221</v>
      </c>
      <c r="G13" s="149"/>
      <c r="Q13" s="283"/>
      <c r="R13" s="283"/>
      <c r="S13" s="283"/>
      <c r="T13" s="283"/>
    </row>
    <row r="14" spans="1:20" ht="15.6" x14ac:dyDescent="0.35">
      <c r="A14" s="149"/>
      <c r="B14" s="149"/>
      <c r="C14" s="231"/>
      <c r="D14" s="231"/>
      <c r="E14" s="233" t="s">
        <v>276</v>
      </c>
      <c r="F14" s="254">
        <v>4.5</v>
      </c>
      <c r="G14" s="149" t="s">
        <v>300</v>
      </c>
    </row>
    <row r="15" spans="1:20" x14ac:dyDescent="0.3">
      <c r="A15" s="149"/>
      <c r="B15" s="149"/>
      <c r="C15" s="231"/>
      <c r="D15" s="231"/>
      <c r="E15" s="233" t="s">
        <v>234</v>
      </c>
      <c r="F15" s="259">
        <f>Vreg/(Iout_PreReg*Ri*(1+Vreg*(m_c*(1-Vreg/Vin_nom)-0.5)/(Iout_PreReg*fsw*10^3*L_buck*10^-6)))</f>
        <v>20.19787517016702</v>
      </c>
      <c r="G15" s="149"/>
    </row>
    <row r="16" spans="1:20" x14ac:dyDescent="0.3">
      <c r="A16" s="149"/>
      <c r="B16" s="149"/>
      <c r="C16" s="231"/>
      <c r="D16" s="231"/>
      <c r="E16" s="233" t="s">
        <v>235</v>
      </c>
      <c r="F16" s="259">
        <f>(1+Se/Sn)</f>
        <v>2.0477819548872178</v>
      </c>
      <c r="G16" s="149"/>
    </row>
    <row r="17" spans="1:20" x14ac:dyDescent="0.3">
      <c r="A17" s="149"/>
      <c r="B17" s="149" t="s">
        <v>214</v>
      </c>
      <c r="C17" s="231"/>
      <c r="D17" s="231"/>
      <c r="E17" s="233" t="s">
        <v>337</v>
      </c>
      <c r="F17" s="259">
        <f>0.00072*fsw+0.0425</f>
        <v>1.4825000000000002</v>
      </c>
      <c r="G17" s="149" t="s">
        <v>301</v>
      </c>
    </row>
    <row r="18" spans="1:20" x14ac:dyDescent="0.3">
      <c r="A18" s="149"/>
      <c r="B18" s="149" t="s">
        <v>201</v>
      </c>
      <c r="C18" s="149"/>
      <c r="D18" s="149"/>
      <c r="E18" s="150" t="s">
        <v>338</v>
      </c>
      <c r="F18" s="260">
        <f>(Vin_nom-Vreg)/L_buck</f>
        <v>1.4148936170212767</v>
      </c>
      <c r="G18" s="149" t="s">
        <v>301</v>
      </c>
    </row>
    <row r="19" spans="1:20" x14ac:dyDescent="0.3">
      <c r="A19" s="149"/>
      <c r="B19" s="149"/>
      <c r="C19" s="149"/>
      <c r="D19" s="149"/>
      <c r="E19" s="150" t="s">
        <v>236</v>
      </c>
      <c r="F19" s="253">
        <f>PI()*fsw*10^3</f>
        <v>6283185.307179586</v>
      </c>
      <c r="G19" s="149"/>
    </row>
    <row r="20" spans="1:20" x14ac:dyDescent="0.3">
      <c r="A20" s="149"/>
      <c r="B20" s="151" t="s">
        <v>215</v>
      </c>
      <c r="C20" s="151"/>
      <c r="D20" s="149"/>
      <c r="E20" s="150" t="s">
        <v>237</v>
      </c>
      <c r="F20" s="253">
        <f>1/(PI()*(m_c*(1-Vreg/Vin_nom)-0.5))</f>
        <v>0.50142346942410665</v>
      </c>
      <c r="G20" s="149"/>
    </row>
    <row r="21" spans="1:20" x14ac:dyDescent="0.3">
      <c r="A21" s="151" t="s">
        <v>216</v>
      </c>
      <c r="B21" s="152">
        <f>VLOOKUP(MIN(A34:A133),A34:H133,2,FALSE)/1000</f>
        <v>38.5352859371054</v>
      </c>
      <c r="C21" s="152"/>
      <c r="D21" s="149"/>
      <c r="E21" s="149"/>
      <c r="F21" s="253"/>
      <c r="G21" s="149"/>
    </row>
    <row r="22" spans="1:20" x14ac:dyDescent="0.3">
      <c r="A22" s="151" t="s">
        <v>217</v>
      </c>
      <c r="B22" s="152">
        <f>VLOOKUP(MIN(A34:A133),A34:H133,8,FALSE)</f>
        <v>66.710339269286592</v>
      </c>
      <c r="C22" s="152"/>
      <c r="D22" s="149"/>
      <c r="E22" s="149"/>
      <c r="F22" s="253"/>
      <c r="G22" s="149"/>
    </row>
    <row r="23" spans="1:20" x14ac:dyDescent="0.3">
      <c r="A23" s="149"/>
      <c r="B23" s="149"/>
      <c r="C23" s="149"/>
      <c r="D23" s="149"/>
      <c r="E23" s="149" t="s">
        <v>244</v>
      </c>
      <c r="F23" s="253">
        <f>(1/(Vreg/Iout_PreReg*Number_Cout*Co*10^-6)+(m_c*(1-Vreg/Vin_nom)-0.5)/(fsw*10^3*L_buck*10^-6*Number_Cout*Co*10^-6))/(1000)</f>
        <v>5.2422520710281688</v>
      </c>
      <c r="G23" s="149" t="s">
        <v>245</v>
      </c>
    </row>
    <row r="24" spans="1:20" x14ac:dyDescent="0.3">
      <c r="A24" s="149"/>
      <c r="B24" s="149"/>
      <c r="C24" s="149"/>
      <c r="D24" s="149"/>
      <c r="E24" s="149" t="s">
        <v>246</v>
      </c>
      <c r="F24" s="253">
        <f>1/(ESR*10^-3*Co*10^-6*1000)</f>
        <v>39215.686274509804</v>
      </c>
      <c r="G24" s="149" t="s">
        <v>245</v>
      </c>
    </row>
    <row r="25" spans="1:20" x14ac:dyDescent="0.3">
      <c r="A25" s="149"/>
      <c r="B25" s="149"/>
      <c r="C25" s="149"/>
      <c r="D25" s="149"/>
      <c r="E25" s="149"/>
      <c r="F25" s="253"/>
      <c r="G25" s="149"/>
    </row>
    <row r="26" spans="1:20" x14ac:dyDescent="0.3">
      <c r="A26" s="149"/>
      <c r="B26" s="149"/>
      <c r="C26" s="149"/>
      <c r="D26" s="149"/>
      <c r="E26" s="149"/>
      <c r="F26" s="253"/>
      <c r="G26" s="149"/>
    </row>
    <row r="27" spans="1:20" x14ac:dyDescent="0.3">
      <c r="A27" s="149"/>
      <c r="B27" s="149"/>
      <c r="C27" s="149"/>
      <c r="D27" s="149"/>
      <c r="E27" s="149"/>
      <c r="F27" s="253"/>
      <c r="G27" s="149"/>
    </row>
    <row r="28" spans="1:20" s="283" customFormat="1" x14ac:dyDescent="0.3">
      <c r="F28" s="288"/>
      <c r="O28" s="284"/>
      <c r="P28" s="284"/>
      <c r="Q28" s="284"/>
      <c r="R28" s="285"/>
      <c r="S28" s="285"/>
      <c r="T28" s="285"/>
    </row>
    <row r="29" spans="1:20" s="283" customFormat="1" x14ac:dyDescent="0.3">
      <c r="F29" s="288"/>
      <c r="O29" s="284"/>
      <c r="P29" s="284"/>
      <c r="Q29" s="284"/>
      <c r="R29" s="285"/>
      <c r="S29" s="285"/>
      <c r="T29" s="285"/>
    </row>
    <row r="30" spans="1:20" s="239" customFormat="1" x14ac:dyDescent="0.3">
      <c r="F30" s="247"/>
      <c r="O30" s="263"/>
      <c r="P30" s="263"/>
      <c r="Q30" s="263"/>
      <c r="R30" s="262"/>
      <c r="S30" s="262"/>
      <c r="T30" s="262"/>
    </row>
    <row r="31" spans="1:20" s="239" customFormat="1" x14ac:dyDescent="0.3">
      <c r="F31" s="247"/>
      <c r="O31" s="263"/>
      <c r="P31" s="263"/>
      <c r="Q31" s="262"/>
      <c r="R31" s="262"/>
    </row>
    <row r="32" spans="1:20" s="239" customFormat="1" x14ac:dyDescent="0.3">
      <c r="B32" s="263"/>
      <c r="C32" s="305" t="s">
        <v>218</v>
      </c>
      <c r="D32" s="305"/>
      <c r="E32" s="305" t="s">
        <v>219</v>
      </c>
      <c r="F32" s="305"/>
      <c r="G32" s="305" t="s">
        <v>220</v>
      </c>
      <c r="H32" s="305"/>
      <c r="I32" s="263" t="s">
        <v>221</v>
      </c>
      <c r="J32" s="242"/>
      <c r="K32" s="263"/>
      <c r="L32" s="263"/>
      <c r="M32" s="263"/>
      <c r="O32" s="306"/>
      <c r="P32" s="306"/>
      <c r="Q32" s="302"/>
      <c r="R32" s="302"/>
    </row>
    <row r="33" spans="1:20" s="243" customFormat="1" ht="15.6" x14ac:dyDescent="0.3">
      <c r="A33" s="243" t="s">
        <v>215</v>
      </c>
      <c r="B33" s="244" t="s">
        <v>222</v>
      </c>
      <c r="C33" s="244" t="s">
        <v>223</v>
      </c>
      <c r="D33" s="244" t="s">
        <v>224</v>
      </c>
      <c r="E33" s="244" t="s">
        <v>223</v>
      </c>
      <c r="F33" s="252" t="s">
        <v>224</v>
      </c>
      <c r="G33" s="244" t="s">
        <v>223</v>
      </c>
      <c r="H33" s="244" t="s">
        <v>224</v>
      </c>
      <c r="I33" s="244" t="s">
        <v>225</v>
      </c>
      <c r="J33" s="244" t="s">
        <v>226</v>
      </c>
      <c r="K33" s="244" t="s">
        <v>227</v>
      </c>
      <c r="L33" s="244" t="s">
        <v>228</v>
      </c>
      <c r="M33" s="244" t="s">
        <v>229</v>
      </c>
      <c r="N33" s="245" t="s">
        <v>334</v>
      </c>
      <c r="O33" s="245" t="s">
        <v>335</v>
      </c>
      <c r="P33" s="246" t="s">
        <v>230</v>
      </c>
      <c r="Q33" s="247" t="s">
        <v>231</v>
      </c>
      <c r="R33" s="247" t="s">
        <v>232</v>
      </c>
      <c r="S33" s="247" t="s">
        <v>223</v>
      </c>
      <c r="T33" s="247" t="s">
        <v>224</v>
      </c>
    </row>
    <row r="34" spans="1:20" s="239" customFormat="1" x14ac:dyDescent="0.3">
      <c r="A34" s="239">
        <f>ABS(G34)</f>
        <v>65.091380588761865</v>
      </c>
      <c r="B34" s="248">
        <v>100</v>
      </c>
      <c r="C34" s="249">
        <f>20*LOG(IMABS(M34))</f>
        <v>39.047212147902222</v>
      </c>
      <c r="D34" s="249">
        <f>IF(180/PI()*IMARGUMENT(M34)&gt;0,180/PI()*IMARGUMENT(M34),360+180/PI()*IMARGUMENT(M34))</f>
        <v>129.07352960380092</v>
      </c>
      <c r="E34" s="248">
        <f>S34</f>
        <v>26.044168440859636</v>
      </c>
      <c r="F34" s="261">
        <f>T34</f>
        <v>-6.8451825472246179</v>
      </c>
      <c r="G34" s="250">
        <f>C34+E34</f>
        <v>65.091380588761865</v>
      </c>
      <c r="H34" s="250">
        <f>D34+F34</f>
        <v>122.2283470565763</v>
      </c>
      <c r="I34" s="263" t="str">
        <f>IMDIV(1,COMPLEX(0,2*PI()*$B34*Cz*10^-9))</f>
        <v>-1061032.95394597i</v>
      </c>
      <c r="J34" s="263" t="str">
        <f t="shared" ref="J34:J65" si="0">IMDIV(1,COMPLEX(0,2*PI()*$B34*Cp_Cstray*10^-12))</f>
        <v>-33862753.8493394i</v>
      </c>
      <c r="K34" s="263" t="str">
        <f t="shared" ref="K34:K65" si="1">IMDIV(IMPRODUCT(IMDIV(IMPRODUCT(J34,IMSUM(Rz*10^3,I34)),IMSUM(J34,IMSUM(Rz*10^3,I34))),Ro_EA*10^3),IMSUM(IMDIV(IMPRODUCT(J34,IMSUM(Rz*10^3,I34)),IMSUM(J34,IMSUM(Rz*10^3,I34))),Ro_EA*10^3))</f>
        <v>503642.422573691-620317.183925498i</v>
      </c>
      <c r="L34" s="263">
        <f t="shared" ref="L34:L65" si="2">IF($E$1="Feedforward RC",IMDIV(IMPRODUCT(IMSUM(Rz_2*10^3,IMDIV(1,COMPLEX(0,2*PI()*$B34*Cz_2*10^-12))),RFB_1*10^3),IMSUM(IMSUM(Rz_2*10^3,IMDIV(1,COMPLEX(0,2*PI()*$B34*Cz_2*10^-12))),RFB_1*10^3)),RFB_1*10^3)</f>
        <v>56874.999999999993</v>
      </c>
      <c r="M34" s="263" t="str">
        <f>IMPRODUCT(-gm_EA1*10^-6,K34,IMDIV(RFB_2*10^3,IMSUM(L34,RFB_2*10^3)))</f>
        <v>-56.4832623447131+69.5682823094017i</v>
      </c>
      <c r="N34" s="263" t="str">
        <f t="shared" ref="N34:N65" si="3">COMPLEX(1,2*PI()*B34*1/(1/(Vreg/Iout_PreReg*Number_Cout*Co*10^-6)+(m_c*(1-Vreg/Vin_nom)-0.5)/(fsw*10^3*L_buck*10^-6*Number_Cout*Co*10^-6)))</f>
        <v>1+0.119856604032916i</v>
      </c>
      <c r="O34" s="239" t="str">
        <f t="shared" ref="O34:O65" si="4">COMPLEX(1,2*PI()*B34*(ESR*10^-3*Co*10^-6))</f>
        <v>1+0.0000160221225333079i</v>
      </c>
      <c r="P34" s="239" t="str">
        <f>IMPRODUCT(K,IMDIV(O34,N34))</f>
        <v>19.9118679174287-2.38624525570409i</v>
      </c>
      <c r="Q34" s="263" t="str">
        <f t="shared" ref="Q34:Q65" si="5">IMDIV(1,IMSUM(COMPLEX(1,2*PI()*B34/(wn*Qp)),IMPRODUCT(COMPLEX(0,2*PI()*B34/wn),COMPLEX(0,2*PI()*B34/wn))))</f>
        <v>0.999999970226787-0.000199432224697281i</v>
      </c>
      <c r="R34" s="239" t="str">
        <f>IMPRODUCT(P34,Q34)</f>
        <v>19.9113914303884-2.39021625277455i</v>
      </c>
      <c r="S34" s="249">
        <f>20*LOG(IMABS(R34))</f>
        <v>26.044168440859636</v>
      </c>
      <c r="T34" s="249">
        <f>180/PI()*IMARGUMENT(R34)</f>
        <v>-6.8451825472246179</v>
      </c>
    </row>
    <row r="35" spans="1:20" s="239" customFormat="1" x14ac:dyDescent="0.3">
      <c r="A35" s="239">
        <f t="shared" ref="A35:A98" si="6">ABS(G35)</f>
        <v>64.558889136044996</v>
      </c>
      <c r="B35" s="248">
        <v>109.74987654930599</v>
      </c>
      <c r="C35" s="249">
        <f t="shared" ref="C35:C98" si="7">20*LOG(IMABS(M35))</f>
        <v>38.527280619329616</v>
      </c>
      <c r="D35" s="249">
        <f t="shared" ref="D35:D98" si="8">IF(180/PI()*IMARGUMENT(M35)&gt;0,180/PI()*IMARGUMENT(M35),360+180/PI()*IMARGUMENT(M35))</f>
        <v>126.63479968401964</v>
      </c>
      <c r="E35" s="248">
        <f t="shared" ref="E35:F98" si="9">S35</f>
        <v>26.031608516715387</v>
      </c>
      <c r="F35" s="261">
        <f t="shared" si="9"/>
        <v>-7.5053366815801033</v>
      </c>
      <c r="G35" s="250">
        <f t="shared" ref="G35:H98" si="10">C35+E35</f>
        <v>64.558889136044996</v>
      </c>
      <c r="H35" s="250">
        <f t="shared" si="10"/>
        <v>119.12946300243954</v>
      </c>
      <c r="I35" s="263" t="str">
        <f t="shared" ref="I35:I65" si="11">IMDIV(1,COMPLEX(0,2*PI()*$B35*Cz*10^-9))</f>
        <v>-966773.710646764i</v>
      </c>
      <c r="J35" s="263" t="str">
        <f t="shared" si="0"/>
        <v>-30854480.1270244i</v>
      </c>
      <c r="K35" s="263" t="str">
        <f t="shared" si="1"/>
        <v>449088.159378584-603931.048447543i</v>
      </c>
      <c r="L35" s="263">
        <f t="shared" si="2"/>
        <v>56874.999999999993</v>
      </c>
      <c r="M35" s="263" t="str">
        <f t="shared" ref="M35:M65" si="12">IMPRODUCT(-gm_EA1*10^-6,K35,IMDIV(RFB_2*10^3,IMSUM(L35,RFB_2*10^3)))</f>
        <v>-50.3650272200282+67.7305848726217i</v>
      </c>
      <c r="N35" s="263" t="str">
        <f t="shared" si="3"/>
        <v>1+0.131542474962316i</v>
      </c>
      <c r="O35" s="239" t="str">
        <f t="shared" si="4"/>
        <v>1+0.000017584259700884i</v>
      </c>
      <c r="P35" s="239" t="str">
        <f t="shared" ref="P35:P65" si="13">IMPRODUCT(K,IMDIV(O35,N35))</f>
        <v>19.8543732757923-2.61133823484099i</v>
      </c>
      <c r="Q35" s="263" t="str">
        <f t="shared" si="5"/>
        <v>0.999999964138059-0.000218876619519731i</v>
      </c>
      <c r="R35" s="239" t="str">
        <f t="shared" ref="R35:R98" si="14">IMPRODUCT(P35,Q35)</f>
        <v>19.8538010028907-2.61568379929862i</v>
      </c>
      <c r="S35" s="249">
        <f t="shared" ref="S35:S98" si="15">20*LOG(IMABS(R35))</f>
        <v>26.031608516715387</v>
      </c>
      <c r="T35" s="249">
        <f t="shared" ref="T35:T98" si="16">180/PI()*IMARGUMENT(R35)</f>
        <v>-7.5053366815801033</v>
      </c>
    </row>
    <row r="36" spans="1:20" s="239" customFormat="1" x14ac:dyDescent="0.3">
      <c r="A36" s="239">
        <f t="shared" si="6"/>
        <v>63.990493398310335</v>
      </c>
      <c r="B36" s="248">
        <v>120.450354025878</v>
      </c>
      <c r="C36" s="249">
        <f t="shared" si="7"/>
        <v>37.973965287035043</v>
      </c>
      <c r="D36" s="249">
        <f t="shared" si="8"/>
        <v>124.28406509792244</v>
      </c>
      <c r="E36" s="248">
        <f t="shared" si="9"/>
        <v>26.016528111275289</v>
      </c>
      <c r="F36" s="261">
        <f t="shared" si="9"/>
        <v>-8.2275598307762507</v>
      </c>
      <c r="G36" s="250">
        <f t="shared" si="10"/>
        <v>63.990493398310335</v>
      </c>
      <c r="H36" s="250">
        <f t="shared" si="10"/>
        <v>116.05650526714618</v>
      </c>
      <c r="I36" s="263" t="str">
        <f t="shared" si="11"/>
        <v>-880888.198732913i</v>
      </c>
      <c r="J36" s="263" t="str">
        <f t="shared" si="0"/>
        <v>-28113453.1510503i</v>
      </c>
      <c r="K36" s="263" t="str">
        <f t="shared" si="1"/>
        <v>397775.175247254-583465.108998193i</v>
      </c>
      <c r="L36" s="263">
        <f t="shared" si="2"/>
        <v>56874.999999999993</v>
      </c>
      <c r="M36" s="263" t="str">
        <f t="shared" si="12"/>
        <v>-44.6103000277295+65.4353393269002i</v>
      </c>
      <c r="N36" s="263" t="str">
        <f t="shared" si="3"/>
        <v>1+0.144367703881042i</v>
      </c>
      <c r="O36" s="239" t="str">
        <f t="shared" si="4"/>
        <v>1+0.0000192987033138294i</v>
      </c>
      <c r="P36" s="239" t="str">
        <f t="shared" si="13"/>
        <v>19.7855601282623-2.85600609291704i</v>
      </c>
      <c r="Q36" s="263" t="str">
        <f t="shared" si="5"/>
        <v>0.999999956804166-0.000240216818548187i</v>
      </c>
      <c r="R36" s="239" t="str">
        <f t="shared" si="14"/>
        <v>19.7848732129111-2.86075879385668i</v>
      </c>
      <c r="S36" s="249">
        <f t="shared" si="15"/>
        <v>26.016528111275289</v>
      </c>
      <c r="T36" s="249">
        <f t="shared" si="16"/>
        <v>-8.2275598307762507</v>
      </c>
    </row>
    <row r="37" spans="1:20" s="239" customFormat="1" x14ac:dyDescent="0.3">
      <c r="A37" s="239">
        <f t="shared" si="6"/>
        <v>63.38793688475505</v>
      </c>
      <c r="B37" s="248">
        <v>132.19411484660299</v>
      </c>
      <c r="C37" s="249">
        <f t="shared" si="7"/>
        <v>37.389503925223096</v>
      </c>
      <c r="D37" s="249">
        <f t="shared" si="8"/>
        <v>122.03788712285619</v>
      </c>
      <c r="E37" s="248">
        <f t="shared" si="9"/>
        <v>25.998432959531954</v>
      </c>
      <c r="F37" s="261">
        <f t="shared" si="9"/>
        <v>-9.0171859278098907</v>
      </c>
      <c r="G37" s="250">
        <f t="shared" si="10"/>
        <v>63.38793688475505</v>
      </c>
      <c r="H37" s="250">
        <f t="shared" si="10"/>
        <v>113.0207011950463</v>
      </c>
      <c r="I37" s="263" t="str">
        <f t="shared" si="11"/>
        <v>-802632.518987084i</v>
      </c>
      <c r="J37" s="263" t="str">
        <f t="shared" si="0"/>
        <v>-25615931.4570346i</v>
      </c>
      <c r="K37" s="263" t="str">
        <f t="shared" si="1"/>
        <v>350224.626595381-559652.734038228i</v>
      </c>
      <c r="L37" s="263">
        <f t="shared" si="2"/>
        <v>56874.999999999993</v>
      </c>
      <c r="M37" s="263" t="str">
        <f t="shared" si="12"/>
        <v>-39.2775282163045+62.7647926024182i</v>
      </c>
      <c r="N37" s="263" t="str">
        <f t="shared" si="3"/>
        <v>1+0.158443376786512i</v>
      </c>
      <c r="O37" s="239" t="str">
        <f t="shared" si="4"/>
        <v>1+0.0000211803030625446i</v>
      </c>
      <c r="P37" s="239" t="str">
        <f t="shared" si="13"/>
        <v>19.7033051953043-3.12143041188193i</v>
      </c>
      <c r="Q37" s="263" t="str">
        <f t="shared" si="5"/>
        <v>0.999999947970465-0.000263637660260621i</v>
      </c>
      <c r="R37" s="239" t="str">
        <f t="shared" si="14"/>
        <v>19.70248124354-3.12662478275645i</v>
      </c>
      <c r="S37" s="249">
        <f t="shared" si="15"/>
        <v>25.998432959531954</v>
      </c>
      <c r="T37" s="249">
        <f t="shared" si="16"/>
        <v>-9.0171859278098907</v>
      </c>
    </row>
    <row r="38" spans="1:20" s="239" customFormat="1" x14ac:dyDescent="0.3">
      <c r="A38" s="239">
        <f t="shared" si="6"/>
        <v>62.753142710823298</v>
      </c>
      <c r="B38" s="248">
        <v>145.08287784959401</v>
      </c>
      <c r="C38" s="249">
        <f t="shared" si="7"/>
        <v>36.776405798557398</v>
      </c>
      <c r="D38" s="249">
        <f t="shared" si="8"/>
        <v>119.90976510155652</v>
      </c>
      <c r="E38" s="248">
        <f t="shared" si="9"/>
        <v>25.976736912265899</v>
      </c>
      <c r="F38" s="261">
        <f t="shared" si="9"/>
        <v>-9.8798500599119947</v>
      </c>
      <c r="G38" s="250">
        <f t="shared" si="10"/>
        <v>62.753142710823298</v>
      </c>
      <c r="H38" s="250">
        <f t="shared" si="10"/>
        <v>110.02991504164453</v>
      </c>
      <c r="I38" s="263" t="str">
        <f t="shared" si="11"/>
        <v>-731328.85814819i</v>
      </c>
      <c r="J38" s="263" t="str">
        <f t="shared" si="0"/>
        <v>-23340282.7068571i</v>
      </c>
      <c r="K38" s="263" t="str">
        <f t="shared" si="1"/>
        <v>306765.135156151-533270.580393409i</v>
      </c>
      <c r="L38" s="263">
        <f t="shared" si="2"/>
        <v>56874.999999999993</v>
      </c>
      <c r="M38" s="263" t="str">
        <f t="shared" si="12"/>
        <v>-34.4035665595684+59.8060463992609i</v>
      </c>
      <c r="N38" s="263" t="str">
        <f t="shared" si="3"/>
        <v>1+0.173891410423748i</v>
      </c>
      <c r="O38" s="239" t="str">
        <f t="shared" si="4"/>
        <v>1+0.0000232453564639114i</v>
      </c>
      <c r="P38" s="239" t="str">
        <f t="shared" si="13"/>
        <v>19.6051324537534-3.40869462711942i</v>
      </c>
      <c r="Q38" s="263" t="str">
        <f t="shared" si="5"/>
        <v>0.999999937330241-0.000289342004628883i</v>
      </c>
      <c r="R38" s="239" t="str">
        <f t="shared" si="14"/>
        <v>19.6041449465679-3.41436700182253i</v>
      </c>
      <c r="S38" s="249">
        <f t="shared" si="15"/>
        <v>25.976736912265899</v>
      </c>
      <c r="T38" s="249">
        <f t="shared" si="16"/>
        <v>-9.8798500599119947</v>
      </c>
    </row>
    <row r="39" spans="1:20" s="239" customFormat="1" x14ac:dyDescent="0.3">
      <c r="A39" s="239">
        <f t="shared" si="6"/>
        <v>62.088080269537812</v>
      </c>
      <c r="B39" s="248">
        <v>159.228279334109</v>
      </c>
      <c r="C39" s="249">
        <f t="shared" si="7"/>
        <v>36.137333233615209</v>
      </c>
      <c r="D39" s="249">
        <f t="shared" si="8"/>
        <v>117.91007697738327</v>
      </c>
      <c r="E39" s="248">
        <f t="shared" si="9"/>
        <v>25.9507470359226</v>
      </c>
      <c r="F39" s="261">
        <f t="shared" si="9"/>
        <v>-10.821454218580218</v>
      </c>
      <c r="G39" s="250">
        <f t="shared" si="10"/>
        <v>62.088080269537812</v>
      </c>
      <c r="H39" s="250">
        <f t="shared" si="10"/>
        <v>107.08862275880306</v>
      </c>
      <c r="I39" s="263" t="str">
        <f t="shared" si="11"/>
        <v>-666359.6180171i</v>
      </c>
      <c r="J39" s="263" t="str">
        <f t="shared" si="0"/>
        <v>-21266796.3196947i</v>
      </c>
      <c r="K39" s="263" t="str">
        <f t="shared" si="1"/>
        <v>267543.337673632-505086.603916494i</v>
      </c>
      <c r="L39" s="263">
        <f t="shared" si="2"/>
        <v>56874.999999999993</v>
      </c>
      <c r="M39" s="263" t="str">
        <f t="shared" si="12"/>
        <v>-30.0048602998466+56.6452266074573i</v>
      </c>
      <c r="N39" s="263" t="str">
        <f t="shared" si="3"/>
        <v>1+0.190845608269909i</v>
      </c>
      <c r="O39" s="239" t="str">
        <f t="shared" si="4"/>
        <v>1+0.0000255117500225888i</v>
      </c>
      <c r="P39" s="239" t="str">
        <f t="shared" si="13"/>
        <v>19.4881743241824-3.71871719982628i</v>
      </c>
      <c r="Q39" s="263" t="str">
        <f t="shared" si="5"/>
        <v>0.999999924514054-0.00031755249018261i</v>
      </c>
      <c r="R39" s="239" t="str">
        <f t="shared" si="14"/>
        <v>19.486991965192-3.72490543740115i</v>
      </c>
      <c r="S39" s="249">
        <f t="shared" si="15"/>
        <v>25.9507470359226</v>
      </c>
      <c r="T39" s="249">
        <f t="shared" si="16"/>
        <v>-10.821454218580218</v>
      </c>
    </row>
    <row r="40" spans="1:20" s="239" customFormat="1" x14ac:dyDescent="0.3">
      <c r="A40" s="239">
        <f t="shared" si="6"/>
        <v>61.394641651617356</v>
      </c>
      <c r="B40" s="248">
        <v>174.752840000768</v>
      </c>
      <c r="C40" s="249">
        <f t="shared" si="7"/>
        <v>35.474994411571068</v>
      </c>
      <c r="D40" s="249">
        <f t="shared" si="8"/>
        <v>116.04621654529765</v>
      </c>
      <c r="E40" s="248">
        <f t="shared" si="9"/>
        <v>25.919647240046288</v>
      </c>
      <c r="F40" s="261">
        <f t="shared" si="9"/>
        <v>-11.848112992843335</v>
      </c>
      <c r="G40" s="250">
        <f t="shared" si="10"/>
        <v>61.394641651617356</v>
      </c>
      <c r="H40" s="250">
        <f t="shared" si="10"/>
        <v>104.19810355245431</v>
      </c>
      <c r="I40" s="263" t="str">
        <f t="shared" si="11"/>
        <v>-607162.066116524i</v>
      </c>
      <c r="J40" s="263" t="str">
        <f t="shared" si="0"/>
        <v>-19377512.7483998i</v>
      </c>
      <c r="K40" s="263" t="str">
        <f t="shared" si="1"/>
        <v>232547.530643193-475818.588142934i</v>
      </c>
      <c r="L40" s="263">
        <f t="shared" si="2"/>
        <v>56874.999999999993</v>
      </c>
      <c r="M40" s="263" t="str">
        <f t="shared" si="12"/>
        <v>-26.0800968945637+53.3628323150955i</v>
      </c>
      <c r="N40" s="263" t="str">
        <f t="shared" si="3"/>
        <v>1+0.209452819475996i</v>
      </c>
      <c r="O40" s="239" t="str">
        <f t="shared" si="4"/>
        <v>1+0.0000279991141553586i</v>
      </c>
      <c r="P40" s="239" t="str">
        <f t="shared" si="13"/>
        <v>19.349137597107-4.05216590153047i</v>
      </c>
      <c r="Q40" s="263" t="str">
        <f t="shared" si="5"/>
        <v>0.999999909076911-0.000348513462381618i</v>
      </c>
      <c r="R40" s="239" t="str">
        <f t="shared" si="14"/>
        <v>19.3477236034552-4.0589089680331i</v>
      </c>
      <c r="S40" s="249">
        <f t="shared" si="15"/>
        <v>25.919647240046288</v>
      </c>
      <c r="T40" s="249">
        <f t="shared" si="16"/>
        <v>-11.848112992843335</v>
      </c>
    </row>
    <row r="41" spans="1:20" s="239" customFormat="1" x14ac:dyDescent="0.3">
      <c r="A41" s="239">
        <f t="shared" si="6"/>
        <v>60.674534627070706</v>
      </c>
      <c r="B41" s="248">
        <v>191.79102616724899</v>
      </c>
      <c r="C41" s="249">
        <f t="shared" si="7"/>
        <v>34.79205390847725</v>
      </c>
      <c r="D41" s="249">
        <f t="shared" si="8"/>
        <v>114.32287813034202</v>
      </c>
      <c r="E41" s="248">
        <f t="shared" si="9"/>
        <v>25.882480718593456</v>
      </c>
      <c r="F41" s="261">
        <f t="shared" si="9"/>
        <v>-12.966073839732166</v>
      </c>
      <c r="G41" s="250">
        <f t="shared" si="10"/>
        <v>60.674534627070706</v>
      </c>
      <c r="H41" s="250">
        <f t="shared" si="10"/>
        <v>101.35680429060986</v>
      </c>
      <c r="I41" s="263" t="str">
        <f t="shared" si="11"/>
        <v>-553223.461571507i</v>
      </c>
      <c r="J41" s="263" t="str">
        <f t="shared" si="0"/>
        <v>-17656067.9224949i</v>
      </c>
      <c r="K41" s="263" t="str">
        <f t="shared" si="1"/>
        <v>201638.790495584-446105.391375535i</v>
      </c>
      <c r="L41" s="263">
        <f t="shared" si="2"/>
        <v>56874.999999999993</v>
      </c>
      <c r="M41" s="263" t="str">
        <f t="shared" si="12"/>
        <v>-22.6136961303459+50.030511182303i</v>
      </c>
      <c r="N41" s="263" t="str">
        <f t="shared" si="3"/>
        <v>1+0.229874210803947i</v>
      </c>
      <c r="O41" s="239" t="str">
        <f t="shared" si="4"/>
        <v>1+0.0000307289932204053i</v>
      </c>
      <c r="P41" s="239" t="str">
        <f t="shared" si="13"/>
        <v>19.184279229705-4.4093503874018i</v>
      </c>
      <c r="Q41" s="263" t="str">
        <f t="shared" si="5"/>
        <v>0.999999890482819-0.000382493089998188i</v>
      </c>
      <c r="R41" s="239" t="str">
        <f t="shared" si="14"/>
        <v>19.1825905826423-4.41668775874413i</v>
      </c>
      <c r="S41" s="249">
        <f t="shared" si="15"/>
        <v>25.882480718593456</v>
      </c>
      <c r="T41" s="249">
        <f t="shared" si="16"/>
        <v>-12.966073839732166</v>
      </c>
    </row>
    <row r="42" spans="1:20" s="239" customFormat="1" x14ac:dyDescent="0.3">
      <c r="A42" s="239">
        <f t="shared" si="6"/>
        <v>59.929195792336401</v>
      </c>
      <c r="B42" s="248">
        <v>210.49041445120201</v>
      </c>
      <c r="C42" s="249">
        <f t="shared" si="7"/>
        <v>34.09106405737495</v>
      </c>
      <c r="D42" s="249">
        <f t="shared" si="8"/>
        <v>112.74243538945656</v>
      </c>
      <c r="E42" s="248">
        <f t="shared" si="9"/>
        <v>25.838131734961451</v>
      </c>
      <c r="F42" s="261">
        <f t="shared" si="9"/>
        <v>-14.181605900883975</v>
      </c>
      <c r="G42" s="250">
        <f t="shared" si="10"/>
        <v>59.929195792336401</v>
      </c>
      <c r="H42" s="250">
        <f t="shared" si="10"/>
        <v>98.56082948857258</v>
      </c>
      <c r="I42" s="263" t="str">
        <f t="shared" si="11"/>
        <v>-504076.613993246i</v>
      </c>
      <c r="J42" s="263" t="str">
        <f t="shared" si="0"/>
        <v>-16087551.5104227i</v>
      </c>
      <c r="K42" s="263" t="str">
        <f t="shared" si="1"/>
        <v>174584.407946118-416490.739667351i</v>
      </c>
      <c r="L42" s="263">
        <f t="shared" si="2"/>
        <v>56874.999999999993</v>
      </c>
      <c r="M42" s="263" t="str">
        <f t="shared" si="12"/>
        <v>-19.5795597696581+46.7092418318525i</v>
      </c>
      <c r="N42" s="263" t="str">
        <f t="shared" si="3"/>
        <v>1+0.252286662576022i</v>
      </c>
      <c r="O42" s="239" t="str">
        <f t="shared" si="4"/>
        <v>1+0.0000337250321242393i</v>
      </c>
      <c r="P42" s="239" t="str">
        <f t="shared" si="13"/>
        <v>18.9893991104725-4.79009095191624i</v>
      </c>
      <c r="Q42" s="263" t="str">
        <f t="shared" si="5"/>
        <v>0.99999986808617-0.000419785687838644i</v>
      </c>
      <c r="R42" s="239" t="str">
        <f t="shared" si="14"/>
        <v>18.9873857938831-4.79806179800423i</v>
      </c>
      <c r="S42" s="249">
        <f t="shared" si="15"/>
        <v>25.838131734961451</v>
      </c>
      <c r="T42" s="249">
        <f t="shared" si="16"/>
        <v>-14.181605900883975</v>
      </c>
    </row>
    <row r="43" spans="1:20" s="239" customFormat="1" x14ac:dyDescent="0.3">
      <c r="A43" s="239">
        <f t="shared" si="6"/>
        <v>59.159724915310122</v>
      </c>
      <c r="B43" s="248">
        <v>231.01297000831599</v>
      </c>
      <c r="C43" s="249">
        <f t="shared" si="7"/>
        <v>33.374417306398826</v>
      </c>
      <c r="D43" s="249">
        <f t="shared" si="8"/>
        <v>111.30536529413693</v>
      </c>
      <c r="E43" s="248">
        <f t="shared" si="9"/>
        <v>25.785307608911296</v>
      </c>
      <c r="F43" s="261">
        <f t="shared" si="9"/>
        <v>-15.500850958980637</v>
      </c>
      <c r="G43" s="250">
        <f t="shared" si="10"/>
        <v>59.159724915310122</v>
      </c>
      <c r="H43" s="250">
        <f t="shared" si="10"/>
        <v>95.804514335156298</v>
      </c>
      <c r="I43" s="263" t="str">
        <f t="shared" si="11"/>
        <v>-459295.83689945i</v>
      </c>
      <c r="J43" s="263" t="str">
        <f t="shared" si="0"/>
        <v>-14658377.7733867i</v>
      </c>
      <c r="K43" s="263" t="str">
        <f t="shared" si="1"/>
        <v>151089.67437865-387417.777392829i</v>
      </c>
      <c r="L43" s="263">
        <f t="shared" si="2"/>
        <v>56874.999999999993</v>
      </c>
      <c r="M43" s="263" t="str">
        <f t="shared" si="12"/>
        <v>-16.944636378914+43.4487226982612i</v>
      </c>
      <c r="N43" s="263" t="str">
        <f t="shared" si="3"/>
        <v>1+0.276884300727547i</v>
      </c>
      <c r="O43" s="239" t="str">
        <f t="shared" si="4"/>
        <v>1+0.0000370131811225663i</v>
      </c>
      <c r="P43" s="239" t="str">
        <f t="shared" si="13"/>
        <v>18.7598591404639-5.19356289224266i</v>
      </c>
      <c r="Q43" s="263" t="str">
        <f t="shared" si="5"/>
        <v>0.999999841109326-0.000460714265920377i</v>
      </c>
      <c r="R43" s="239" t="str">
        <f t="shared" si="14"/>
        <v>18.7574634111818-5.20220500176662i</v>
      </c>
      <c r="S43" s="249">
        <f t="shared" si="15"/>
        <v>25.785307608911296</v>
      </c>
      <c r="T43" s="249">
        <f t="shared" si="16"/>
        <v>-15.500850958980637</v>
      </c>
    </row>
    <row r="44" spans="1:20" s="239" customFormat="1" x14ac:dyDescent="0.3">
      <c r="A44" s="239">
        <f t="shared" si="6"/>
        <v>58.366839889944366</v>
      </c>
      <c r="B44" s="248">
        <v>253.53644939701101</v>
      </c>
      <c r="C44" s="249">
        <f t="shared" si="7"/>
        <v>32.644317705677949</v>
      </c>
      <c r="D44" s="249">
        <f t="shared" si="8"/>
        <v>110.01067770119097</v>
      </c>
      <c r="E44" s="248">
        <f t="shared" si="9"/>
        <v>25.722522184266417</v>
      </c>
      <c r="F44" s="261">
        <f t="shared" si="9"/>
        <v>-16.92963030133458</v>
      </c>
      <c r="G44" s="250">
        <f t="shared" si="10"/>
        <v>58.366839889944366</v>
      </c>
      <c r="H44" s="250">
        <f t="shared" si="10"/>
        <v>93.081047399856388</v>
      </c>
      <c r="I44" s="263" t="str">
        <f t="shared" si="11"/>
        <v>-418493.260621673i</v>
      </c>
      <c r="J44" s="263" t="str">
        <f t="shared" si="0"/>
        <v>-13356167.892181i</v>
      </c>
      <c r="K44" s="263" t="str">
        <f t="shared" si="1"/>
        <v>130825.500764381-359231.793607001i</v>
      </c>
      <c r="L44" s="263">
        <f t="shared" si="2"/>
        <v>56874.999999999993</v>
      </c>
      <c r="M44" s="263" t="str">
        <f t="shared" si="12"/>
        <v>-14.6720187773138+40.2876777877011i</v>
      </c>
      <c r="N44" s="263" t="str">
        <f t="shared" si="3"/>
        <v>1+0.303880178232891i</v>
      </c>
      <c r="O44" s="239" t="str">
        <f t="shared" si="4"/>
        <v>1+0.0000406219205889874i</v>
      </c>
      <c r="P44" s="239" t="str">
        <f t="shared" si="13"/>
        <v>18.4906402914255-5.61811859091743i</v>
      </c>
      <c r="Q44" s="263" t="str">
        <f t="shared" si="5"/>
        <v>0.999999808615625-0.000505633327181101i</v>
      </c>
      <c r="R44" s="239" t="str">
        <f t="shared" si="14"/>
        <v>18.4877960446102-5.62746699966958i</v>
      </c>
      <c r="S44" s="249">
        <f t="shared" si="15"/>
        <v>25.722522184266417</v>
      </c>
      <c r="T44" s="249">
        <f t="shared" si="16"/>
        <v>-16.92963030133458</v>
      </c>
    </row>
    <row r="45" spans="1:20" s="239" customFormat="1" x14ac:dyDescent="0.3">
      <c r="A45" s="239">
        <f t="shared" si="6"/>
        <v>57.550851066758518</v>
      </c>
      <c r="B45" s="248">
        <v>278.255940220713</v>
      </c>
      <c r="C45" s="249">
        <f t="shared" si="7"/>
        <v>31.902768503016269</v>
      </c>
      <c r="D45" s="249">
        <f t="shared" si="8"/>
        <v>108.85632209213217</v>
      </c>
      <c r="E45" s="248">
        <f t="shared" si="9"/>
        <v>25.64808256374225</v>
      </c>
      <c r="F45" s="261">
        <f t="shared" si="9"/>
        <v>-18.473202331395164</v>
      </c>
      <c r="G45" s="250">
        <f t="shared" si="10"/>
        <v>57.550851066758518</v>
      </c>
      <c r="H45" s="250">
        <f t="shared" si="10"/>
        <v>90.383119760737003</v>
      </c>
      <c r="I45" s="263" t="str">
        <f t="shared" si="11"/>
        <v>-381315.4727638i</v>
      </c>
      <c r="J45" s="263" t="str">
        <f t="shared" si="0"/>
        <v>-12169642.7477809i</v>
      </c>
      <c r="K45" s="263" t="str">
        <f t="shared" si="1"/>
        <v>113450.671289727-332188.41999481i</v>
      </c>
      <c r="L45" s="263">
        <f t="shared" si="2"/>
        <v>56874.999999999993</v>
      </c>
      <c r="M45" s="263" t="str">
        <f t="shared" si="12"/>
        <v>-12.7234397708105+37.2547760741843i</v>
      </c>
      <c r="N45" s="263" t="str">
        <f t="shared" si="3"/>
        <v>1+0.333508120468408i</v>
      </c>
      <c r="O45" s="239" t="str">
        <f t="shared" si="4"/>
        <v>1+0.0000445825076983707i</v>
      </c>
      <c r="P45" s="239" t="str">
        <f t="shared" si="13"/>
        <v>18.1764512307075-6.06109361481366i</v>
      </c>
      <c r="Q45" s="263" t="str">
        <f t="shared" si="5"/>
        <v>0.999999769476847-0.000554931937948979i</v>
      </c>
      <c r="R45" s="239" t="str">
        <f t="shared" si="14"/>
        <v>18.1730835461889-6.07117891089774i</v>
      </c>
      <c r="S45" s="249">
        <f t="shared" si="15"/>
        <v>25.64808256374225</v>
      </c>
      <c r="T45" s="249">
        <f t="shared" si="16"/>
        <v>-18.473202331395164</v>
      </c>
    </row>
    <row r="46" spans="1:20" s="239" customFormat="1" x14ac:dyDescent="0.3">
      <c r="A46" s="239">
        <f t="shared" si="6"/>
        <v>56.711653881284263</v>
      </c>
      <c r="B46" s="248">
        <v>305.38555088334198</v>
      </c>
      <c r="C46" s="249">
        <f t="shared" si="7"/>
        <v>31.151572418659747</v>
      </c>
      <c r="D46" s="249">
        <f t="shared" si="8"/>
        <v>107.83955374468255</v>
      </c>
      <c r="E46" s="248">
        <f t="shared" si="9"/>
        <v>25.560081462624517</v>
      </c>
      <c r="F46" s="261">
        <f t="shared" si="9"/>
        <v>-20.135968173912808</v>
      </c>
      <c r="G46" s="250">
        <f t="shared" si="10"/>
        <v>56.711653881284263</v>
      </c>
      <c r="H46" s="250">
        <f t="shared" si="10"/>
        <v>87.703585570769746</v>
      </c>
      <c r="I46" s="263" t="str">
        <f t="shared" si="11"/>
        <v>-347440.457112945i</v>
      </c>
      <c r="J46" s="263" t="str">
        <f t="shared" si="0"/>
        <v>-11088525.2270089i</v>
      </c>
      <c r="K46" s="263" t="str">
        <f t="shared" si="1"/>
        <v>98628.5437974683-306464.907311868i</v>
      </c>
      <c r="L46" s="263">
        <f t="shared" si="2"/>
        <v>56874.999999999993</v>
      </c>
      <c r="M46" s="263" t="str">
        <f t="shared" si="12"/>
        <v>-11.0611450987815+34.3698961471254i</v>
      </c>
      <c r="N46" s="263" t="str">
        <f t="shared" si="3"/>
        <v>1+0.366024750495987i</v>
      </c>
      <c r="O46" s="239" t="str">
        <f t="shared" si="4"/>
        <v>1+0.0000489292471615465i</v>
      </c>
      <c r="P46" s="239" t="str">
        <f t="shared" si="13"/>
        <v>17.811902917452-6.51860905439278i</v>
      </c>
      <c r="Q46" s="263" t="str">
        <f t="shared" si="5"/>
        <v>0.999999722334054-0.00060903709776343i</v>
      </c>
      <c r="R46" s="239" t="str">
        <f t="shared" si="14"/>
        <v>17.8079278969532-6.52945535405552i</v>
      </c>
      <c r="S46" s="249">
        <f t="shared" si="15"/>
        <v>25.560081462624517</v>
      </c>
      <c r="T46" s="249">
        <f t="shared" si="16"/>
        <v>-20.135968173912808</v>
      </c>
    </row>
    <row r="47" spans="1:20" s="239" customFormat="1" x14ac:dyDescent="0.3">
      <c r="A47" s="239">
        <f t="shared" si="6"/>
        <v>55.848739376906508</v>
      </c>
      <c r="B47" s="248">
        <v>335.16026509388399</v>
      </c>
      <c r="C47" s="249">
        <f t="shared" si="7"/>
        <v>30.392341285366825</v>
      </c>
      <c r="D47" s="249">
        <f t="shared" si="8"/>
        <v>106.95725047093029</v>
      </c>
      <c r="E47" s="248">
        <f t="shared" si="9"/>
        <v>25.456398091539686</v>
      </c>
      <c r="F47" s="261">
        <f t="shared" si="9"/>
        <v>-21.921126718509299</v>
      </c>
      <c r="G47" s="250">
        <f t="shared" si="10"/>
        <v>55.848739376906508</v>
      </c>
      <c r="H47" s="250">
        <f t="shared" si="10"/>
        <v>85.036123752420991</v>
      </c>
      <c r="I47" s="263" t="str">
        <f t="shared" si="11"/>
        <v>-316574.804489057i</v>
      </c>
      <c r="J47" s="263" t="str">
        <f t="shared" si="0"/>
        <v>-10103451.2070976i</v>
      </c>
      <c r="K47" s="263" t="str">
        <f t="shared" si="1"/>
        <v>86038.6616092962-282172.60468336i</v>
      </c>
      <c r="L47" s="263">
        <f t="shared" si="2"/>
        <v>56874.999999999993</v>
      </c>
      <c r="M47" s="263" t="str">
        <f t="shared" si="12"/>
        <v>-9.64919569450052+31.6455257588815i</v>
      </c>
      <c r="N47" s="263" t="str">
        <f t="shared" si="3"/>
        <v>1+0.401711711809249i</v>
      </c>
      <c r="O47" s="239" t="str">
        <f t="shared" si="4"/>
        <v>1+0.0000536997883563018i</v>
      </c>
      <c r="P47" s="239" t="str">
        <f t="shared" si="13"/>
        <v>17.3917622158962-6.98538994950518i</v>
      </c>
      <c r="Q47" s="263" t="str">
        <f t="shared" si="5"/>
        <v>0.999999665550395-0.00066841743772774i</v>
      </c>
      <c r="R47" s="239" t="str">
        <f t="shared" si="14"/>
        <v>17.3870872427766-6.99701257038219i</v>
      </c>
      <c r="S47" s="249">
        <f t="shared" si="15"/>
        <v>25.456398091539686</v>
      </c>
      <c r="T47" s="249">
        <f t="shared" si="16"/>
        <v>-21.921126718509299</v>
      </c>
    </row>
    <row r="48" spans="1:20" s="239" customFormat="1" x14ac:dyDescent="0.3">
      <c r="A48" s="239">
        <f t="shared" si="6"/>
        <v>54.961223083867011</v>
      </c>
      <c r="B48" s="248">
        <v>367.83797718286303</v>
      </c>
      <c r="C48" s="249">
        <f t="shared" si="7"/>
        <v>29.6265121663542</v>
      </c>
      <c r="D48" s="249">
        <f t="shared" si="8"/>
        <v>106.20617762590904</v>
      </c>
      <c r="E48" s="248">
        <f t="shared" si="9"/>
        <v>25.334710917512815</v>
      </c>
      <c r="F48" s="261">
        <f t="shared" si="9"/>
        <v>-23.83028692321674</v>
      </c>
      <c r="G48" s="250">
        <f t="shared" si="10"/>
        <v>54.961223083867011</v>
      </c>
      <c r="H48" s="250">
        <f t="shared" si="10"/>
        <v>82.375890702692288</v>
      </c>
      <c r="I48" s="263" t="str">
        <f t="shared" si="11"/>
        <v>-288451.171374971i</v>
      </c>
      <c r="J48" s="263" t="str">
        <f t="shared" si="0"/>
        <v>-9205888.4481374i</v>
      </c>
      <c r="K48" s="263" t="str">
        <f t="shared" si="1"/>
        <v>75384.0803292806-259369.321737324i</v>
      </c>
      <c r="L48" s="263">
        <f t="shared" si="2"/>
        <v>56874.999999999993</v>
      </c>
      <c r="M48" s="263" t="str">
        <f t="shared" si="12"/>
        <v>-8.45428938272307+29.0881482322233i</v>
      </c>
      <c r="N48" s="263" t="str">
        <f t="shared" si="3"/>
        <v>1+0.440878107794753i</v>
      </c>
      <c r="O48" s="239" t="str">
        <f t="shared" si="4"/>
        <v>1+0.0000589354514282796i</v>
      </c>
      <c r="P48" s="239" t="str">
        <f t="shared" si="13"/>
        <v>16.9112927223383-7.45462836489664i</v>
      </c>
      <c r="Q48" s="263" t="str">
        <f t="shared" si="5"/>
        <v>0.999999597154282-0.000733587279417932i</v>
      </c>
      <c r="R48" s="239" t="str">
        <f t="shared" si="14"/>
        <v>16.9058172891552-7.46703127105114i</v>
      </c>
      <c r="S48" s="249">
        <f t="shared" si="15"/>
        <v>25.334710917512815</v>
      </c>
      <c r="T48" s="249">
        <f t="shared" si="16"/>
        <v>-23.83028692321674</v>
      </c>
    </row>
    <row r="49" spans="1:20" s="239" customFormat="1" x14ac:dyDescent="0.3">
      <c r="A49" s="239">
        <f t="shared" si="6"/>
        <v>54.047893432428083</v>
      </c>
      <c r="B49" s="248">
        <v>403.70172585965503</v>
      </c>
      <c r="C49" s="249">
        <f t="shared" si="7"/>
        <v>28.855367627328441</v>
      </c>
      <c r="D49" s="249">
        <f t="shared" si="8"/>
        <v>105.58320342331093</v>
      </c>
      <c r="E49" s="248">
        <f t="shared" si="9"/>
        <v>25.192525805099638</v>
      </c>
      <c r="F49" s="261">
        <f t="shared" si="9"/>
        <v>-25.863053872691978</v>
      </c>
      <c r="G49" s="250">
        <f t="shared" si="10"/>
        <v>54.047893432428083</v>
      </c>
      <c r="H49" s="250">
        <f t="shared" si="10"/>
        <v>79.720149550618956</v>
      </c>
      <c r="I49" s="263" t="str">
        <f t="shared" si="11"/>
        <v>-262825.96431476i</v>
      </c>
      <c r="J49" s="263" t="str">
        <f t="shared" si="0"/>
        <v>-8388062.69089661i</v>
      </c>
      <c r="K49" s="263" t="str">
        <f t="shared" si="1"/>
        <v>66395.3207893992-238070.747495059i</v>
      </c>
      <c r="L49" s="263">
        <f t="shared" si="2"/>
        <v>56874.999999999993</v>
      </c>
      <c r="M49" s="263" t="str">
        <f t="shared" si="12"/>
        <v>-7.44620420068029+26.699523083558i</v>
      </c>
      <c r="N49" s="263" t="str">
        <f t="shared" si="3"/>
        <v>1+0.483863179037656i</v>
      </c>
      <c r="O49" s="239" t="str">
        <f t="shared" si="4"/>
        <v>1+0.0000646815851863128i</v>
      </c>
      <c r="P49" s="239" t="str">
        <f t="shared" si="13"/>
        <v>16.3666813406351-7.91792803319257i</v>
      </c>
      <c r="Q49" s="263" t="str">
        <f t="shared" si="5"/>
        <v>0.999999514770929-0.000805111089492481i</v>
      </c>
      <c r="R49" s="239" t="str">
        <f t="shared" si="14"/>
        <v>16.3602985873802-7.93110118782924i</v>
      </c>
      <c r="S49" s="249">
        <f t="shared" si="15"/>
        <v>25.192525805099638</v>
      </c>
      <c r="T49" s="249">
        <f t="shared" si="16"/>
        <v>-25.863053872691978</v>
      </c>
    </row>
    <row r="50" spans="1:20" s="239" customFormat="1" x14ac:dyDescent="0.3">
      <c r="A50" s="239">
        <f t="shared" si="6"/>
        <v>53.107281114414533</v>
      </c>
      <c r="B50" s="248">
        <v>443.062145758388</v>
      </c>
      <c r="C50" s="249">
        <f t="shared" si="7"/>
        <v>28.080058420361567</v>
      </c>
      <c r="D50" s="249">
        <f t="shared" si="8"/>
        <v>105.08546904824668</v>
      </c>
      <c r="E50" s="248">
        <f t="shared" si="9"/>
        <v>25.02722269405297</v>
      </c>
      <c r="F50" s="261">
        <f t="shared" si="9"/>
        <v>-28.016615650513046</v>
      </c>
      <c r="G50" s="250">
        <f t="shared" si="10"/>
        <v>53.107281114414533</v>
      </c>
      <c r="H50" s="250">
        <f t="shared" si="10"/>
        <v>77.068853397733633</v>
      </c>
      <c r="I50" s="263" t="str">
        <f t="shared" si="11"/>
        <v>-239477.230023748i</v>
      </c>
      <c r="J50" s="263" t="str">
        <f t="shared" si="0"/>
        <v>-7642890.31990688i</v>
      </c>
      <c r="K50" s="263" t="str">
        <f t="shared" si="1"/>
        <v>58831.8200158271-218260.488763464i</v>
      </c>
      <c r="L50" s="263">
        <f t="shared" si="2"/>
        <v>56874.999999999993</v>
      </c>
      <c r="M50" s="263" t="str">
        <f t="shared" si="12"/>
        <v>-6.59796112327034+24.4778118239399i</v>
      </c>
      <c r="N50" s="263" t="str">
        <f t="shared" si="3"/>
        <v>1+0.531039241661374i</v>
      </c>
      <c r="O50" s="239" t="str">
        <f t="shared" si="4"/>
        <v>1+0.0000709879598921124i</v>
      </c>
      <c r="P50" s="239" t="str">
        <f t="shared" si="13"/>
        <v>15.7555338632454-8.36537294875543i</v>
      </c>
      <c r="Q50" s="263" t="str">
        <f t="shared" si="5"/>
        <v>0.999999415539898-0.000883608368571124i</v>
      </c>
      <c r="R50" s="239" t="str">
        <f t="shared" si="14"/>
        <v>15.7481329412207-8.37928978110157i</v>
      </c>
      <c r="S50" s="249">
        <f t="shared" si="15"/>
        <v>25.02722269405297</v>
      </c>
      <c r="T50" s="249">
        <f t="shared" si="16"/>
        <v>-28.016615650513046</v>
      </c>
    </row>
    <row r="51" spans="1:20" s="239" customFormat="1" x14ac:dyDescent="0.3">
      <c r="A51" s="239">
        <f t="shared" si="6"/>
        <v>52.137750272553546</v>
      </c>
      <c r="B51" s="248">
        <v>486.26015800653499</v>
      </c>
      <c r="C51" s="249">
        <f t="shared" si="7"/>
        <v>27.301627366271877</v>
      </c>
      <c r="D51" s="249">
        <f t="shared" si="8"/>
        <v>104.7105190820006</v>
      </c>
      <c r="E51" s="248">
        <f t="shared" si="9"/>
        <v>24.836122906281666</v>
      </c>
      <c r="F51" s="261">
        <f t="shared" si="9"/>
        <v>-30.285369333466008</v>
      </c>
      <c r="G51" s="250">
        <f t="shared" si="10"/>
        <v>52.137750272553546</v>
      </c>
      <c r="H51" s="250">
        <f t="shared" si="10"/>
        <v>74.425149748534594</v>
      </c>
      <c r="I51" s="263" t="str">
        <f t="shared" si="11"/>
        <v>-218202.732935341i</v>
      </c>
      <c r="J51" s="263" t="str">
        <f t="shared" si="0"/>
        <v>-6963917.00857472i</v>
      </c>
      <c r="K51" s="263" t="str">
        <f t="shared" si="1"/>
        <v>52481.6353472936-199898.56836746i</v>
      </c>
      <c r="L51" s="263">
        <f t="shared" si="2"/>
        <v>56874.999999999993</v>
      </c>
      <c r="M51" s="263" t="str">
        <f t="shared" si="12"/>
        <v>-5.88579088007032+22.4185310318647i</v>
      </c>
      <c r="N51" s="263" t="str">
        <f t="shared" si="3"/>
        <v>1+0.582814912151726i</v>
      </c>
      <c r="O51" s="239" t="str">
        <f t="shared" si="4"/>
        <v>1+0.0000779091983464639i</v>
      </c>
      <c r="P51" s="239" t="str">
        <f t="shared" si="13"/>
        <v>15.0774024282789-8.78576137145079i</v>
      </c>
      <c r="Q51" s="263" t="str">
        <f t="shared" si="5"/>
        <v>0.999999296015784-0.000969759016707341i</v>
      </c>
      <c r="R51" s="239" t="str">
        <f t="shared" si="14"/>
        <v>15.068871742717-8.80037663336681i</v>
      </c>
      <c r="S51" s="249">
        <f t="shared" si="15"/>
        <v>24.836122906281666</v>
      </c>
      <c r="T51" s="249">
        <f t="shared" si="16"/>
        <v>-30.285369333466008</v>
      </c>
    </row>
    <row r="52" spans="1:20" s="239" customFormat="1" x14ac:dyDescent="0.3">
      <c r="A52" s="239">
        <f t="shared" si="6"/>
        <v>51.137610898702491</v>
      </c>
      <c r="B52" s="248">
        <v>533.66992312063098</v>
      </c>
      <c r="C52" s="249">
        <f t="shared" si="7"/>
        <v>26.521033664847835</v>
      </c>
      <c r="D52" s="249">
        <f t="shared" si="8"/>
        <v>104.45639777924436</v>
      </c>
      <c r="E52" s="248">
        <f t="shared" si="9"/>
        <v>24.616577233854656</v>
      </c>
      <c r="F52" s="261">
        <f t="shared" si="9"/>
        <v>-32.66063415430493</v>
      </c>
      <c r="G52" s="250">
        <f t="shared" si="10"/>
        <v>51.137610898702491</v>
      </c>
      <c r="H52" s="250">
        <f t="shared" si="10"/>
        <v>71.795763624939426</v>
      </c>
      <c r="I52" s="263" t="str">
        <f t="shared" si="11"/>
        <v>-198818.203533298i</v>
      </c>
      <c r="J52" s="263" t="str">
        <f t="shared" si="0"/>
        <v>-6345261.81489247i</v>
      </c>
      <c r="K52" s="263" t="str">
        <f t="shared" si="1"/>
        <v>47160.0114497512-182928.403842421i</v>
      </c>
      <c r="L52" s="263">
        <f t="shared" si="2"/>
        <v>56874.999999999993</v>
      </c>
      <c r="M52" s="263" t="str">
        <f t="shared" si="12"/>
        <v>-5.28897324670108+20.515335010365i</v>
      </c>
      <c r="N52" s="263" t="str">
        <f t="shared" si="3"/>
        <v>1+0.639638646597464i</v>
      </c>
      <c r="O52" s="239" t="str">
        <f t="shared" si="4"/>
        <v>1+0.0000855052490057978i</v>
      </c>
      <c r="P52" s="239" t="str">
        <f t="shared" si="13"/>
        <v>14.3342849322752-9.16703558967711i</v>
      </c>
      <c r="Q52" s="263" t="str">
        <f t="shared" si="5"/>
        <v>0.999999152048588-0.00106430922190064i</v>
      </c>
      <c r="R52" s="239" t="str">
        <f t="shared" si="14"/>
        <v>14.3245162169825-9.18228392811911i</v>
      </c>
      <c r="S52" s="249">
        <f t="shared" si="15"/>
        <v>24.616577233854656</v>
      </c>
      <c r="T52" s="249">
        <f t="shared" si="16"/>
        <v>-32.66063415430493</v>
      </c>
    </row>
    <row r="53" spans="1:20" s="239" customFormat="1" x14ac:dyDescent="0.3">
      <c r="A53" s="239">
        <f t="shared" si="6"/>
        <v>50.105249353976092</v>
      </c>
      <c r="B53" s="248">
        <v>585.70208180566704</v>
      </c>
      <c r="C53" s="249">
        <f t="shared" si="7"/>
        <v>25.739177209076693</v>
      </c>
      <c r="D53" s="249">
        <f t="shared" si="8"/>
        <v>104.32171611427947</v>
      </c>
      <c r="E53" s="248">
        <f t="shared" si="9"/>
        <v>24.366072144899395</v>
      </c>
      <c r="F53" s="261">
        <f t="shared" si="9"/>
        <v>-35.130505024083142</v>
      </c>
      <c r="G53" s="250">
        <f t="shared" si="10"/>
        <v>50.105249353976092</v>
      </c>
      <c r="H53" s="250">
        <f t="shared" si="10"/>
        <v>69.191211090196333</v>
      </c>
      <c r="I53" s="263" t="str">
        <f t="shared" si="11"/>
        <v>-181155.74229733i</v>
      </c>
      <c r="J53" s="263" t="str">
        <f t="shared" si="0"/>
        <v>-5781566.24353178i</v>
      </c>
      <c r="K53" s="263" t="str">
        <f t="shared" si="1"/>
        <v>42707.2759257222-167282.391701571i</v>
      </c>
      <c r="L53" s="263">
        <f t="shared" si="2"/>
        <v>56874.999999999993</v>
      </c>
      <c r="M53" s="263" t="str">
        <f t="shared" si="12"/>
        <v>-4.78960103839876+18.7606420599893i</v>
      </c>
      <c r="N53" s="263" t="str">
        <f t="shared" si="3"/>
        <v>1+0.702002625002366i</v>
      </c>
      <c r="O53" s="239" t="str">
        <f t="shared" si="4"/>
        <v>1+0.0000938419052270395i</v>
      </c>
      <c r="P53" s="239" t="str">
        <f t="shared" si="13"/>
        <v>13.5310167190184-9.49691384861433i</v>
      </c>
      <c r="Q53" s="263" t="str">
        <f t="shared" si="5"/>
        <v>0.99999897863962-0.00116807792261622i</v>
      </c>
      <c r="R53" s="239" t="str">
        <f t="shared" si="14"/>
        <v>13.5199097635745-9.51270943074283i</v>
      </c>
      <c r="S53" s="249">
        <f t="shared" si="15"/>
        <v>24.366072144899395</v>
      </c>
      <c r="T53" s="249">
        <f t="shared" si="16"/>
        <v>-35.130505024083142</v>
      </c>
    </row>
    <row r="54" spans="1:20" s="239" customFormat="1" x14ac:dyDescent="0.3">
      <c r="A54" s="239">
        <f t="shared" si="6"/>
        <v>49.03927075956878</v>
      </c>
      <c r="B54" s="248">
        <v>642.80731172843196</v>
      </c>
      <c r="C54" s="249">
        <f t="shared" si="7"/>
        <v>24.956922734180562</v>
      </c>
      <c r="D54" s="249">
        <f t="shared" si="8"/>
        <v>104.30569349713916</v>
      </c>
      <c r="E54" s="248">
        <f t="shared" si="9"/>
        <v>24.082348025388217</v>
      </c>
      <c r="F54" s="261">
        <f t="shared" si="9"/>
        <v>-37.679896744078476</v>
      </c>
      <c r="G54" s="250">
        <f t="shared" si="10"/>
        <v>49.03927075956878</v>
      </c>
      <c r="H54" s="250">
        <f t="shared" si="10"/>
        <v>66.625796753060683</v>
      </c>
      <c r="I54" s="263" t="str">
        <f t="shared" si="11"/>
        <v>-165062.365437782i</v>
      </c>
      <c r="J54" s="263" t="str">
        <f t="shared" si="0"/>
        <v>-5267947.8331207i</v>
      </c>
      <c r="K54" s="263" t="str">
        <f t="shared" si="1"/>
        <v>38986.4021367674-152886.27287376i</v>
      </c>
      <c r="L54" s="263">
        <f t="shared" si="2"/>
        <v>56874.999999999993</v>
      </c>
      <c r="M54" s="263" t="str">
        <f t="shared" si="12"/>
        <v>-4.37230678169354+17.1461240606086i</v>
      </c>
      <c r="N54" s="263" t="str">
        <f t="shared" si="3"/>
        <v>1+0.770447014312981i</v>
      </c>
      <c r="O54" s="239" t="str">
        <f t="shared" si="4"/>
        <v>1+0.000102991375138192i</v>
      </c>
      <c r="P54" s="239" t="str">
        <f t="shared" si="13"/>
        <v>12.6754658233422-9.76369459168157i</v>
      </c>
      <c r="Q54" s="263" t="str">
        <f t="shared" si="5"/>
        <v>0.999998769767947-0.00128196390024006i</v>
      </c>
      <c r="R54" s="239" t="str">
        <f t="shared" si="14"/>
        <v>12.6629335255784-9.77993206967578i</v>
      </c>
      <c r="S54" s="249">
        <f t="shared" si="15"/>
        <v>24.082348025388217</v>
      </c>
      <c r="T54" s="249">
        <f t="shared" si="16"/>
        <v>-37.679896744078476</v>
      </c>
    </row>
    <row r="55" spans="1:20" s="239" customFormat="1" x14ac:dyDescent="0.3">
      <c r="A55" s="239">
        <f t="shared" si="6"/>
        <v>47.938643746824567</v>
      </c>
      <c r="B55" s="248">
        <v>705.48023107186498</v>
      </c>
      <c r="C55" s="249">
        <f t="shared" si="7"/>
        <v>24.175123803722983</v>
      </c>
      <c r="D55" s="249">
        <f t="shared" si="8"/>
        <v>104.40817682645752</v>
      </c>
      <c r="E55" s="248">
        <f t="shared" si="9"/>
        <v>23.763519943101588</v>
      </c>
      <c r="F55" s="261">
        <f t="shared" si="9"/>
        <v>-40.290815724775307</v>
      </c>
      <c r="G55" s="250">
        <f t="shared" si="10"/>
        <v>47.938643746824567</v>
      </c>
      <c r="H55" s="250">
        <f t="shared" si="10"/>
        <v>64.117361101682206</v>
      </c>
      <c r="I55" s="263" t="str">
        <f t="shared" si="11"/>
        <v>-150398.679823232i</v>
      </c>
      <c r="J55" s="263" t="str">
        <f t="shared" si="0"/>
        <v>-4799957.86669888i</v>
      </c>
      <c r="K55" s="263" t="str">
        <f t="shared" si="1"/>
        <v>35880.4737751934-139662.469869524i</v>
      </c>
      <c r="L55" s="263">
        <f t="shared" si="2"/>
        <v>56874.999999999993</v>
      </c>
      <c r="M55" s="263" t="str">
        <f t="shared" si="12"/>
        <v>-4.02397836731141+15.6630807330307i</v>
      </c>
      <c r="N55" s="263" t="str">
        <f t="shared" si="3"/>
        <v>1+0.845564647086308i</v>
      </c>
      <c r="O55" s="239" t="str">
        <f t="shared" si="4"/>
        <v>1+0.000113032907070598i</v>
      </c>
      <c r="P55" s="239" t="str">
        <f t="shared" si="13"/>
        <v>11.7784526067085-9.95716009706718i</v>
      </c>
      <c r="Q55" s="263" t="str">
        <f t="shared" si="5"/>
        <v>0.999998518181342-0.00140695356283817i</v>
      </c>
      <c r="R55" s="239" t="str">
        <f t="shared" si="14"/>
        <v>11.7644258913033-9.9737170782213i</v>
      </c>
      <c r="S55" s="249">
        <f t="shared" si="15"/>
        <v>23.763519943101588</v>
      </c>
      <c r="T55" s="249">
        <f t="shared" si="16"/>
        <v>-40.290815724775307</v>
      </c>
    </row>
    <row r="56" spans="1:20" s="239" customFormat="1" x14ac:dyDescent="0.3">
      <c r="A56" s="239">
        <f t="shared" si="6"/>
        <v>46.802835561104544</v>
      </c>
      <c r="B56" s="248">
        <v>774.26368268112697</v>
      </c>
      <c r="C56" s="249">
        <f t="shared" si="7"/>
        <v>23.394646732598137</v>
      </c>
      <c r="D56" s="249">
        <f t="shared" si="8"/>
        <v>104.6296382026345</v>
      </c>
      <c r="E56" s="248">
        <f t="shared" si="9"/>
        <v>23.408188828506404</v>
      </c>
      <c r="F56" s="261">
        <f t="shared" si="9"/>
        <v>-42.942871391253838</v>
      </c>
      <c r="G56" s="250">
        <f t="shared" si="10"/>
        <v>46.802835561104544</v>
      </c>
      <c r="H56" s="250">
        <f t="shared" si="10"/>
        <v>61.686766811380657</v>
      </c>
      <c r="I56" s="263" t="str">
        <f t="shared" si="11"/>
        <v>-137037.675623867i</v>
      </c>
      <c r="J56" s="263" t="str">
        <f t="shared" si="0"/>
        <v>-4373542.83905959i</v>
      </c>
      <c r="K56" s="263" t="str">
        <f t="shared" si="1"/>
        <v>33290.2049943996-127532.579812419i</v>
      </c>
      <c r="L56" s="263">
        <f t="shared" si="2"/>
        <v>56874.999999999993</v>
      </c>
      <c r="M56" s="263" t="str">
        <f t="shared" si="12"/>
        <v>-3.73348093395136+14.3027192312993i</v>
      </c>
      <c r="N56" s="263" t="str">
        <f t="shared" si="3"/>
        <v>1+0.928006156321794i</v>
      </c>
      <c r="O56" s="239" t="str">
        <f t="shared" si="4"/>
        <v>1+0.000124053475970073i</v>
      </c>
      <c r="P56" s="239" t="str">
        <f t="shared" si="13"/>
        <v>10.8533473238614-10.0694675166199i</v>
      </c>
      <c r="Q56" s="263" t="str">
        <f t="shared" si="5"/>
        <v>0.999998215144479-0.00154412948755651i</v>
      </c>
      <c r="R56" s="239" t="str">
        <f t="shared" si="14"/>
        <v>10.8377793904881-10.0862085177167i</v>
      </c>
      <c r="S56" s="249">
        <f t="shared" si="15"/>
        <v>23.408188828506404</v>
      </c>
      <c r="T56" s="249">
        <f t="shared" si="16"/>
        <v>-42.942871391253838</v>
      </c>
    </row>
    <row r="57" spans="1:20" s="239" customFormat="1" x14ac:dyDescent="0.3">
      <c r="A57" s="239">
        <f t="shared" si="6"/>
        <v>45.631924696730778</v>
      </c>
      <c r="B57" s="248">
        <v>849.75343590864497</v>
      </c>
      <c r="C57" s="249">
        <f t="shared" si="7"/>
        <v>22.616394576859548</v>
      </c>
      <c r="D57" s="249">
        <f t="shared" si="8"/>
        <v>104.9711512378282</v>
      </c>
      <c r="E57" s="248">
        <f t="shared" si="9"/>
        <v>23.015530119871229</v>
      </c>
      <c r="F57" s="261">
        <f t="shared" si="9"/>
        <v>-45.614006533961295</v>
      </c>
      <c r="G57" s="250">
        <f t="shared" si="10"/>
        <v>45.631924696730778</v>
      </c>
      <c r="H57" s="250">
        <f t="shared" si="10"/>
        <v>59.357144703866901</v>
      </c>
      <c r="I57" s="263" t="str">
        <f t="shared" si="11"/>
        <v>-124863.626213103i</v>
      </c>
      <c r="J57" s="263" t="str">
        <f t="shared" si="0"/>
        <v>-3985009.34722668i</v>
      </c>
      <c r="K57" s="263" t="str">
        <f t="shared" si="1"/>
        <v>31131.6100071344-116419.189647171i</v>
      </c>
      <c r="L57" s="263">
        <f t="shared" si="2"/>
        <v>56874.999999999993</v>
      </c>
      <c r="M57" s="263" t="str">
        <f t="shared" si="12"/>
        <v>-3.49139551481882+13.0563577174398i</v>
      </c>
      <c r="N57" s="263" t="str">
        <f t="shared" si="3"/>
        <v>1+1.01848561093313i</v>
      </c>
      <c r="O57" s="239" t="str">
        <f t="shared" si="4"/>
        <v>1+0.000136148536732277i</v>
      </c>
      <c r="P57" s="239" t="str">
        <f t="shared" si="13"/>
        <v>9.91535248301058-10.0958939201268i</v>
      </c>
      <c r="Q57" s="263" t="str">
        <f t="shared" si="5"/>
        <v>0.99999785013564-0.00169467979554253i</v>
      </c>
      <c r="R57" s="239" t="str">
        <f t="shared" si="14"/>
        <v>9.89822185890328-10.1126755628429i</v>
      </c>
      <c r="S57" s="249">
        <f t="shared" si="15"/>
        <v>23.015530119871229</v>
      </c>
      <c r="T57" s="249">
        <f t="shared" si="16"/>
        <v>-45.614006533961295</v>
      </c>
    </row>
    <row r="58" spans="1:20" s="239" customFormat="1" x14ac:dyDescent="0.3">
      <c r="A58" s="239">
        <f t="shared" si="6"/>
        <v>44.426679729523372</v>
      </c>
      <c r="B58" s="248">
        <v>932.60334688321996</v>
      </c>
      <c r="C58" s="249">
        <f t="shared" si="7"/>
        <v>21.841331285268424</v>
      </c>
      <c r="D58" s="249">
        <f t="shared" si="8"/>
        <v>105.43434451371485</v>
      </c>
      <c r="E58" s="248">
        <f t="shared" si="9"/>
        <v>22.585348444254944</v>
      </c>
      <c r="F58" s="261">
        <f t="shared" si="9"/>
        <v>-48.281390949494075</v>
      </c>
      <c r="G58" s="250">
        <f t="shared" si="10"/>
        <v>44.426679729523372</v>
      </c>
      <c r="H58" s="250">
        <f t="shared" si="10"/>
        <v>57.152953564220773</v>
      </c>
      <c r="I58" s="263" t="str">
        <f t="shared" si="11"/>
        <v>-113771.085798905i</v>
      </c>
      <c r="J58" s="263" t="str">
        <f t="shared" si="0"/>
        <v>-3630992.09996506i</v>
      </c>
      <c r="K58" s="263" t="str">
        <f t="shared" si="1"/>
        <v>29333.8733428583-106247.157177095i</v>
      </c>
      <c r="L58" s="263">
        <f t="shared" si="2"/>
        <v>56874.999999999993</v>
      </c>
      <c r="M58" s="263" t="str">
        <f t="shared" si="12"/>
        <v>-3.28978018798411+11.9155690292069i</v>
      </c>
      <c r="N58" s="263" t="str">
        <f t="shared" si="3"/>
        <v>1+1.11778670067155i</v>
      </c>
      <c r="O58" s="239" t="str">
        <f t="shared" si="4"/>
        <v>1+0.00014942285098736i</v>
      </c>
      <c r="P58" s="239" t="str">
        <f t="shared" si="13"/>
        <v>8.98053953068511-10.0353096281631i</v>
      </c>
      <c r="Q58" s="263" t="str">
        <f t="shared" si="5"/>
        <v>0.999997410481395-0.00185990844044466i</v>
      </c>
      <c r="R58" s="239" t="str">
        <f t="shared" si="14"/>
        <v>8.96185151833102-10.051986622815i</v>
      </c>
      <c r="S58" s="249">
        <f t="shared" si="15"/>
        <v>22.585348444254944</v>
      </c>
      <c r="T58" s="249">
        <f t="shared" si="16"/>
        <v>-48.281390949494075</v>
      </c>
    </row>
    <row r="59" spans="1:20" s="239" customFormat="1" x14ac:dyDescent="0.3">
      <c r="A59" s="239">
        <f t="shared" si="6"/>
        <v>43.18859683999132</v>
      </c>
      <c r="B59" s="248">
        <v>1023.53102189903</v>
      </c>
      <c r="C59" s="249">
        <f t="shared" si="7"/>
        <v>21.070506004616604</v>
      </c>
      <c r="D59" s="249">
        <f t="shared" si="8"/>
        <v>106.02132939958845</v>
      </c>
      <c r="E59" s="248">
        <f t="shared" si="9"/>
        <v>22.118090835374712</v>
      </c>
      <c r="F59" s="261">
        <f t="shared" si="9"/>
        <v>-50.9223941458106</v>
      </c>
      <c r="G59" s="250">
        <f t="shared" si="10"/>
        <v>43.18859683999132</v>
      </c>
      <c r="H59" s="250">
        <f t="shared" si="10"/>
        <v>55.098935253777853</v>
      </c>
      <c r="I59" s="263" t="str">
        <f t="shared" si="11"/>
        <v>-103663.976102782i</v>
      </c>
      <c r="J59" s="263" t="str">
        <f t="shared" si="0"/>
        <v>-3308424.76923772i</v>
      </c>
      <c r="K59" s="263" t="str">
        <f t="shared" si="1"/>
        <v>27837.4426689424-96944.4781160987i</v>
      </c>
      <c r="L59" s="263">
        <f t="shared" si="2"/>
        <v>56874.999999999993</v>
      </c>
      <c r="M59" s="263" t="str">
        <f t="shared" si="12"/>
        <v>-3.12195618717111+10.8722779195625i</v>
      </c>
      <c r="N59" s="263" t="str">
        <f t="shared" si="3"/>
        <v>1+1.22676952407158i</v>
      </c>
      <c r="O59" s="239" t="str">
        <f t="shared" si="4"/>
        <v>1+0.000163991394495082i</v>
      </c>
      <c r="P59" s="239" t="str">
        <f t="shared" si="13"/>
        <v>8.06476375893339-9.89029412058144i</v>
      </c>
      <c r="Q59" s="263" t="str">
        <f t="shared" si="5"/>
        <v>0.999996880916583-0.00204124649941283i</v>
      </c>
      <c r="R59" s="239" t="str">
        <f t="shared" si="14"/>
        <v>8.04455007601069-9.90672544272057i</v>
      </c>
      <c r="S59" s="249">
        <f t="shared" si="15"/>
        <v>22.118090835374712</v>
      </c>
      <c r="T59" s="249">
        <f t="shared" si="16"/>
        <v>-50.9223941458106</v>
      </c>
    </row>
    <row r="60" spans="1:20" s="239" customFormat="1" x14ac:dyDescent="0.3">
      <c r="A60" s="239">
        <f t="shared" si="6"/>
        <v>41.919893979798545</v>
      </c>
      <c r="B60" s="248">
        <v>1123.3240329780299</v>
      </c>
      <c r="C60" s="249">
        <f t="shared" si="7"/>
        <v>20.305077353521568</v>
      </c>
      <c r="D60" s="249">
        <f t="shared" si="8"/>
        <v>106.73459822041825</v>
      </c>
      <c r="E60" s="248">
        <f t="shared" si="9"/>
        <v>21.614816626276973</v>
      </c>
      <c r="F60" s="261">
        <f t="shared" si="9"/>
        <v>-53.515538358484747</v>
      </c>
      <c r="G60" s="250">
        <f t="shared" si="10"/>
        <v>41.919893979798545</v>
      </c>
      <c r="H60" s="250">
        <f t="shared" si="10"/>
        <v>53.219059861933502</v>
      </c>
      <c r="I60" s="263" t="str">
        <f t="shared" si="11"/>
        <v>-94454.7541757011i</v>
      </c>
      <c r="J60" s="263" t="str">
        <f t="shared" si="0"/>
        <v>-3014513.43113939i</v>
      </c>
      <c r="K60" s="263" t="str">
        <f t="shared" si="1"/>
        <v>26592.3468676239-88442.837316499i</v>
      </c>
      <c r="L60" s="263">
        <f t="shared" si="2"/>
        <v>56874.999999999993</v>
      </c>
      <c r="M60" s="263" t="str">
        <f t="shared" si="12"/>
        <v>-2.98231927487371+9.91882287661672i</v>
      </c>
      <c r="N60" s="263" t="str">
        <f t="shared" si="3"/>
        <v>1+1.34637803821306i</v>
      </c>
      <c r="O60" s="239" t="str">
        <f t="shared" si="4"/>
        <v>1+0.000179980353009836i</v>
      </c>
      <c r="P60" s="239" t="str">
        <f t="shared" si="13"/>
        <v>7.1826098136379-9.66687288943249i</v>
      </c>
      <c r="Q60" s="263" t="str">
        <f t="shared" si="5"/>
        <v>0.999996243054303-0.00224026456414458i</v>
      </c>
      <c r="R60" s="239" t="str">
        <f t="shared" si="14"/>
        <v>7.16092647618258-9.68292751775956i</v>
      </c>
      <c r="S60" s="249">
        <f t="shared" si="15"/>
        <v>21.614816626276973</v>
      </c>
      <c r="T60" s="249">
        <f t="shared" si="16"/>
        <v>-53.515538358484747</v>
      </c>
    </row>
    <row r="61" spans="1:20" s="239" customFormat="1" x14ac:dyDescent="0.3">
      <c r="A61" s="239">
        <f t="shared" si="6"/>
        <v>40.623465448000104</v>
      </c>
      <c r="B61" s="248">
        <v>1232.84673944207</v>
      </c>
      <c r="C61" s="249">
        <f t="shared" si="7"/>
        <v>19.546337218138842</v>
      </c>
      <c r="D61" s="249">
        <f t="shared" si="8"/>
        <v>107.57688776961587</v>
      </c>
      <c r="E61" s="248">
        <f t="shared" si="9"/>
        <v>21.077128229861263</v>
      </c>
      <c r="F61" s="261">
        <f t="shared" si="9"/>
        <v>-56.04133679695537</v>
      </c>
      <c r="G61" s="250">
        <f t="shared" si="10"/>
        <v>40.623465448000104</v>
      </c>
      <c r="H61" s="250">
        <f t="shared" si="10"/>
        <v>51.535550972660495</v>
      </c>
      <c r="I61" s="263" t="str">
        <f t="shared" si="11"/>
        <v>-86063.6541429428i</v>
      </c>
      <c r="J61" s="263" t="str">
        <f t="shared" si="0"/>
        <v>-2746712.36626413i</v>
      </c>
      <c r="K61" s="263" t="str">
        <f t="shared" si="1"/>
        <v>25556.7301447814-80677.9228401353i</v>
      </c>
      <c r="L61" s="263">
        <f t="shared" si="2"/>
        <v>56874.999999999993</v>
      </c>
      <c r="M61" s="263" t="str">
        <f t="shared" si="12"/>
        <v>-2.86617534333997+9.04799134655724i</v>
      </c>
      <c r="N61" s="263" t="str">
        <f t="shared" si="3"/>
        <v>1+1.4776482348258i</v>
      </c>
      <c r="O61" s="239" t="str">
        <f t="shared" si="4"/>
        <v>1+0.0001975282152413i</v>
      </c>
      <c r="P61" s="239" t="str">
        <f t="shared" si="13"/>
        <v>6.34651293646044-9.37392398762587i</v>
      </c>
      <c r="Q61" s="263" t="str">
        <f t="shared" si="5"/>
        <v>0.999995474747524-0.00245868633896822i</v>
      </c>
      <c r="R61" s="239" t="str">
        <f t="shared" si="14"/>
        <v>6.32343667803616-9.3894856529101i</v>
      </c>
      <c r="S61" s="249">
        <f t="shared" si="15"/>
        <v>21.077128229861263</v>
      </c>
      <c r="T61" s="249">
        <f t="shared" si="16"/>
        <v>-56.04133679695537</v>
      </c>
    </row>
    <row r="62" spans="1:20" s="239" customFormat="1" x14ac:dyDescent="0.3">
      <c r="A62" s="239">
        <f t="shared" si="6"/>
        <v>39.302805381015943</v>
      </c>
      <c r="B62" s="248">
        <v>1353.04777457981</v>
      </c>
      <c r="C62" s="249">
        <f t="shared" si="7"/>
        <v>18.795733269223504</v>
      </c>
      <c r="D62" s="249">
        <f t="shared" si="8"/>
        <v>108.55100257371217</v>
      </c>
      <c r="E62" s="248">
        <f t="shared" si="9"/>
        <v>20.507072111792436</v>
      </c>
      <c r="F62" s="261">
        <f t="shared" si="9"/>
        <v>-58.482942847277904</v>
      </c>
      <c r="G62" s="250">
        <f t="shared" si="10"/>
        <v>39.302805381015943</v>
      </c>
      <c r="H62" s="250">
        <f t="shared" si="10"/>
        <v>50.068059726434264</v>
      </c>
      <c r="I62" s="263" t="str">
        <f t="shared" si="11"/>
        <v>-78417.9963102543i</v>
      </c>
      <c r="J62" s="263" t="str">
        <f t="shared" si="0"/>
        <v>-2502702.00990172i</v>
      </c>
      <c r="K62" s="263" t="str">
        <f t="shared" si="1"/>
        <v>24695.5861501803-73589.5649452979i</v>
      </c>
      <c r="L62" s="263">
        <f t="shared" si="2"/>
        <v>56874.999999999993</v>
      </c>
      <c r="M62" s="263" t="str">
        <f t="shared" si="12"/>
        <v>-2.7695984467492+8.253035320968i</v>
      </c>
      <c r="N62" s="263" t="str">
        <f t="shared" si="3"/>
        <v>1+1.62171711355431i</v>
      </c>
      <c r="O62" s="239" t="str">
        <f t="shared" si="4"/>
        <v>1+0.000216786972377373i</v>
      </c>
      <c r="P62" s="239" t="str">
        <f t="shared" si="13"/>
        <v>5.56616063980749-9.02235933016163i</v>
      </c>
      <c r="Q62" s="263" t="str">
        <f t="shared" si="5"/>
        <v>0.999994549320152-0.0026984035633014i</v>
      </c>
      <c r="R62" s="239" t="str">
        <f t="shared" si="14"/>
        <v>5.54178433388197-9.03732989987381i</v>
      </c>
      <c r="S62" s="249">
        <f t="shared" si="15"/>
        <v>20.507072111792436</v>
      </c>
      <c r="T62" s="249">
        <f t="shared" si="16"/>
        <v>-58.482942847277904</v>
      </c>
    </row>
    <row r="63" spans="1:20" s="239" customFormat="1" x14ac:dyDescent="0.3">
      <c r="A63" s="239">
        <f t="shared" si="6"/>
        <v>37.961911235795093</v>
      </c>
      <c r="B63" s="248">
        <v>1484.9682622544599</v>
      </c>
      <c r="C63" s="249">
        <f t="shared" si="7"/>
        <v>18.054888950245893</v>
      </c>
      <c r="D63" s="249">
        <f t="shared" si="8"/>
        <v>109.65959239998111</v>
      </c>
      <c r="E63" s="248">
        <f t="shared" si="9"/>
        <v>19.9070222855492</v>
      </c>
      <c r="F63" s="261">
        <f t="shared" si="9"/>
        <v>-60.826568050558997</v>
      </c>
      <c r="G63" s="250">
        <f t="shared" si="10"/>
        <v>37.961911235795093</v>
      </c>
      <c r="H63" s="250">
        <f t="shared" si="10"/>
        <v>48.833024349422111</v>
      </c>
      <c r="I63" s="263" t="str">
        <f t="shared" si="11"/>
        <v>-71451.5576471059i</v>
      </c>
      <c r="J63" s="263" t="str">
        <f t="shared" si="0"/>
        <v>-2280368.86107784i</v>
      </c>
      <c r="K63" s="263" t="str">
        <f t="shared" si="1"/>
        <v>23979.6727699127-67121.7483221043i</v>
      </c>
      <c r="L63" s="263">
        <f t="shared" si="2"/>
        <v>56874.999999999993</v>
      </c>
      <c r="M63" s="263" t="str">
        <f t="shared" si="12"/>
        <v>-2.68930909569115+7.52767270902105i</v>
      </c>
      <c r="N63" s="263" t="str">
        <f t="shared" si="3"/>
        <v>1+1.77983253010481i</v>
      </c>
      <c r="O63" s="239" t="str">
        <f t="shared" si="4"/>
        <v>1+0.000237923434559143i</v>
      </c>
      <c r="P63" s="239" t="str">
        <f t="shared" si="13"/>
        <v>4.84821959943779-8.62421340833979i</v>
      </c>
      <c r="Q63" s="263" t="str">
        <f t="shared" si="5"/>
        <v>0.999993434640862-0.00296149238715312i</v>
      </c>
      <c r="R63" s="239" t="str">
        <f t="shared" si="14"/>
        <v>4.82264722678096-8.63851475271646i</v>
      </c>
      <c r="S63" s="249">
        <f t="shared" si="15"/>
        <v>19.9070222855492</v>
      </c>
      <c r="T63" s="249">
        <f t="shared" si="16"/>
        <v>-60.826568050558997</v>
      </c>
    </row>
    <row r="64" spans="1:20" s="239" customFormat="1" x14ac:dyDescent="0.3">
      <c r="A64" s="239">
        <f t="shared" si="6"/>
        <v>36.605178358773529</v>
      </c>
      <c r="B64" s="248">
        <v>1629.75083462064</v>
      </c>
      <c r="C64" s="249">
        <f t="shared" si="7"/>
        <v>17.325619151709006</v>
      </c>
      <c r="D64" s="249">
        <f t="shared" si="8"/>
        <v>110.9048796100066</v>
      </c>
      <c r="E64" s="248">
        <f t="shared" si="9"/>
        <v>19.279559207064523</v>
      </c>
      <c r="F64" s="261">
        <f t="shared" si="9"/>
        <v>-63.061661737379417</v>
      </c>
      <c r="G64" s="250">
        <f t="shared" si="10"/>
        <v>36.605178358773529</v>
      </c>
      <c r="H64" s="250">
        <f t="shared" si="10"/>
        <v>47.843217872627186</v>
      </c>
      <c r="I64" s="263" t="str">
        <f t="shared" si="11"/>
        <v>-65103.9981944816i</v>
      </c>
      <c r="J64" s="263" t="str">
        <f t="shared" si="0"/>
        <v>-2077787.17641962i</v>
      </c>
      <c r="K64" s="263" t="str">
        <f t="shared" si="1"/>
        <v>23384.5872106311-61222.5347670147i</v>
      </c>
      <c r="L64" s="263">
        <f t="shared" si="2"/>
        <v>56874.999999999993</v>
      </c>
      <c r="M64" s="263" t="str">
        <f t="shared" si="12"/>
        <v>-2.62257052829508+6.8660786654596i</v>
      </c>
      <c r="N64" s="263" t="str">
        <f t="shared" si="3"/>
        <v>1+1.95336400457441i</v>
      </c>
      <c r="O64" s="239" t="str">
        <f t="shared" si="4"/>
        <v>1+0.000261120675710528i</v>
      </c>
      <c r="P64" s="239" t="str">
        <f t="shared" si="13"/>
        <v>4.19637170063702-8.19176734702671i</v>
      </c>
      <c r="Q64" s="263" t="str">
        <f t="shared" si="5"/>
        <v>0.999992092007529-0.00325023134073409i</v>
      </c>
      <c r="R64" s="239" t="str">
        <f t="shared" si="14"/>
        <v>4.1697133767939-8.20534174541099i</v>
      </c>
      <c r="S64" s="249">
        <f t="shared" si="15"/>
        <v>19.279559207064523</v>
      </c>
      <c r="T64" s="249">
        <f t="shared" si="16"/>
        <v>-63.061661737379417</v>
      </c>
    </row>
    <row r="65" spans="1:20" s="239" customFormat="1" x14ac:dyDescent="0.3">
      <c r="A65" s="239">
        <f t="shared" si="6"/>
        <v>35.237294517302075</v>
      </c>
      <c r="B65" s="248">
        <v>1788.6495290574401</v>
      </c>
      <c r="C65" s="249">
        <f t="shared" si="7"/>
        <v>16.609939203290253</v>
      </c>
      <c r="D65" s="249">
        <f t="shared" si="8"/>
        <v>112.28833453499711</v>
      </c>
      <c r="E65" s="248">
        <f t="shared" si="9"/>
        <v>18.627355314011822</v>
      </c>
      <c r="F65" s="261">
        <f t="shared" si="9"/>
        <v>-65.180875432042768</v>
      </c>
      <c r="G65" s="250">
        <f t="shared" si="10"/>
        <v>35.237294517302075</v>
      </c>
      <c r="H65" s="250">
        <f t="shared" si="10"/>
        <v>47.107459102954337</v>
      </c>
      <c r="I65" s="263" t="str">
        <f t="shared" si="11"/>
        <v>-59320.3384290213i</v>
      </c>
      <c r="J65" s="263" t="str">
        <f t="shared" si="0"/>
        <v>-1893202.29028792i</v>
      </c>
      <c r="K65" s="263" t="str">
        <f t="shared" si="1"/>
        <v>22889.9813790505-55843.9245973557i</v>
      </c>
      <c r="L65" s="263">
        <f t="shared" si="2"/>
        <v>56874.999999999993</v>
      </c>
      <c r="M65" s="263" t="str">
        <f t="shared" si="12"/>
        <v>-2.56710071540754+6.26287004830158i</v>
      </c>
      <c r="N65" s="263" t="str">
        <f t="shared" si="3"/>
        <v>1+2.143814583579i</v>
      </c>
      <c r="O65" s="239" t="str">
        <f t="shared" si="4"/>
        <v>1+0.000286579619237019i</v>
      </c>
      <c r="P65" s="239" t="str">
        <f t="shared" si="13"/>
        <v>3.61159710647186-7.73680624749046i</v>
      </c>
      <c r="Q65" s="263" t="str">
        <f t="shared" si="5"/>
        <v>0.999990474803565-0.00356712105280006i</v>
      </c>
      <c r="R65" s="239" t="str">
        <f t="shared" si="14"/>
        <v>3.58396458085312-7.7496155569639i</v>
      </c>
      <c r="S65" s="249">
        <f t="shared" si="15"/>
        <v>18.627355314011822</v>
      </c>
      <c r="T65" s="249">
        <f t="shared" si="16"/>
        <v>-65.180875432042768</v>
      </c>
    </row>
    <row r="66" spans="1:20" s="239" customFormat="1" x14ac:dyDescent="0.3">
      <c r="A66" s="239">
        <f t="shared" si="6"/>
        <v>33.863139677490999</v>
      </c>
      <c r="B66" s="248">
        <v>1963.0406500402701</v>
      </c>
      <c r="C66" s="249">
        <f t="shared" si="7"/>
        <v>15.910064256606024</v>
      </c>
      <c r="D66" s="249">
        <f t="shared" si="8"/>
        <v>113.81030153191892</v>
      </c>
      <c r="E66" s="248">
        <f t="shared" si="9"/>
        <v>17.953075420884975</v>
      </c>
      <c r="F66" s="261">
        <f t="shared" si="9"/>
        <v>-67.179855537076151</v>
      </c>
      <c r="G66" s="250">
        <f t="shared" si="10"/>
        <v>33.863139677490999</v>
      </c>
      <c r="H66" s="250">
        <f t="shared" si="10"/>
        <v>46.630445994842773</v>
      </c>
      <c r="I66" s="263" t="str">
        <f t="shared" ref="I66:I97" si="17">IMDIV(1,COMPLEX(0,2*PI()*$B66*Cz*10^-9))</f>
        <v>-54050.4830566909i</v>
      </c>
      <c r="J66" s="263" t="str">
        <f t="shared" ref="J66:J97" si="18">IMDIV(1,COMPLEX(0,2*PI()*$B66*Cp_Cstray*10^-12))</f>
        <v>-1725015.4167029i</v>
      </c>
      <c r="K66" s="263" t="str">
        <f t="shared" ref="K66:K97" si="19">IMDIV(IMPRODUCT(IMDIV(IMPRODUCT(J66,IMSUM(Rz*10^3,I66)),IMSUM(J66,IMSUM(Rz*10^3,I66))),Ro_EA*10^3),IMSUM(IMDIV(IMPRODUCT(J66,IMSUM(Rz*10^3,I66)),IMSUM(J66,IMSUM(Rz*10^3,I66))),Ro_EA*10^3))</f>
        <v>22478.8987782713-50941.6781056034i</v>
      </c>
      <c r="L66" s="263">
        <f t="shared" ref="L66:L97" si="20">IF($E$1="Feedforward RC",IMDIV(IMPRODUCT(IMSUM(Rz_2*10^3,IMDIV(1,COMPLEX(0,2*PI()*$B66*Cz_2*10^-12))),RFB_1*10^3),IMSUM(IMSUM(Rz_2*10^3,IMDIV(1,COMPLEX(0,2*PI()*$B66*Cz_2*10^-12))),RFB_1*10^3)),RFB_1*10^3)</f>
        <v>56874.999999999993</v>
      </c>
      <c r="M66" s="263" t="str">
        <f t="shared" ref="M66:M97" si="21">IMPRODUCT(-gm_EA1*10^-6,K66,IMDIV(RFB_2*10^3,IMSUM(L66,RFB_2*10^3)))</f>
        <v>-2.52099799382482+5.71308539502095i</v>
      </c>
      <c r="N66" s="263" t="str">
        <f t="shared" ref="N66:N97" si="22">COMPLEX(1,2*PI()*B66*1/(1/(Vreg/Iout_PreReg*Number_Cout*Co*10^-6)+(m_c*(1-Vreg/Vin_nom)-0.5)/(fsw*10^3*L_buck*10^-6*Number_Cout*Co*10^-6)))</f>
        <v>1+2.35283385892395i</v>
      </c>
      <c r="O66" s="239" t="str">
        <f t="shared" ref="O66:O97" si="23">COMPLEX(1,2*PI()*B66*(ESR*10^-3*Co*10^-6))</f>
        <v>1+0.000314520778328097i</v>
      </c>
      <c r="P66" s="239" t="str">
        <f t="shared" ref="P66:P97" si="24">IMPRODUCT(K,IMDIV(O66,N66))</f>
        <v>3.09261878946472-7.27006554917789i</v>
      </c>
      <c r="Q66" s="263" t="str">
        <f t="shared" ref="Q66:Q97" si="25">IMDIV(1,IMSUM(COMPLEX(1,2*PI()*B66/(wn*Qp)),IMPRODUCT(COMPLEX(0,2*PI()*B66/wn),COMPLEX(0,2*PI()*B66/wn))))</f>
        <v>0.999988526879494-0.00391490588717066i</v>
      </c>
      <c r="R66" s="239" t="str">
        <f t="shared" si="14"/>
        <v>3.06412168505808-7.28208945034541i</v>
      </c>
      <c r="S66" s="249">
        <f t="shared" si="15"/>
        <v>17.953075420884975</v>
      </c>
      <c r="T66" s="249">
        <f t="shared" si="16"/>
        <v>-67.179855537076151</v>
      </c>
    </row>
    <row r="67" spans="1:20" s="239" customFormat="1" x14ac:dyDescent="0.3">
      <c r="A67" s="239">
        <f t="shared" si="6"/>
        <v>32.487692384554379</v>
      </c>
      <c r="B67" s="248">
        <v>2154.4346900318801</v>
      </c>
      <c r="C67" s="249">
        <f t="shared" si="7"/>
        <v>15.228395720527512</v>
      </c>
      <c r="D67" s="249">
        <f t="shared" si="8"/>
        <v>115.46958511622793</v>
      </c>
      <c r="E67" s="248">
        <f t="shared" si="9"/>
        <v>17.25929666402687</v>
      </c>
      <c r="F67" s="261">
        <f t="shared" si="9"/>
        <v>-69.056916919199452</v>
      </c>
      <c r="G67" s="250">
        <f t="shared" si="10"/>
        <v>32.487692384554379</v>
      </c>
      <c r="H67" s="250">
        <f t="shared" si="10"/>
        <v>46.412668197028481</v>
      </c>
      <c r="I67" s="263" t="str">
        <f t="shared" si="17"/>
        <v>-49248.7871113079i</v>
      </c>
      <c r="J67" s="263" t="str">
        <f t="shared" si="18"/>
        <v>-1571769.80142472i</v>
      </c>
      <c r="K67" s="263" t="str">
        <f t="shared" si="19"/>
        <v>22137.2157963575-46475.1128991638i</v>
      </c>
      <c r="L67" s="263">
        <f t="shared" si="20"/>
        <v>56874.999999999993</v>
      </c>
      <c r="M67" s="263" t="str">
        <f t="shared" si="21"/>
        <v>-2.48267840706813+5.21216219429875i</v>
      </c>
      <c r="N67" s="263" t="str">
        <f t="shared" si="22"/>
        <v>1+2.5822322555793i</v>
      </c>
      <c r="O67" s="239" t="str">
        <f t="shared" si="23"/>
        <v>1+0.000345186165937001i</v>
      </c>
      <c r="P67" s="239" t="str">
        <f t="shared" si="24"/>
        <v>2.63642155137499-6.80088074217487i</v>
      </c>
      <c r="Q67" s="263" t="str">
        <f t="shared" si="25"/>
        <v>0.999986180603609-0.00429659768304723i</v>
      </c>
      <c r="R67" s="239" t="str">
        <f t="shared" si="14"/>
        <v>2.60716446918101-6.81211440083726i</v>
      </c>
      <c r="S67" s="249">
        <f t="shared" si="15"/>
        <v>17.25929666402687</v>
      </c>
      <c r="T67" s="249">
        <f t="shared" si="16"/>
        <v>-69.056916919199452</v>
      </c>
    </row>
    <row r="68" spans="1:20" s="239" customFormat="1" x14ac:dyDescent="0.3">
      <c r="A68" s="239">
        <f t="shared" si="6"/>
        <v>31.115940782016605</v>
      </c>
      <c r="B68" s="248">
        <v>2364.4894126454101</v>
      </c>
      <c r="C68" s="249">
        <f t="shared" si="7"/>
        <v>14.567491324889854</v>
      </c>
      <c r="D68" s="249">
        <f t="shared" si="8"/>
        <v>117.26301459203974</v>
      </c>
      <c r="E68" s="248">
        <f t="shared" si="9"/>
        <v>16.54844945712675</v>
      </c>
      <c r="F68" s="261">
        <f t="shared" si="9"/>
        <v>-70.812649339757016</v>
      </c>
      <c r="G68" s="250">
        <f t="shared" si="10"/>
        <v>31.115940782016605</v>
      </c>
      <c r="H68" s="250">
        <f t="shared" si="10"/>
        <v>46.450365252282722</v>
      </c>
      <c r="I68" s="263" t="str">
        <f t="shared" si="17"/>
        <v>-44873.6605996842i</v>
      </c>
      <c r="J68" s="263" t="str">
        <f t="shared" si="18"/>
        <v>-1432138.10424524i</v>
      </c>
      <c r="K68" s="263" t="str">
        <f t="shared" si="19"/>
        <v>21853.1720916377-42406.8887621884i</v>
      </c>
      <c r="L68" s="263">
        <f t="shared" si="20"/>
        <v>56874.999999999993</v>
      </c>
      <c r="M68" s="263" t="str">
        <f t="shared" si="21"/>
        <v>-2.45082303831451+4.75591275837627i</v>
      </c>
      <c r="N68" s="263" t="str">
        <f t="shared" si="22"/>
        <v>1+2.83399671271464i</v>
      </c>
      <c r="O68" s="239" t="str">
        <f t="shared" si="23"/>
        <v>1+0.000378841390981141i</v>
      </c>
      <c r="P68" s="239" t="str">
        <f t="shared" si="24"/>
        <v>2.23877281330007-6.33702300228296i</v>
      </c>
      <c r="Q68" s="263" t="str">
        <f t="shared" si="25"/>
        <v>0.999983354514056-0.00471550180240088i</v>
      </c>
      <c r="R68" s="239" t="str">
        <f t="shared" si="14"/>
        <v>2.20885330444955-6.34747445669193i</v>
      </c>
      <c r="S68" s="249">
        <f t="shared" si="15"/>
        <v>16.54844945712675</v>
      </c>
      <c r="T68" s="249">
        <f t="shared" si="16"/>
        <v>-70.812649339757016</v>
      </c>
    </row>
    <row r="69" spans="1:20" s="239" customFormat="1" x14ac:dyDescent="0.3">
      <c r="A69" s="239">
        <f t="shared" si="6"/>
        <v>29.752794275641605</v>
      </c>
      <c r="B69" s="248">
        <v>2595.0242113997401</v>
      </c>
      <c r="C69" s="249">
        <f t="shared" si="7"/>
        <v>13.930015844160369</v>
      </c>
      <c r="D69" s="249">
        <f t="shared" si="8"/>
        <v>119.1850163726461</v>
      </c>
      <c r="E69" s="248">
        <f t="shared" si="9"/>
        <v>15.822778431481234</v>
      </c>
      <c r="F69" s="261">
        <f t="shared" si="9"/>
        <v>-72.449501312369819</v>
      </c>
      <c r="G69" s="250">
        <f t="shared" si="10"/>
        <v>29.752794275641605</v>
      </c>
      <c r="H69" s="250">
        <f t="shared" si="10"/>
        <v>46.735515060276285</v>
      </c>
      <c r="I69" s="263" t="str">
        <f t="shared" si="17"/>
        <v>-40887.2082689993i</v>
      </c>
      <c r="J69" s="263" t="str">
        <f t="shared" si="18"/>
        <v>-1304910.90220211i</v>
      </c>
      <c r="K69" s="263" t="str">
        <f t="shared" si="19"/>
        <v>21616.9766192952-38702.7884547118i</v>
      </c>
      <c r="L69" s="263">
        <f t="shared" si="20"/>
        <v>56874.999999999993</v>
      </c>
      <c r="M69" s="263" t="str">
        <f t="shared" si="21"/>
        <v>-2.42433382646302+4.34049963978077i</v>
      </c>
      <c r="N69" s="263" t="str">
        <f t="shared" si="22"/>
        <v>1+3.1103078936157i</v>
      </c>
      <c r="O69" s="239" t="str">
        <f t="shared" si="23"/>
        <v>1+0.000415777958919475i</v>
      </c>
      <c r="P69" s="239" t="str">
        <f t="shared" si="24"/>
        <v>1.89469423130335-5.88468459229817i</v>
      </c>
      <c r="Q69" s="263" t="str">
        <f t="shared" si="25"/>
        <v>0.99997995049088-0.00517524570692682i</v>
      </c>
      <c r="R69" s="239" t="str">
        <f t="shared" si="14"/>
        <v>1.86420155494117-5.89437211544726i</v>
      </c>
      <c r="S69" s="249">
        <f t="shared" si="15"/>
        <v>15.822778431481234</v>
      </c>
      <c r="T69" s="249">
        <f t="shared" si="16"/>
        <v>-72.449501312369819</v>
      </c>
    </row>
    <row r="70" spans="1:20" s="239" customFormat="1" x14ac:dyDescent="0.3">
      <c r="A70" s="239">
        <f t="shared" si="6"/>
        <v>28.40299147619384</v>
      </c>
      <c r="B70" s="248">
        <v>2848.0358684357998</v>
      </c>
      <c r="C70" s="249">
        <f t="shared" si="7"/>
        <v>13.318670725407546</v>
      </c>
      <c r="D70" s="249">
        <f t="shared" si="8"/>
        <v>121.227234313019</v>
      </c>
      <c r="E70" s="248">
        <f t="shared" si="9"/>
        <v>15.084320750786295</v>
      </c>
      <c r="F70" s="261">
        <f t="shared" si="9"/>
        <v>-73.971375313234475</v>
      </c>
      <c r="G70" s="250">
        <f t="shared" si="10"/>
        <v>28.40299147619384</v>
      </c>
      <c r="H70" s="250">
        <f t="shared" si="10"/>
        <v>47.255858999784522</v>
      </c>
      <c r="I70" s="263" t="str">
        <f t="shared" si="17"/>
        <v>-37254.9013762495i</v>
      </c>
      <c r="J70" s="263" t="str">
        <f t="shared" si="18"/>
        <v>-1188986.21413562i</v>
      </c>
      <c r="K70" s="263" t="str">
        <f t="shared" si="19"/>
        <v>21420.4775971519-35331.5004186502i</v>
      </c>
      <c r="L70" s="263">
        <f t="shared" si="20"/>
        <v>56874.999999999993</v>
      </c>
      <c r="M70" s="263" t="str">
        <f t="shared" si="21"/>
        <v>-2.40229655295162+3.9624112619047i</v>
      </c>
      <c r="N70" s="263" t="str">
        <f t="shared" si="22"/>
        <v>1+3.41355907354653i</v>
      </c>
      <c r="O70" s="239" t="str">
        <f t="shared" si="23"/>
        <v>1+0.000456315796633345i</v>
      </c>
      <c r="P70" s="239" t="str">
        <f t="shared" si="24"/>
        <v>1.59885553071845-5.44857119467543i</v>
      </c>
      <c r="Q70" s="263" t="str">
        <f t="shared" si="25"/>
        <v>0.999975850349875-0.00567981030796882i</v>
      </c>
      <c r="R70" s="239" t="str">
        <f t="shared" si="14"/>
        <v>1.56787006808156-5.45752080971172i</v>
      </c>
      <c r="S70" s="249">
        <f t="shared" si="15"/>
        <v>15.084320750786295</v>
      </c>
      <c r="T70" s="249">
        <f t="shared" si="16"/>
        <v>-73.971375313234475</v>
      </c>
    </row>
    <row r="71" spans="1:20" s="239" customFormat="1" x14ac:dyDescent="0.3">
      <c r="A71" s="239">
        <f t="shared" si="6"/>
        <v>27.071001404809238</v>
      </c>
      <c r="B71" s="248">
        <v>3125.7158496882398</v>
      </c>
      <c r="C71" s="249">
        <f t="shared" si="7"/>
        <v>12.736102971099006</v>
      </c>
      <c r="D71" s="249">
        <f t="shared" si="8"/>
        <v>123.378247476303</v>
      </c>
      <c r="E71" s="248">
        <f t="shared" si="9"/>
        <v>14.334898433710233</v>
      </c>
      <c r="F71" s="261">
        <f t="shared" si="9"/>
        <v>-75.383257086346916</v>
      </c>
      <c r="G71" s="250">
        <f t="shared" si="10"/>
        <v>27.071001404809238</v>
      </c>
      <c r="H71" s="250">
        <f t="shared" si="10"/>
        <v>47.994990389956087</v>
      </c>
      <c r="I71" s="263" t="str">
        <f t="shared" si="17"/>
        <v>-33945.2786167941i</v>
      </c>
      <c r="J71" s="263" t="str">
        <f t="shared" si="18"/>
        <v>-1083359.95585513i</v>
      </c>
      <c r="K71" s="263" t="str">
        <f t="shared" si="19"/>
        <v>21256.8863216669-32264.4075175627i</v>
      </c>
      <c r="L71" s="263">
        <f t="shared" si="20"/>
        <v>56874.999999999993</v>
      </c>
      <c r="M71" s="263" t="str">
        <f t="shared" si="21"/>
        <v>-2.3839498678505+3.61843822626872i</v>
      </c>
      <c r="N71" s="263" t="str">
        <f t="shared" si="22"/>
        <v>1+3.74637686915494i</v>
      </c>
      <c r="O71" s="239" t="str">
        <f t="shared" si="23"/>
        <v>1+0.000500806023480077i</v>
      </c>
      <c r="P71" s="239" t="str">
        <f t="shared" si="24"/>
        <v>1.34588050978583-5.03206039296138i</v>
      </c>
      <c r="Q71" s="263" t="str">
        <f t="shared" si="25"/>
        <v>0.99997091174013-0.00623356435551038i</v>
      </c>
      <c r="R71" s="239" t="str">
        <f t="shared" si="14"/>
        <v>1.31447368816347-5.04030365185356i</v>
      </c>
      <c r="S71" s="249">
        <f t="shared" si="15"/>
        <v>14.334898433710233</v>
      </c>
      <c r="T71" s="249">
        <f t="shared" si="16"/>
        <v>-75.383257086346916</v>
      </c>
    </row>
    <row r="72" spans="1:20" s="239" customFormat="1" x14ac:dyDescent="0.3">
      <c r="A72" s="239">
        <f t="shared" si="6"/>
        <v>25.760917775221408</v>
      </c>
      <c r="B72" s="248">
        <v>3430.4692863149198</v>
      </c>
      <c r="C72" s="249">
        <f t="shared" si="7"/>
        <v>12.184796580055345</v>
      </c>
      <c r="D72" s="249">
        <f t="shared" si="8"/>
        <v>125.62343861997512</v>
      </c>
      <c r="E72" s="248">
        <f t="shared" si="9"/>
        <v>13.576121195166062</v>
      </c>
      <c r="F72" s="261">
        <f t="shared" si="9"/>
        <v>-76.690891873813143</v>
      </c>
      <c r="G72" s="250">
        <f t="shared" si="10"/>
        <v>25.760917775221408</v>
      </c>
      <c r="H72" s="250">
        <f t="shared" si="10"/>
        <v>48.932546746161975</v>
      </c>
      <c r="I72" s="263" t="str">
        <f t="shared" si="17"/>
        <v>-30929.6736215864i</v>
      </c>
      <c r="J72" s="263" t="str">
        <f t="shared" si="18"/>
        <v>-987117.243242122i</v>
      </c>
      <c r="K72" s="263" t="str">
        <f t="shared" si="19"/>
        <v>21120.5461937152-29475.3845599569i</v>
      </c>
      <c r="L72" s="263">
        <f t="shared" si="20"/>
        <v>56874.999999999993</v>
      </c>
      <c r="M72" s="263" t="str">
        <f t="shared" si="21"/>
        <v>-2.36865938621105+3.30565060485498i</v>
      </c>
      <c r="N72" s="263" t="str">
        <f t="shared" si="22"/>
        <v>1+4.11164398896928i</v>
      </c>
      <c r="O72" s="239" t="str">
        <f t="shared" si="23"/>
        <v>1+0.000549633992520871i</v>
      </c>
      <c r="P72" s="239" t="str">
        <f t="shared" si="24"/>
        <v>1.13056819737443-4.6373924940842i</v>
      </c>
      <c r="Q72" s="263" t="str">
        <f t="shared" si="25"/>
        <v>0.999964963202913-0.00684130215690082i</v>
      </c>
      <c r="R72" s="239" t="str">
        <f t="shared" si="14"/>
        <v>1.09880278261373-4.64496457335159i</v>
      </c>
      <c r="S72" s="249">
        <f t="shared" si="15"/>
        <v>13.576121195166062</v>
      </c>
      <c r="T72" s="249">
        <f t="shared" si="16"/>
        <v>-76.690891873813143</v>
      </c>
    </row>
    <row r="73" spans="1:20" s="239" customFormat="1" x14ac:dyDescent="0.3">
      <c r="A73" s="239">
        <f t="shared" si="6"/>
        <v>24.476349925457129</v>
      </c>
      <c r="B73" s="248">
        <v>3764.93580679247</v>
      </c>
      <c r="C73" s="249">
        <f t="shared" si="7"/>
        <v>11.666953319754107</v>
      </c>
      <c r="D73" s="249">
        <f t="shared" si="8"/>
        <v>127.94506194767682</v>
      </c>
      <c r="E73" s="248">
        <f t="shared" si="9"/>
        <v>12.809396605703023</v>
      </c>
      <c r="F73" s="261">
        <f t="shared" si="9"/>
        <v>-77.900512621236288</v>
      </c>
      <c r="G73" s="250">
        <f t="shared" si="10"/>
        <v>24.476349925457129</v>
      </c>
      <c r="H73" s="250">
        <f t="shared" si="10"/>
        <v>50.044549326440531</v>
      </c>
      <c r="I73" s="263" t="str">
        <f t="shared" si="17"/>
        <v>-28181.9666627972i</v>
      </c>
      <c r="J73" s="263" t="str">
        <f t="shared" si="18"/>
        <v>-899424.467961613i</v>
      </c>
      <c r="K73" s="263" t="str">
        <f t="shared" si="19"/>
        <v>21006.7395915811-26940.6063355237i</v>
      </c>
      <c r="L73" s="263">
        <f t="shared" si="20"/>
        <v>56874.999999999993</v>
      </c>
      <c r="M73" s="263" t="str">
        <f t="shared" si="21"/>
        <v>-2.35589602896237+3.0213764114606i</v>
      </c>
      <c r="N73" s="263" t="str">
        <f t="shared" si="22"/>
        <v>1+4.51252420204073i</v>
      </c>
      <c r="O73" s="239" t="str">
        <f t="shared" si="23"/>
        <v>1+0.000603222628264676i</v>
      </c>
      <c r="P73" s="239" t="str">
        <f t="shared" si="24"/>
        <v>0.948039776520935-4.26586862070248i</v>
      </c>
      <c r="Q73" s="263" t="str">
        <f t="shared" si="25"/>
        <v>0.999957798220579-0.00750828494251089i</v>
      </c>
      <c r="R73" s="239" t="str">
        <f t="shared" si="14"/>
        <v>0.915970410423854-4.27280674623486i</v>
      </c>
      <c r="S73" s="249">
        <f t="shared" si="15"/>
        <v>12.809396605703023</v>
      </c>
      <c r="T73" s="249">
        <f t="shared" si="16"/>
        <v>-77.900512621236288</v>
      </c>
    </row>
    <row r="74" spans="1:20" s="239" customFormat="1" x14ac:dyDescent="0.3">
      <c r="A74" s="239">
        <f t="shared" si="6"/>
        <v>23.220317811377257</v>
      </c>
      <c r="B74" s="248">
        <v>4132.0124001153399</v>
      </c>
      <c r="C74" s="249">
        <f t="shared" si="7"/>
        <v>11.184372940100445</v>
      </c>
      <c r="D74" s="249">
        <f t="shared" si="8"/>
        <v>130.322542985383</v>
      </c>
      <c r="E74" s="248">
        <f t="shared" si="9"/>
        <v>12.035944871276813</v>
      </c>
      <c r="F74" s="261">
        <f t="shared" si="9"/>
        <v>-79.018619724643244</v>
      </c>
      <c r="G74" s="250">
        <f t="shared" si="10"/>
        <v>23.220317811377257</v>
      </c>
      <c r="H74" s="250">
        <f t="shared" si="10"/>
        <v>51.303923260739751</v>
      </c>
      <c r="I74" s="263" t="str">
        <f t="shared" si="17"/>
        <v>-25678.3584172292i</v>
      </c>
      <c r="J74" s="263" t="str">
        <f t="shared" si="18"/>
        <v>-819522.077145612i</v>
      </c>
      <c r="K74" s="263" t="str">
        <f t="shared" si="19"/>
        <v>20911.526340846-24638.3671448814i</v>
      </c>
      <c r="L74" s="263">
        <f t="shared" si="20"/>
        <v>56874.999999999993</v>
      </c>
      <c r="M74" s="263" t="str">
        <f t="shared" si="21"/>
        <v>-2.3452179073846+2.76318136204278i</v>
      </c>
      <c r="N74" s="263" t="str">
        <f t="shared" si="22"/>
        <v>1+4.95248974099724i</v>
      </c>
      <c r="O74" s="239" t="str">
        <f t="shared" si="23"/>
        <v>1+0.000662036089837958i</v>
      </c>
      <c r="P74" s="239" t="str">
        <f t="shared" si="24"/>
        <v>0.793825194295195-3.9180394085914i</v>
      </c>
      <c r="Q74" s="263" t="str">
        <f t="shared" si="25"/>
        <v>0.999949168049148-0.00824028622403954i</v>
      </c>
      <c r="R74" s="239" t="str">
        <f t="shared" si="14"/>
        <v>0.761499076448074-3.92438159381759i</v>
      </c>
      <c r="S74" s="249">
        <f t="shared" si="15"/>
        <v>12.035944871276813</v>
      </c>
      <c r="T74" s="249">
        <f t="shared" si="16"/>
        <v>-79.018619724643244</v>
      </c>
    </row>
    <row r="75" spans="1:20" s="239" customFormat="1" x14ac:dyDescent="0.3">
      <c r="A75" s="239">
        <f t="shared" si="6"/>
        <v>21.995161366386959</v>
      </c>
      <c r="B75" s="248">
        <v>4534.8785081285796</v>
      </c>
      <c r="C75" s="249">
        <f t="shared" si="7"/>
        <v>10.738345259071549</v>
      </c>
      <c r="D75" s="249">
        <f t="shared" si="8"/>
        <v>132.73301689360264</v>
      </c>
      <c r="E75" s="248">
        <f t="shared" si="9"/>
        <v>11.256816107315409</v>
      </c>
      <c r="F75" s="261">
        <f t="shared" si="9"/>
        <v>-80.051808448231839</v>
      </c>
      <c r="G75" s="250">
        <f t="shared" si="10"/>
        <v>21.995161366386959</v>
      </c>
      <c r="H75" s="250">
        <f t="shared" si="10"/>
        <v>52.6812084453708</v>
      </c>
      <c r="I75" s="263" t="str">
        <f t="shared" si="17"/>
        <v>-23397.1638279639i</v>
      </c>
      <c r="J75" s="263" t="str">
        <f t="shared" si="18"/>
        <v>-746717.994509489i</v>
      </c>
      <c r="K75" s="263" t="str">
        <f t="shared" si="19"/>
        <v>20831.6084886512-22548.9122599603i</v>
      </c>
      <c r="L75" s="263">
        <f t="shared" si="20"/>
        <v>56874.999999999993</v>
      </c>
      <c r="M75" s="263" t="str">
        <f t="shared" si="21"/>
        <v>-2.33625515760574+2.52884997307966i</v>
      </c>
      <c r="N75" s="263" t="str">
        <f t="shared" si="22"/>
        <v>1+5.43535137686149i</v>
      </c>
      <c r="O75" s="239" t="str">
        <f t="shared" si="23"/>
        <v>1+0.000726583791309008i</v>
      </c>
      <c r="P75" s="239" t="str">
        <f t="shared" si="24"/>
        <v>0.663903735295337-3.59387463302347i</v>
      </c>
      <c r="Q75" s="263" t="str">
        <f t="shared" si="25"/>
        <v>0.999938773086142-0.00904364152173303i</v>
      </c>
      <c r="R75" s="239" t="str">
        <f t="shared" si="14"/>
        <v>0.631361372663412-3.59965869855785i</v>
      </c>
      <c r="S75" s="249">
        <f t="shared" si="15"/>
        <v>11.256816107315409</v>
      </c>
      <c r="T75" s="249">
        <f t="shared" si="16"/>
        <v>-80.051808448231839</v>
      </c>
    </row>
    <row r="76" spans="1:20" s="239" customFormat="1" x14ac:dyDescent="0.3">
      <c r="A76" s="239">
        <f t="shared" si="6"/>
        <v>20.802475504398537</v>
      </c>
      <c r="B76" s="248">
        <v>4977.0235643321103</v>
      </c>
      <c r="C76" s="249">
        <f t="shared" si="7"/>
        <v>10.329566975533758</v>
      </c>
      <c r="D76" s="249">
        <f t="shared" si="8"/>
        <v>135.1520776512252</v>
      </c>
      <c r="E76" s="248">
        <f t="shared" si="9"/>
        <v>10.47290852886478</v>
      </c>
      <c r="F76" s="261">
        <f t="shared" si="9"/>
        <v>-81.006638318855806</v>
      </c>
      <c r="G76" s="250">
        <f t="shared" si="10"/>
        <v>20.802475504398537</v>
      </c>
      <c r="H76" s="250">
        <f t="shared" si="10"/>
        <v>54.145439332369392</v>
      </c>
      <c r="I76" s="263" t="str">
        <f t="shared" si="17"/>
        <v>-21318.6242787732i</v>
      </c>
      <c r="J76" s="263" t="str">
        <f t="shared" si="18"/>
        <v>-680381.625918294i</v>
      </c>
      <c r="K76" s="263" t="str">
        <f t="shared" si="19"/>
        <v>20764.2169074562-20654.2813628194i</v>
      </c>
      <c r="L76" s="263">
        <f t="shared" si="20"/>
        <v>56874.999999999993</v>
      </c>
      <c r="M76" s="263" t="str">
        <f t="shared" si="21"/>
        <v>-2.32869722326612+2.31636800330685i</v>
      </c>
      <c r="N76" s="263" t="str">
        <f t="shared" si="22"/>
        <v>1+5.96529142612648i</v>
      </c>
      <c r="O76" s="239" t="str">
        <f t="shared" si="23"/>
        <v>1+0.000797424813988901i</v>
      </c>
      <c r="P76" s="239" t="str">
        <f t="shared" si="24"/>
        <v>0.554711474121947-3.2929093137031i</v>
      </c>
      <c r="Q76" s="263" t="str">
        <f t="shared" si="25"/>
        <v>0.999926252474594-0.00992530286927331i</v>
      </c>
      <c r="R76" s="239" t="str">
        <f t="shared" si="14"/>
        <v>0.521987443263862-3.29817214917555i</v>
      </c>
      <c r="S76" s="249">
        <f t="shared" si="15"/>
        <v>10.47290852886478</v>
      </c>
      <c r="T76" s="249">
        <f t="shared" si="16"/>
        <v>-81.006638318855806</v>
      </c>
    </row>
    <row r="77" spans="1:20" s="239" customFormat="1" x14ac:dyDescent="0.3">
      <c r="A77" s="239">
        <f t="shared" si="6"/>
        <v>19.643080511547602</v>
      </c>
      <c r="B77" s="248">
        <v>5462.27721768434</v>
      </c>
      <c r="C77" s="249">
        <f t="shared" si="7"/>
        <v>9.9580940579223434</v>
      </c>
      <c r="D77" s="249">
        <f t="shared" si="8"/>
        <v>137.55467617485041</v>
      </c>
      <c r="E77" s="248">
        <f t="shared" si="9"/>
        <v>9.6849864536252586</v>
      </c>
      <c r="F77" s="261">
        <f t="shared" si="9"/>
        <v>-81.889538133941087</v>
      </c>
      <c r="G77" s="250">
        <f t="shared" si="10"/>
        <v>19.643080511547602</v>
      </c>
      <c r="H77" s="250">
        <f t="shared" si="10"/>
        <v>55.665138040909326</v>
      </c>
      <c r="I77" s="263" t="str">
        <f t="shared" si="17"/>
        <v>-19424.7364544376i</v>
      </c>
      <c r="J77" s="263" t="str">
        <f t="shared" si="18"/>
        <v>-619938.397482052i</v>
      </c>
      <c r="K77" s="263" t="str">
        <f t="shared" si="19"/>
        <v>20707.0159461352-18938.1637359122i</v>
      </c>
      <c r="L77" s="263">
        <f t="shared" si="20"/>
        <v>56874.999999999993</v>
      </c>
      <c r="M77" s="263" t="str">
        <f t="shared" si="21"/>
        <v>-2.32228216218339+2.12390621337333i</v>
      </c>
      <c r="N77" s="263" t="str">
        <f t="shared" si="22"/>
        <v>1+6.54689997598012i</v>
      </c>
      <c r="O77" s="239" t="str">
        <f t="shared" si="23"/>
        <v>1+0.000875172748926349i</v>
      </c>
      <c r="P77" s="239" t="str">
        <f t="shared" si="24"/>
        <v>0.463126372194153-3.01436540505851i</v>
      </c>
      <c r="Q77" s="263" t="str">
        <f t="shared" si="25"/>
        <v>0.999911171583161-0.0108928985394099i</v>
      </c>
      <c r="R77" s="239" t="str">
        <f t="shared" si="14"/>
        <v>0.430250056893705-3.01914243233504i</v>
      </c>
      <c r="S77" s="249">
        <f t="shared" si="15"/>
        <v>9.6849864536252586</v>
      </c>
      <c r="T77" s="249">
        <f t="shared" si="16"/>
        <v>-81.889538133941087</v>
      </c>
    </row>
    <row r="78" spans="1:20" s="239" customFormat="1" x14ac:dyDescent="0.3">
      <c r="A78" s="239">
        <f t="shared" si="6"/>
        <v>18.517033620959261</v>
      </c>
      <c r="B78" s="248">
        <v>5994.8425031894103</v>
      </c>
      <c r="C78" s="249">
        <f t="shared" si="7"/>
        <v>9.6233362224006402</v>
      </c>
      <c r="D78" s="249">
        <f t="shared" si="8"/>
        <v>139.91607901933187</v>
      </c>
      <c r="E78" s="248">
        <f t="shared" si="9"/>
        <v>8.8936973985586221</v>
      </c>
      <c r="F78" s="261">
        <f t="shared" si="9"/>
        <v>-82.706740301236593</v>
      </c>
      <c r="G78" s="250">
        <f t="shared" si="10"/>
        <v>18.517033620959261</v>
      </c>
      <c r="H78" s="250">
        <f t="shared" si="10"/>
        <v>57.209338718095282</v>
      </c>
      <c r="I78" s="263" t="str">
        <f t="shared" si="17"/>
        <v>-17699.0964046424i</v>
      </c>
      <c r="J78" s="263" t="str">
        <f t="shared" si="18"/>
        <v>-564864.778871566i</v>
      </c>
      <c r="K78" s="263" t="str">
        <f t="shared" si="19"/>
        <v>20658.0229291468-17385.7647861164i</v>
      </c>
      <c r="L78" s="263">
        <f t="shared" si="20"/>
        <v>56874.999999999993</v>
      </c>
      <c r="M78" s="263" t="str">
        <f t="shared" si="21"/>
        <v>-2.31678761822207+1.9498053965738i</v>
      </c>
      <c r="N78" s="263" t="str">
        <f t="shared" si="22"/>
        <v>1+7.1852146414447i</v>
      </c>
      <c r="O78" s="239" t="str">
        <f t="shared" si="23"/>
        <v>1+0.000960501011539833i</v>
      </c>
      <c r="P78" s="239" t="str">
        <f t="shared" si="24"/>
        <v>0.386439457397074-2.7572503677895i</v>
      </c>
      <c r="Q78" s="263" t="str">
        <f t="shared" si="25"/>
        <v>0.999893006929006-0.0119547984692952i</v>
      </c>
      <c r="R78" s="239" t="str">
        <f t="shared" si="14"/>
        <v>0.35343573857646-2.76157516693892i</v>
      </c>
      <c r="S78" s="249">
        <f t="shared" si="15"/>
        <v>8.8936973985586221</v>
      </c>
      <c r="T78" s="249">
        <f t="shared" si="16"/>
        <v>-82.706740301236593</v>
      </c>
    </row>
    <row r="79" spans="1:20" s="239" customFormat="1" x14ac:dyDescent="0.3">
      <c r="A79" s="239">
        <f t="shared" si="6"/>
        <v>17.423682022443998</v>
      </c>
      <c r="B79" s="248">
        <v>6579.3322465756801</v>
      </c>
      <c r="C79" s="249">
        <f t="shared" si="7"/>
        <v>9.3240941783631044</v>
      </c>
      <c r="D79" s="249">
        <f t="shared" si="8"/>
        <v>142.21278807205809</v>
      </c>
      <c r="E79" s="248">
        <f t="shared" si="9"/>
        <v>8.0995878440808937</v>
      </c>
      <c r="F79" s="261">
        <f t="shared" si="9"/>
        <v>-83.464238746779188</v>
      </c>
      <c r="G79" s="250">
        <f t="shared" si="10"/>
        <v>17.423682022443998</v>
      </c>
      <c r="H79" s="250">
        <f t="shared" si="10"/>
        <v>58.748549325278901</v>
      </c>
      <c r="I79" s="263" t="str">
        <f t="shared" si="17"/>
        <v>-16126.7574608077i</v>
      </c>
      <c r="J79" s="263" t="str">
        <f t="shared" si="18"/>
        <v>-514683.74874918i</v>
      </c>
      <c r="K79" s="263" t="str">
        <f t="shared" si="19"/>
        <v>20615.5397917797-15983.6833546898i</v>
      </c>
      <c r="L79" s="263">
        <f t="shared" si="20"/>
        <v>56874.999999999993</v>
      </c>
      <c r="M79" s="263" t="str">
        <f t="shared" si="21"/>
        <v>-2.31202315421829+1.79256261921755i</v>
      </c>
      <c r="N79" s="263" t="str">
        <f t="shared" si="22"/>
        <v>1+7.88576419878819i</v>
      </c>
      <c r="O79" s="239" t="str">
        <f t="shared" si="23"/>
        <v>1+0.0010541486744198i</v>
      </c>
      <c r="P79" s="239" t="str">
        <f t="shared" si="24"/>
        <v>0.322318368857067-2.52043509040814i</v>
      </c>
      <c r="Q79" s="263" t="str">
        <f t="shared" si="25"/>
        <v>0.999871128021831-0.0131201859015114i</v>
      </c>
      <c r="R79" s="239" t="str">
        <f t="shared" si="14"/>
        <v>0.289208254112425-2.52433915387107i</v>
      </c>
      <c r="S79" s="249">
        <f t="shared" si="15"/>
        <v>8.0995878440808937</v>
      </c>
      <c r="T79" s="249">
        <f t="shared" si="16"/>
        <v>-83.464238746779188</v>
      </c>
    </row>
    <row r="80" spans="1:20" s="239" customFormat="1" x14ac:dyDescent="0.3">
      <c r="A80" s="239">
        <f t="shared" si="6"/>
        <v>16.361751771806105</v>
      </c>
      <c r="B80" s="248">
        <v>7220.8090183854702</v>
      </c>
      <c r="C80" s="249">
        <f t="shared" si="7"/>
        <v>9.0586343186203102</v>
      </c>
      <c r="D80" s="249">
        <f t="shared" si="8"/>
        <v>144.42332884240804</v>
      </c>
      <c r="E80" s="248">
        <f t="shared" si="9"/>
        <v>7.303117453185795</v>
      </c>
      <c r="F80" s="261">
        <f t="shared" si="9"/>
        <v>-84.167765357073137</v>
      </c>
      <c r="G80" s="250">
        <f t="shared" si="10"/>
        <v>16.361751771806105</v>
      </c>
      <c r="H80" s="250">
        <f t="shared" si="10"/>
        <v>60.255563485334903</v>
      </c>
      <c r="I80" s="263" t="str">
        <f t="shared" si="17"/>
        <v>-14694.1007751955i</v>
      </c>
      <c r="J80" s="263" t="str">
        <f t="shared" si="18"/>
        <v>-468960.663038156i</v>
      </c>
      <c r="K80" s="263" t="str">
        <f t="shared" si="19"/>
        <v>20578.0945440945-14719.7991773719i</v>
      </c>
      <c r="L80" s="263">
        <f t="shared" si="20"/>
        <v>56874.999999999993</v>
      </c>
      <c r="M80" s="263" t="str">
        <f t="shared" si="21"/>
        <v>-2.30782368718817+1.65081859933143i</v>
      </c>
      <c r="N80" s="263" t="str">
        <f t="shared" si="22"/>
        <v>1+8.65461647313938i</v>
      </c>
      <c r="O80" s="239" t="str">
        <f t="shared" si="23"/>
        <v>1+0.00115692686882187i</v>
      </c>
      <c r="P80" s="239" t="str">
        <f t="shared" si="24"/>
        <v>0.268767724025287-2.30271410731995i</v>
      </c>
      <c r="Q80" s="263" t="str">
        <f t="shared" si="25"/>
        <v>0.999844775501502-0.0143991357943162i</v>
      </c>
      <c r="R80" s="239" t="str">
        <f t="shared" si="14"/>
        <v>0.235568911563325-2.30622669263283i</v>
      </c>
      <c r="S80" s="249">
        <f t="shared" si="15"/>
        <v>7.303117453185795</v>
      </c>
      <c r="T80" s="249">
        <f t="shared" si="16"/>
        <v>-84.167765357073137</v>
      </c>
    </row>
    <row r="81" spans="1:20" s="239" customFormat="1" x14ac:dyDescent="0.3">
      <c r="A81" s="239">
        <f t="shared" si="6"/>
        <v>15.329462440066106</v>
      </c>
      <c r="B81" s="248">
        <v>7924.8289835391797</v>
      </c>
      <c r="C81" s="249">
        <f t="shared" si="7"/>
        <v>8.8247907595123412</v>
      </c>
      <c r="D81" s="249">
        <f t="shared" si="8"/>
        <v>146.52883848401044</v>
      </c>
      <c r="E81" s="248">
        <f t="shared" si="9"/>
        <v>6.5046716805537654</v>
      </c>
      <c r="F81" s="261">
        <f t="shared" si="9"/>
        <v>-84.822780714786532</v>
      </c>
      <c r="G81" s="250">
        <f t="shared" si="10"/>
        <v>15.329462440066106</v>
      </c>
      <c r="H81" s="250">
        <f t="shared" si="10"/>
        <v>61.706057769223904</v>
      </c>
      <c r="I81" s="263" t="str">
        <f t="shared" si="17"/>
        <v>-13388.7173609659i</v>
      </c>
      <c r="J81" s="263" t="str">
        <f t="shared" si="18"/>
        <v>-427299.490243594i</v>
      </c>
      <c r="K81" s="263" t="str">
        <f t="shared" si="19"/>
        <v>20544.3905898755-13583.1697987244i</v>
      </c>
      <c r="L81" s="263">
        <f t="shared" si="20"/>
        <v>56874.999999999993</v>
      </c>
      <c r="M81" s="263" t="str">
        <f t="shared" si="21"/>
        <v>-2.30404380447202+1.52334614565134i</v>
      </c>
      <c r="N81" s="263" t="str">
        <f t="shared" si="22"/>
        <v>1+9.49843089508634i</v>
      </c>
      <c r="O81" s="239" t="str">
        <f t="shared" si="23"/>
        <v>1+0.00126972581029775i</v>
      </c>
      <c r="P81" s="239" t="str">
        <f t="shared" si="24"/>
        <v>0.224089314008054-2.10285110001607i</v>
      </c>
      <c r="Q81" s="263" t="str">
        <f t="shared" si="25"/>
        <v>0.999813034814203-0.0158027005917239i</v>
      </c>
      <c r="R81" s="239" t="str">
        <f t="shared" si="14"/>
        <v>0.190816690785294-2.10599915640453i</v>
      </c>
      <c r="S81" s="249">
        <f t="shared" si="15"/>
        <v>6.5046716805537654</v>
      </c>
      <c r="T81" s="249">
        <f t="shared" si="16"/>
        <v>-84.822780714786532</v>
      </c>
    </row>
    <row r="82" spans="1:20" s="239" customFormat="1" x14ac:dyDescent="0.3">
      <c r="A82" s="239">
        <f t="shared" si="6"/>
        <v>14.324654868340943</v>
      </c>
      <c r="B82" s="248">
        <v>8697.4900261778293</v>
      </c>
      <c r="C82" s="249">
        <f t="shared" si="7"/>
        <v>8.6200820648958665</v>
      </c>
      <c r="D82" s="249">
        <f t="shared" si="8"/>
        <v>148.51341803439701</v>
      </c>
      <c r="E82" s="248">
        <f t="shared" si="9"/>
        <v>5.7045728034450764</v>
      </c>
      <c r="F82" s="261">
        <f t="shared" si="9"/>
        <v>-85.434475655032429</v>
      </c>
      <c r="G82" s="250">
        <f t="shared" si="10"/>
        <v>14.324654868340943</v>
      </c>
      <c r="H82" s="250">
        <f t="shared" si="10"/>
        <v>63.078942379364577</v>
      </c>
      <c r="I82" s="263" t="str">
        <f t="shared" si="17"/>
        <v>-12199.300611469i</v>
      </c>
      <c r="J82" s="263" t="str">
        <f t="shared" si="18"/>
        <v>-389339.381217097i</v>
      </c>
      <c r="K82" s="263" t="str">
        <f t="shared" si="19"/>
        <v>20513.2622001452-12563.9362008827i</v>
      </c>
      <c r="L82" s="263">
        <f t="shared" si="20"/>
        <v>56874.999999999993</v>
      </c>
      <c r="M82" s="263" t="str">
        <f t="shared" si="21"/>
        <v>-2.30055277010974+1.40903957393077i</v>
      </c>
      <c r="N82" s="263" t="str">
        <f t="shared" si="22"/>
        <v>1+10.4245161814783i</v>
      </c>
      <c r="O82" s="239" t="str">
        <f t="shared" si="23"/>
        <v>1+0.00139352250931645i</v>
      </c>
      <c r="P82" s="239" t="str">
        <f t="shared" si="24"/>
        <v>0.186844033655857-1.91961245856816i</v>
      </c>
      <c r="Q82" s="263" t="str">
        <f t="shared" si="25"/>
        <v>0.999774804519023-0.0173430039793304i</v>
      </c>
      <c r="R82" s="239" t="str">
        <f t="shared" si="14"/>
        <v>0.15351011071611-1.92242060733647i</v>
      </c>
      <c r="S82" s="249">
        <f t="shared" si="15"/>
        <v>5.7045728034450764</v>
      </c>
      <c r="T82" s="249">
        <f t="shared" si="16"/>
        <v>-85.434475655032429</v>
      </c>
    </row>
    <row r="83" spans="1:20" s="239" customFormat="1" x14ac:dyDescent="0.3">
      <c r="A83" s="239">
        <f t="shared" si="6"/>
        <v>13.344919352314331</v>
      </c>
      <c r="B83" s="248">
        <v>9545.4845666183501</v>
      </c>
      <c r="C83" s="249">
        <f t="shared" si="7"/>
        <v>8.4418298872721333</v>
      </c>
      <c r="D83" s="249">
        <f t="shared" si="8"/>
        <v>150.36424807392109</v>
      </c>
      <c r="E83" s="248">
        <f t="shared" si="9"/>
        <v>4.9030894650421972</v>
      </c>
      <c r="F83" s="261">
        <f t="shared" si="9"/>
        <v>-86.007780863815256</v>
      </c>
      <c r="G83" s="250">
        <f t="shared" si="10"/>
        <v>13.344919352314331</v>
      </c>
      <c r="H83" s="250">
        <f t="shared" si="10"/>
        <v>64.356467210105833</v>
      </c>
      <c r="I83" s="263" t="str">
        <f t="shared" si="17"/>
        <v>-11115.5483678275i</v>
      </c>
      <c r="J83" s="263" t="str">
        <f t="shared" si="18"/>
        <v>-354751.543654068i</v>
      </c>
      <c r="K83" s="263" t="str">
        <f t="shared" si="19"/>
        <v>20483.6346630835-11653.236369529i</v>
      </c>
      <c r="L83" s="263">
        <f t="shared" si="20"/>
        <v>56874.999999999993</v>
      </c>
      <c r="M83" s="263" t="str">
        <f t="shared" si="21"/>
        <v>-2.29723005567292+1.30690501340512i</v>
      </c>
      <c r="N83" s="263" t="str">
        <f t="shared" si="22"/>
        <v>1+11.4408936400349i</v>
      </c>
      <c r="O83" s="239" t="str">
        <f t="shared" si="23"/>
        <v>1+0.00152938923366159i</v>
      </c>
      <c r="P83" s="239" t="str">
        <f t="shared" si="24"/>
        <v>0.155816653755401-1.7517913501336i</v>
      </c>
      <c r="Q83" s="263" t="str">
        <f t="shared" si="25"/>
        <v>0.99972875813305-0.0190333432833709i</v>
      </c>
      <c r="R83" s="239" t="str">
        <f t="shared" si="14"/>
        <v>0.122431943627402-1.75428190283748i</v>
      </c>
      <c r="S83" s="249">
        <f t="shared" si="15"/>
        <v>4.9030894650421972</v>
      </c>
      <c r="T83" s="249">
        <f t="shared" si="16"/>
        <v>-86.007780863815256</v>
      </c>
    </row>
    <row r="84" spans="1:20" s="239" customFormat="1" x14ac:dyDescent="0.3">
      <c r="A84" s="239">
        <f t="shared" si="6"/>
        <v>12.387713569553226</v>
      </c>
      <c r="B84" s="248">
        <v>10476.157527896699</v>
      </c>
      <c r="C84" s="249">
        <f t="shared" si="7"/>
        <v>8.2872687168574526</v>
      </c>
      <c r="D84" s="249">
        <f t="shared" si="8"/>
        <v>152.07149569587094</v>
      </c>
      <c r="E84" s="248">
        <f t="shared" si="9"/>
        <v>4.1004448526957731</v>
      </c>
      <c r="F84" s="261">
        <f t="shared" si="9"/>
        <v>-86.547382341156293</v>
      </c>
      <c r="G84" s="250">
        <f t="shared" si="10"/>
        <v>12.387713569553226</v>
      </c>
      <c r="H84" s="250">
        <f t="shared" si="10"/>
        <v>65.524113354714643</v>
      </c>
      <c r="I84" s="263" t="str">
        <f t="shared" si="17"/>
        <v>-10128.0736865647i</v>
      </c>
      <c r="J84" s="263" t="str">
        <f t="shared" si="18"/>
        <v>-323236.394252064i</v>
      </c>
      <c r="K84" s="263" t="str">
        <f t="shared" si="19"/>
        <v>20454.4878122718-10843.125980735i</v>
      </c>
      <c r="L84" s="263">
        <f t="shared" si="20"/>
        <v>56874.999999999993</v>
      </c>
      <c r="M84" s="263" t="str">
        <f t="shared" si="21"/>
        <v>-2.29396124997441+1.21605151185813i</v>
      </c>
      <c r="N84" s="263" t="str">
        <f t="shared" si="22"/>
        <v>1+12.5563666460757i</v>
      </c>
      <c r="O84" s="239" t="str">
        <f t="shared" si="23"/>
        <v>1+0.00167850279590197i</v>
      </c>
      <c r="P84" s="239" t="str">
        <f t="shared" si="24"/>
        <v>0.129983983985606-1.5982243710965i</v>
      </c>
      <c r="Q84" s="263" t="str">
        <f t="shared" si="25"/>
        <v>0.999673298202582-0.0208883011957094i</v>
      </c>
      <c r="R84" s="239" t="str">
        <f t="shared" si="14"/>
        <v>0.0965573259426154-1.6004173729299i</v>
      </c>
      <c r="S84" s="249">
        <f t="shared" si="15"/>
        <v>4.1004448526957731</v>
      </c>
      <c r="T84" s="249">
        <f t="shared" si="16"/>
        <v>-86.547382341156293</v>
      </c>
    </row>
    <row r="85" spans="1:20" s="239" customFormat="1" x14ac:dyDescent="0.3">
      <c r="A85" s="239">
        <f t="shared" si="6"/>
        <v>11.450462759899082</v>
      </c>
      <c r="B85" s="248">
        <v>11497.5699539774</v>
      </c>
      <c r="C85" s="249">
        <f t="shared" si="7"/>
        <v>8.1536391132098771</v>
      </c>
      <c r="D85" s="249">
        <f t="shared" si="8"/>
        <v>153.62805900292088</v>
      </c>
      <c r="E85" s="248">
        <f t="shared" si="9"/>
        <v>3.2968236466892047</v>
      </c>
      <c r="F85" s="261">
        <f t="shared" si="9"/>
        <v>-87.057741055240271</v>
      </c>
      <c r="G85" s="250">
        <f t="shared" si="10"/>
        <v>11.450462759899082</v>
      </c>
      <c r="H85" s="250">
        <f t="shared" si="10"/>
        <v>66.570317947680607</v>
      </c>
      <c r="I85" s="263" t="str">
        <f t="shared" si="17"/>
        <v>-9228.32353439107i</v>
      </c>
      <c r="J85" s="263" t="str">
        <f t="shared" si="18"/>
        <v>-294520.963863544i</v>
      </c>
      <c r="K85" s="263" t="str">
        <f t="shared" si="19"/>
        <v>20424.8217815611-10126.5053437251i</v>
      </c>
      <c r="L85" s="263">
        <f t="shared" si="20"/>
        <v>56874.999999999993</v>
      </c>
      <c r="M85" s="263" t="str">
        <f t="shared" si="21"/>
        <v>-2.29063421849284+1.13568284228693i</v>
      </c>
      <c r="N85" s="263" t="str">
        <f t="shared" si="22"/>
        <v>1+13.7805968931462i</v>
      </c>
      <c r="O85" s="239" t="str">
        <f t="shared" si="23"/>
        <v>1+0.00184215474637906i</v>
      </c>
      <c r="P85" s="239" t="str">
        <f t="shared" si="24"/>
        <v>0.10848660045984-1.45780249763337i</v>
      </c>
      <c r="Q85" s="263" t="str">
        <f t="shared" si="25"/>
        <v>0.999606501023674-0.0229238675226795i</v>
      </c>
      <c r="R85" s="239" t="str">
        <f t="shared" si="14"/>
        <v>0.0750254397636353-1.45971578629979i</v>
      </c>
      <c r="S85" s="249">
        <f t="shared" si="15"/>
        <v>3.2968236466892047</v>
      </c>
      <c r="T85" s="249">
        <f t="shared" si="16"/>
        <v>-87.057741055240271</v>
      </c>
    </row>
    <row r="86" spans="1:20" s="239" customFormat="1" x14ac:dyDescent="0.3">
      <c r="A86" s="239">
        <f t="shared" si="6"/>
        <v>10.53063817181199</v>
      </c>
      <c r="B86" s="248">
        <v>12618.568830660201</v>
      </c>
      <c r="C86" s="249">
        <f t="shared" si="7"/>
        <v>8.0382602958143003</v>
      </c>
      <c r="D86" s="249">
        <f t="shared" si="8"/>
        <v>155.02920249755533</v>
      </c>
      <c r="E86" s="248">
        <f t="shared" si="9"/>
        <v>2.4923778759976907</v>
      </c>
      <c r="F86" s="261">
        <f t="shared" si="9"/>
        <v>-87.543115526509681</v>
      </c>
      <c r="G86" s="250">
        <f t="shared" si="10"/>
        <v>10.53063817181199</v>
      </c>
      <c r="H86" s="250">
        <f t="shared" si="10"/>
        <v>67.486086971045651</v>
      </c>
      <c r="I86" s="263" t="str">
        <f t="shared" si="17"/>
        <v>-8408.50470592118i</v>
      </c>
      <c r="J86" s="263" t="str">
        <f t="shared" si="18"/>
        <v>-268356.533167698i</v>
      </c>
      <c r="K86" s="263" t="str">
        <f t="shared" si="19"/>
        <v>20393.6239561918-9497.05166929512i</v>
      </c>
      <c r="L86" s="263">
        <f t="shared" si="20"/>
        <v>56874.999999999993</v>
      </c>
      <c r="M86" s="263" t="str">
        <f t="shared" si="21"/>
        <v>-2.28713539695609+1.06508990683684i</v>
      </c>
      <c r="N86" s="263" t="str">
        <f t="shared" si="22"/>
        <v>1+15.1241880779854i</v>
      </c>
      <c r="O86" s="239" t="str">
        <f t="shared" si="23"/>
        <v>1+0.00202176255999818i</v>
      </c>
      <c r="P86" s="239" t="str">
        <f t="shared" si="24"/>
        <v>0.0906040722152155-1.32947772100373i</v>
      </c>
      <c r="Q86" s="263" t="str">
        <f t="shared" si="25"/>
        <v>0.99952605011866-0.0251575716559521i</v>
      </c>
      <c r="R86" s="239" t="str">
        <f t="shared" si="14"/>
        <v>0.057114699394797-1.33112699363469i</v>
      </c>
      <c r="S86" s="249">
        <f t="shared" si="15"/>
        <v>2.4923778759976907</v>
      </c>
      <c r="T86" s="249">
        <f t="shared" si="16"/>
        <v>-87.543115526509681</v>
      </c>
    </row>
    <row r="87" spans="1:20" s="239" customFormat="1" x14ac:dyDescent="0.3">
      <c r="A87" s="239">
        <f t="shared" si="6"/>
        <v>9.6258128849550619</v>
      </c>
      <c r="B87" s="248">
        <v>13848.863713938699</v>
      </c>
      <c r="C87" s="249">
        <f t="shared" si="7"/>
        <v>7.9385810742995169</v>
      </c>
      <c r="D87" s="249">
        <f t="shared" si="8"/>
        <v>156.27213463647431</v>
      </c>
      <c r="E87" s="248">
        <f t="shared" si="9"/>
        <v>1.6872318106555451</v>
      </c>
      <c r="F87" s="261">
        <f t="shared" si="9"/>
        <v>-88.007586412410333</v>
      </c>
      <c r="G87" s="250">
        <f t="shared" si="10"/>
        <v>9.6258128849550619</v>
      </c>
      <c r="H87" s="250">
        <f t="shared" si="10"/>
        <v>68.264548224063972</v>
      </c>
      <c r="I87" s="263" t="str">
        <f t="shared" si="17"/>
        <v>-7661.51632265725i</v>
      </c>
      <c r="J87" s="263" t="str">
        <f t="shared" si="18"/>
        <v>-244516.478382678i</v>
      </c>
      <c r="K87" s="263" t="str">
        <f t="shared" si="19"/>
        <v>20359.8361956946-8949.15564438369i</v>
      </c>
      <c r="L87" s="263">
        <f t="shared" si="20"/>
        <v>56874.999999999993</v>
      </c>
      <c r="M87" s="263" t="str">
        <f t="shared" si="21"/>
        <v>-2.283346115405+1.0036436236692i</v>
      </c>
      <c r="N87" s="263" t="str">
        <f t="shared" si="22"/>
        <v>1+16.5987777446737i</v>
      </c>
      <c r="O87" s="239" t="str">
        <f t="shared" si="23"/>
        <v>1+0.00221888191371808i</v>
      </c>
      <c r="P87" s="239" t="str">
        <f t="shared" si="24"/>
        <v>0.0757334780068357-1.21226646935598i</v>
      </c>
      <c r="Q87" s="263" t="str">
        <f t="shared" si="25"/>
        <v>0.999429156196626-0.0276086264422282i</v>
      </c>
      <c r="R87" s="239" t="str">
        <f t="shared" si="14"/>
        <v>0.0422212339193194-1.21366535185737i</v>
      </c>
      <c r="S87" s="249">
        <f t="shared" si="15"/>
        <v>1.6872318106555451</v>
      </c>
      <c r="T87" s="249">
        <f t="shared" si="16"/>
        <v>-88.007586412410333</v>
      </c>
    </row>
    <row r="88" spans="1:20" s="239" customFormat="1" x14ac:dyDescent="0.3">
      <c r="A88" s="239">
        <f t="shared" si="6"/>
        <v>8.7336964130157018</v>
      </c>
      <c r="B88" s="248">
        <v>15199.1108295293</v>
      </c>
      <c r="C88" s="249">
        <f t="shared" si="7"/>
        <v>7.852210404063297</v>
      </c>
      <c r="D88" s="249">
        <f t="shared" si="8"/>
        <v>157.35557073147868</v>
      </c>
      <c r="E88" s="248">
        <f t="shared" si="9"/>
        <v>0.88148600895240503</v>
      </c>
      <c r="F88" s="261">
        <f t="shared" si="9"/>
        <v>-88.455082426420162</v>
      </c>
      <c r="G88" s="250">
        <f t="shared" si="10"/>
        <v>8.7336964130157018</v>
      </c>
      <c r="H88" s="250">
        <f t="shared" si="10"/>
        <v>68.900488305058516</v>
      </c>
      <c r="I88" s="263" t="str">
        <f t="shared" si="17"/>
        <v>-6980.88832857618i</v>
      </c>
      <c r="J88" s="263" t="str">
        <f t="shared" si="18"/>
        <v>-222794.308358814i</v>
      </c>
      <c r="K88" s="263" t="str">
        <f t="shared" si="19"/>
        <v>20322.3215058747-8477.86117298513i</v>
      </c>
      <c r="L88" s="263">
        <f t="shared" si="20"/>
        <v>56874.999999999993</v>
      </c>
      <c r="M88" s="263" t="str">
        <f t="shared" si="21"/>
        <v>-2.27913886047193+0.950788168932913i</v>
      </c>
      <c r="N88" s="263" t="str">
        <f t="shared" si="22"/>
        <v>1+18.217138083473i</v>
      </c>
      <c r="O88" s="239" t="str">
        <f t="shared" si="23"/>
        <v>1+0.00243522016108046i</v>
      </c>
      <c r="P88" s="239" t="str">
        <f t="shared" si="24"/>
        <v>0.0633709283447543-1.10525067930888i</v>
      </c>
      <c r="Q88" s="263" t="str">
        <f t="shared" si="25"/>
        <v>0.999312460873416-0.0302980840765314i</v>
      </c>
      <c r="R88" s="239" t="str">
        <f t="shared" si="14"/>
        <v>0.0298403803446854-1.10641079393717i</v>
      </c>
      <c r="S88" s="249">
        <f t="shared" si="15"/>
        <v>0.88148600895240503</v>
      </c>
      <c r="T88" s="249">
        <f t="shared" si="16"/>
        <v>-88.455082426420162</v>
      </c>
    </row>
    <row r="89" spans="1:20" s="239" customFormat="1" x14ac:dyDescent="0.3">
      <c r="A89" s="239">
        <f t="shared" si="6"/>
        <v>7.8521508806923936</v>
      </c>
      <c r="B89" s="248">
        <v>16681.0053720006</v>
      </c>
      <c r="C89" s="249">
        <f t="shared" si="7"/>
        <v>7.776930256776259</v>
      </c>
      <c r="D89" s="249">
        <f t="shared" si="8"/>
        <v>158.27931363129778</v>
      </c>
      <c r="E89" s="248">
        <f t="shared" si="9"/>
        <v>7.5220623916134766E-2</v>
      </c>
      <c r="F89" s="261">
        <f t="shared" si="9"/>
        <v>-88.889407130850586</v>
      </c>
      <c r="G89" s="250">
        <f t="shared" si="10"/>
        <v>7.8521508806923936</v>
      </c>
      <c r="H89" s="250">
        <f t="shared" si="10"/>
        <v>69.389906500447196</v>
      </c>
      <c r="I89" s="263" t="str">
        <f t="shared" si="17"/>
        <v>-6360.7254495999i</v>
      </c>
      <c r="J89" s="263" t="str">
        <f t="shared" si="18"/>
        <v>-203001.876051061i</v>
      </c>
      <c r="K89" s="263" t="str">
        <f t="shared" si="19"/>
        <v>20279.8294489514-8078.80698530942i</v>
      </c>
      <c r="L89" s="263">
        <f t="shared" si="20"/>
        <v>56874.999999999993</v>
      </c>
      <c r="M89" s="263" t="str">
        <f t="shared" si="21"/>
        <v>-2.27437339614408+0.906034428259001i</v>
      </c>
      <c r="N89" s="263" t="str">
        <f t="shared" si="22"/>
        <v>1+19.9932865574283i</v>
      </c>
      <c r="O89" s="239" t="str">
        <f t="shared" si="23"/>
        <v>1+0.00267265112048962i</v>
      </c>
      <c r="P89" s="239" t="str">
        <f t="shared" si="24"/>
        <v>0.0530957757223453-1.00757718530074i</v>
      </c>
      <c r="Q89" s="263" t="str">
        <f t="shared" si="25"/>
        <v>0.999171920887547-0.0332490045491796i</v>
      </c>
      <c r="R89" s="239" t="str">
        <f t="shared" si="14"/>
        <v>0.0195508698017963-1.00850821336794i</v>
      </c>
      <c r="S89" s="249">
        <f t="shared" si="15"/>
        <v>7.5220623916134766E-2</v>
      </c>
      <c r="T89" s="249">
        <f t="shared" si="16"/>
        <v>-88.889407130850586</v>
      </c>
    </row>
    <row r="90" spans="1:20" s="239" customFormat="1" x14ac:dyDescent="0.3">
      <c r="A90" s="239">
        <f t="shared" si="6"/>
        <v>6.9791921623761306</v>
      </c>
      <c r="B90" s="248">
        <v>18307.3828029537</v>
      </c>
      <c r="C90" s="249">
        <f t="shared" si="7"/>
        <v>7.7106941035895895</v>
      </c>
      <c r="D90" s="249">
        <f t="shared" si="8"/>
        <v>159.04387381983472</v>
      </c>
      <c r="E90" s="248">
        <f t="shared" si="9"/>
        <v>-0.73150194121345913</v>
      </c>
      <c r="F90" s="261">
        <f t="shared" si="9"/>
        <v>-89.314266302387153</v>
      </c>
      <c r="G90" s="250">
        <f t="shared" si="10"/>
        <v>6.9791921623761306</v>
      </c>
      <c r="H90" s="250">
        <f t="shared" si="10"/>
        <v>69.729607517447562</v>
      </c>
      <c r="I90" s="263" t="str">
        <f t="shared" si="17"/>
        <v>-5795.65613155139i</v>
      </c>
      <c r="J90" s="263" t="str">
        <f t="shared" si="18"/>
        <v>-184967.748879299i</v>
      </c>
      <c r="K90" s="263" t="str">
        <f t="shared" si="19"/>
        <v>20230.9597209325-7748.16861490445i</v>
      </c>
      <c r="L90" s="263">
        <f t="shared" si="20"/>
        <v>56874.999999999993</v>
      </c>
      <c r="M90" s="263" t="str">
        <f t="shared" si="21"/>
        <v>-2.26889267898309+0.868953489521995i</v>
      </c>
      <c r="N90" s="263" t="str">
        <f t="shared" si="22"/>
        <v>1+21.9426073149264i</v>
      </c>
      <c r="O90" s="239" t="str">
        <f t="shared" si="23"/>
        <v>1+0.00293323130533099i</v>
      </c>
      <c r="P90" s="239" t="str">
        <f t="shared" si="24"/>
        <v>0.0445571924725761-0.918455937731028i</v>
      </c>
      <c r="Q90" s="263" t="str">
        <f t="shared" si="25"/>
        <v>0.99900266890677-0.0364866370231004i</v>
      </c>
      <c r="R90" s="239" t="str">
        <f t="shared" si="14"/>
        <v>0.0110013857773928-0.919165675175082i</v>
      </c>
      <c r="S90" s="249">
        <f t="shared" si="15"/>
        <v>-0.73150194121345913</v>
      </c>
      <c r="T90" s="249">
        <f t="shared" si="16"/>
        <v>-89.314266302387153</v>
      </c>
    </row>
    <row r="91" spans="1:20" s="239" customFormat="1" x14ac:dyDescent="0.3">
      <c r="A91" s="239">
        <f t="shared" si="6"/>
        <v>6.1129793756736603</v>
      </c>
      <c r="B91" s="248">
        <v>20092.330025650499</v>
      </c>
      <c r="C91" s="249">
        <f t="shared" si="7"/>
        <v>7.6516143293866623</v>
      </c>
      <c r="D91" s="249">
        <f t="shared" si="8"/>
        <v>159.65014133534299</v>
      </c>
      <c r="E91" s="248">
        <f t="shared" si="9"/>
        <v>-1.5386349537130017</v>
      </c>
      <c r="F91" s="261">
        <f t="shared" si="9"/>
        <v>-89.733295691641175</v>
      </c>
      <c r="G91" s="250">
        <f t="shared" si="10"/>
        <v>6.1129793756736603</v>
      </c>
      <c r="H91" s="250">
        <f t="shared" si="10"/>
        <v>69.916845643701819</v>
      </c>
      <c r="I91" s="263" t="str">
        <f t="shared" si="17"/>
        <v>-5280.78601432198i</v>
      </c>
      <c r="J91" s="263" t="str">
        <f t="shared" si="18"/>
        <v>-168535.72386134i</v>
      </c>
      <c r="K91" s="263" t="str">
        <f t="shared" si="19"/>
        <v>20174.1235173358-7482.5989936279i</v>
      </c>
      <c r="L91" s="263">
        <f t="shared" si="20"/>
        <v>56874.999999999993</v>
      </c>
      <c r="M91" s="263" t="str">
        <f t="shared" si="21"/>
        <v>-2.26251852530869+0.839169980593784i</v>
      </c>
      <c r="N91" s="263" t="str">
        <f t="shared" si="22"/>
        <v>1+24.0819844398307i</v>
      </c>
      <c r="O91" s="239" t="str">
        <f t="shared" si="23"/>
        <v>1+0.00321921773650635i</v>
      </c>
      <c r="P91" s="239" t="str">
        <f t="shared" si="24"/>
        <v>0.0374628094620879-0.837157436550801i</v>
      </c>
      <c r="Q91" s="263" t="str">
        <f t="shared" si="25"/>
        <v>0.998798846258936-0.0400386142847439i</v>
      </c>
      <c r="R91" s="239" t="str">
        <f t="shared" si="14"/>
        <v>0.00389918717068926-0.837651840742104i</v>
      </c>
      <c r="S91" s="249">
        <f t="shared" si="15"/>
        <v>-1.5386349537130017</v>
      </c>
      <c r="T91" s="249">
        <f t="shared" si="16"/>
        <v>-89.733295691641175</v>
      </c>
    </row>
    <row r="92" spans="1:20" s="239" customFormat="1" x14ac:dyDescent="0.3">
      <c r="A92" s="239">
        <f t="shared" si="6"/>
        <v>5.2517957655864418</v>
      </c>
      <c r="B92" s="248">
        <v>22051.307399030498</v>
      </c>
      <c r="C92" s="249">
        <f t="shared" si="7"/>
        <v>7.597941553675974</v>
      </c>
      <c r="D92" s="249">
        <f t="shared" si="8"/>
        <v>160.09911497122795</v>
      </c>
      <c r="E92" s="248">
        <f t="shared" si="9"/>
        <v>-2.3461457880895327</v>
      </c>
      <c r="F92" s="261">
        <f t="shared" si="9"/>
        <v>-90.150089090753198</v>
      </c>
      <c r="G92" s="250">
        <f t="shared" si="10"/>
        <v>5.2517957655864418</v>
      </c>
      <c r="H92" s="250">
        <f t="shared" si="10"/>
        <v>69.94902588047475</v>
      </c>
      <c r="I92" s="263" t="str">
        <f t="shared" si="17"/>
        <v>-4811.65553926576i</v>
      </c>
      <c r="J92" s="263" t="str">
        <f t="shared" si="18"/>
        <v>-153563.474657418i</v>
      </c>
      <c r="K92" s="263" t="str">
        <f t="shared" si="19"/>
        <v>20107.502583524-7279.16561774158i</v>
      </c>
      <c r="L92" s="263">
        <f t="shared" si="20"/>
        <v>56874.999999999993</v>
      </c>
      <c r="M92" s="263" t="str">
        <f t="shared" si="21"/>
        <v>-2.25504701871297+0.816355022550458i</v>
      </c>
      <c r="N92" s="263" t="str">
        <f t="shared" si="22"/>
        <v>1+26.4299481933372i</v>
      </c>
      <c r="O92" s="239" t="str">
        <f t="shared" si="23"/>
        <v>1+0.00353308749166907i</v>
      </c>
      <c r="P92" s="239" t="str">
        <f t="shared" si="24"/>
        <v>0.0315691322432824-0.763009669576557i</v>
      </c>
      <c r="Q92" s="263" t="str">
        <f t="shared" si="25"/>
        <v>0.998553402020693-0.0439351600702511i</v>
      </c>
      <c r="R92" s="239" t="str">
        <f t="shared" si="14"/>
        <v>-0.00199948756762464-0.763292896208743i</v>
      </c>
      <c r="S92" s="249">
        <f t="shared" si="15"/>
        <v>-2.3461457880895327</v>
      </c>
      <c r="T92" s="249">
        <f t="shared" si="16"/>
        <v>-90.150089090753198</v>
      </c>
    </row>
    <row r="93" spans="1:20" s="239" customFormat="1" x14ac:dyDescent="0.3">
      <c r="A93" s="239">
        <f t="shared" si="6"/>
        <v>4.3940234872444739</v>
      </c>
      <c r="B93" s="248">
        <v>24201.282647943801</v>
      </c>
      <c r="C93" s="249">
        <f t="shared" si="7"/>
        <v>7.5480383199021617</v>
      </c>
      <c r="D93" s="249">
        <f t="shared" si="8"/>
        <v>160.39168963818801</v>
      </c>
      <c r="E93" s="248">
        <f t="shared" si="9"/>
        <v>-3.1540148326576878</v>
      </c>
      <c r="F93" s="261">
        <f t="shared" si="9"/>
        <v>-90.568226692467192</v>
      </c>
      <c r="G93" s="250">
        <f t="shared" si="10"/>
        <v>4.3940234872444739</v>
      </c>
      <c r="H93" s="250">
        <f t="shared" si="10"/>
        <v>69.82346294572082</v>
      </c>
      <c r="I93" s="263" t="str">
        <f t="shared" si="17"/>
        <v>-4384.20132263575i</v>
      </c>
      <c r="J93" s="263" t="str">
        <f t="shared" si="18"/>
        <v>-139921.318807524i</v>
      </c>
      <c r="K93" s="263" t="str">
        <f t="shared" si="19"/>
        <v>20029.0062438902-7135.28190400999i</v>
      </c>
      <c r="L93" s="263">
        <f t="shared" si="20"/>
        <v>56874.999999999993</v>
      </c>
      <c r="M93" s="263" t="str">
        <f t="shared" si="21"/>
        <v>-2.24624369090358+0.800218531290841i</v>
      </c>
      <c r="N93" s="263" t="str">
        <f t="shared" si="22"/>
        <v>1+29.0068355142329i</v>
      </c>
      <c r="O93" s="239" t="str">
        <f t="shared" si="23"/>
        <v>1+0.00387755916048575i</v>
      </c>
      <c r="P93" s="239" t="str">
        <f t="shared" si="24"/>
        <v>0.0266734792501469-0.695394769312888i</v>
      </c>
      <c r="Q93" s="263" t="str">
        <f t="shared" si="25"/>
        <v>0.99825785183784-0.0482093085816634i</v>
      </c>
      <c r="R93" s="239" t="str">
        <f t="shared" si="14"/>
        <v>-0.00689749092258681-0.695469198585671i</v>
      </c>
      <c r="S93" s="249">
        <f t="shared" si="15"/>
        <v>-3.1540148326576878</v>
      </c>
      <c r="T93" s="249">
        <f t="shared" si="16"/>
        <v>-90.568226692467192</v>
      </c>
    </row>
    <row r="94" spans="1:20" s="239" customFormat="1" x14ac:dyDescent="0.3">
      <c r="A94" s="239">
        <f t="shared" si="6"/>
        <v>3.5381142378446482</v>
      </c>
      <c r="B94" s="248">
        <v>26560.877829466801</v>
      </c>
      <c r="C94" s="249">
        <f t="shared" si="7"/>
        <v>7.500349071286962</v>
      </c>
      <c r="D94" s="249">
        <f t="shared" si="8"/>
        <v>160.52850025545334</v>
      </c>
      <c r="E94" s="248">
        <f t="shared" si="9"/>
        <v>-3.9622348334423139</v>
      </c>
      <c r="F94" s="261">
        <f t="shared" si="9"/>
        <v>-90.991303774841981</v>
      </c>
      <c r="G94" s="250">
        <f t="shared" si="10"/>
        <v>3.5381142378446482</v>
      </c>
      <c r="H94" s="250">
        <f t="shared" si="10"/>
        <v>69.537196480611357</v>
      </c>
      <c r="I94" s="263" t="str">
        <f t="shared" si="17"/>
        <v>-3994.72096049797i</v>
      </c>
      <c r="J94" s="263" t="str">
        <f t="shared" si="18"/>
        <v>-127491.094483978i</v>
      </c>
      <c r="K94" s="263" t="str">
        <f t="shared" si="19"/>
        <v>19936.2272741061-7048.63000535466i</v>
      </c>
      <c r="L94" s="263">
        <f t="shared" si="20"/>
        <v>56874.999999999993</v>
      </c>
      <c r="M94" s="263" t="str">
        <f t="shared" si="21"/>
        <v>-2.23583857279695+0.790500561348187i</v>
      </c>
      <c r="N94" s="263" t="str">
        <f t="shared" si="22"/>
        <v>1+31.8349661677307i</v>
      </c>
      <c r="O94" s="239" t="str">
        <f t="shared" si="23"/>
        <v>1+0.00425561639175939i</v>
      </c>
      <c r="P94" s="239" t="str">
        <f t="shared" si="24"/>
        <v>0.0226072158810155-0.633745544065837i</v>
      </c>
      <c r="Q94" s="263" t="str">
        <f t="shared" si="25"/>
        <v>0.997901988609611-0.0528971348270168i</v>
      </c>
      <c r="R94" s="239" t="str">
        <f t="shared" si="14"/>
        <v>-0.0109635378058796-0.6336117956423i</v>
      </c>
      <c r="S94" s="249">
        <f t="shared" si="15"/>
        <v>-3.9622348334423139</v>
      </c>
      <c r="T94" s="249">
        <f t="shared" si="16"/>
        <v>-90.991303774841981</v>
      </c>
    </row>
    <row r="95" spans="1:20" s="239" customFormat="1" x14ac:dyDescent="0.3">
      <c r="A95" s="239">
        <f t="shared" si="6"/>
        <v>2.6825571932816628</v>
      </c>
      <c r="B95" s="248">
        <v>29150.530628251799</v>
      </c>
      <c r="C95" s="249">
        <f t="shared" si="7"/>
        <v>7.453367849338135</v>
      </c>
      <c r="D95" s="249">
        <f t="shared" si="8"/>
        <v>160.50981964690538</v>
      </c>
      <c r="E95" s="248">
        <f t="shared" si="9"/>
        <v>-4.7708106560564723</v>
      </c>
      <c r="F95" s="261">
        <f t="shared" si="9"/>
        <v>-91.42295978144476</v>
      </c>
      <c r="G95" s="250">
        <f t="shared" si="10"/>
        <v>2.6825571932816628</v>
      </c>
      <c r="H95" s="250">
        <f t="shared" si="10"/>
        <v>69.086859865460625</v>
      </c>
      <c r="I95" s="263" t="str">
        <f t="shared" si="17"/>
        <v>-3639.84096027964i</v>
      </c>
      <c r="J95" s="263" t="str">
        <f t="shared" si="18"/>
        <v>-116165.137030201i</v>
      </c>
      <c r="K95" s="263" t="str">
        <f t="shared" si="19"/>
        <v>19826.3982801719-7017.07203590942i</v>
      </c>
      <c r="L95" s="263">
        <f t="shared" si="20"/>
        <v>56874.999999999993</v>
      </c>
      <c r="M95" s="263" t="str">
        <f t="shared" si="21"/>
        <v>-2.22352130244919+0.786961349821618i</v>
      </c>
      <c r="N95" s="263" t="str">
        <f t="shared" si="22"/>
        <v>1+34.9388360685977i</v>
      </c>
      <c r="O95" s="239" t="str">
        <f t="shared" si="23"/>
        <v>1+0.00467053373636797i</v>
      </c>
      <c r="P95" s="239" t="str">
        <f t="shared" si="24"/>
        <v>0.0192300868577315-0.577541994921962i</v>
      </c>
      <c r="Q95" s="263" t="str">
        <f t="shared" si="25"/>
        <v>0.997473535724515-0.0580379934793655i</v>
      </c>
      <c r="R95" s="239" t="str">
        <f t="shared" si="14"/>
        <v>-0.0143378758050696-0.577198931359856i</v>
      </c>
      <c r="S95" s="249">
        <f t="shared" si="15"/>
        <v>-4.7708106560564723</v>
      </c>
      <c r="T95" s="249">
        <f t="shared" si="16"/>
        <v>-91.42295978144476</v>
      </c>
    </row>
    <row r="96" spans="1:20" s="239" customFormat="1" x14ac:dyDescent="0.3">
      <c r="A96" s="239">
        <f t="shared" si="6"/>
        <v>1.8258453243953303</v>
      </c>
      <c r="B96" s="248">
        <v>31992.671377973798</v>
      </c>
      <c r="C96" s="249">
        <f t="shared" si="7"/>
        <v>7.4056047835825751</v>
      </c>
      <c r="D96" s="249">
        <f t="shared" si="8"/>
        <v>160.335508175005</v>
      </c>
      <c r="E96" s="248">
        <f t="shared" si="9"/>
        <v>-5.5797594591872448</v>
      </c>
      <c r="F96" s="261">
        <f t="shared" si="9"/>
        <v>-91.866907889952927</v>
      </c>
      <c r="G96" s="250">
        <f t="shared" si="10"/>
        <v>1.8258453243953303</v>
      </c>
      <c r="H96" s="250">
        <f t="shared" si="10"/>
        <v>68.468600285052077</v>
      </c>
      <c r="I96" s="263" t="str">
        <f t="shared" si="17"/>
        <v>-3316.48752119045i</v>
      </c>
      <c r="J96" s="263" t="str">
        <f t="shared" si="18"/>
        <v>-105845.346420972i</v>
      </c>
      <c r="K96" s="263" t="str">
        <f t="shared" si="19"/>
        <v>19696.3513387257-7038.54644226728i</v>
      </c>
      <c r="L96" s="263">
        <f t="shared" si="20"/>
        <v>56874.999999999993</v>
      </c>
      <c r="M96" s="263" t="str">
        <f t="shared" si="21"/>
        <v>-2.20893659873559+0.789369694459883i</v>
      </c>
      <c r="N96" s="263" t="str">
        <f t="shared" si="22"/>
        <v>1+38.3453294530502i</v>
      </c>
      <c r="O96" s="239" t="str">
        <f t="shared" si="23"/>
        <v>1+0.0051259050098575i</v>
      </c>
      <c r="P96" s="239" t="str">
        <f t="shared" si="24"/>
        <v>0.0164254759379287-0.526307896739789i</v>
      </c>
      <c r="Q96" s="263" t="str">
        <f t="shared" si="25"/>
        <v>0.996957731868347-0.0636747626700129i</v>
      </c>
      <c r="R96" s="239" t="str">
        <f t="shared" si="14"/>
        <v>-0.0171370251803242-0.52575261528019i</v>
      </c>
      <c r="S96" s="249">
        <f t="shared" si="15"/>
        <v>-5.5797594591872448</v>
      </c>
      <c r="T96" s="249">
        <f t="shared" si="16"/>
        <v>-91.866907889952927</v>
      </c>
    </row>
    <row r="97" spans="1:20" s="239" customFormat="1" x14ac:dyDescent="0.3">
      <c r="A97" s="239">
        <f t="shared" si="6"/>
        <v>0.96644092821981697</v>
      </c>
      <c r="B97" s="248">
        <v>35111.917342151297</v>
      </c>
      <c r="C97" s="249">
        <f t="shared" si="7"/>
        <v>7.3555522145590153</v>
      </c>
      <c r="D97" s="249">
        <f t="shared" si="8"/>
        <v>160.0050138210056</v>
      </c>
      <c r="E97" s="248">
        <f t="shared" si="9"/>
        <v>-6.3891112863391983</v>
      </c>
      <c r="F97" s="261">
        <f t="shared" si="9"/>
        <v>-92.326965174077628</v>
      </c>
      <c r="G97" s="250">
        <f t="shared" si="10"/>
        <v>0.96644092821981697</v>
      </c>
      <c r="H97" s="250">
        <f t="shared" si="10"/>
        <v>67.678048646927977</v>
      </c>
      <c r="I97" s="263" t="str">
        <f t="shared" si="17"/>
        <v>-3021.85991043051i</v>
      </c>
      <c r="J97" s="263" t="str">
        <f t="shared" si="18"/>
        <v>-96442.3375669315i</v>
      </c>
      <c r="K97" s="263" t="str">
        <f t="shared" si="19"/>
        <v>19542.4850902383-7110.94627380268i</v>
      </c>
      <c r="L97" s="263">
        <f t="shared" si="20"/>
        <v>56874.999999999993</v>
      </c>
      <c r="M97" s="263" t="str">
        <f t="shared" si="21"/>
        <v>-2.19168057086785+0.797489301734881i</v>
      </c>
      <c r="N97" s="263" t="str">
        <f t="shared" si="22"/>
        <v>1+42.0839517371471i</v>
      </c>
      <c r="O97" s="239" t="str">
        <f t="shared" si="23"/>
        <v>1+0.00562567442035328i</v>
      </c>
      <c r="P97" s="239" t="str">
        <f t="shared" si="24"/>
        <v>0.0140964463037966-0.479607496223962i</v>
      </c>
      <c r="Q97" s="263" t="str">
        <f t="shared" si="25"/>
        <v>0.996336834522293-0.0698540874027522i</v>
      </c>
      <c r="R97" s="239" t="str">
        <f t="shared" si="14"/>
        <v>-0.0194577352719056-0.478835308993119i</v>
      </c>
      <c r="S97" s="249">
        <f t="shared" si="15"/>
        <v>-6.3891112863391983</v>
      </c>
      <c r="T97" s="249">
        <f t="shared" si="16"/>
        <v>-92.326965174077628</v>
      </c>
    </row>
    <row r="98" spans="1:20" s="239" customFormat="1" x14ac:dyDescent="0.3">
      <c r="A98" s="239">
        <f t="shared" si="6"/>
        <v>0.10274112223116028</v>
      </c>
      <c r="B98" s="248">
        <v>38535.2859371054</v>
      </c>
      <c r="C98" s="249">
        <f t="shared" si="7"/>
        <v>7.3016512180497948</v>
      </c>
      <c r="D98" s="249">
        <f t="shared" si="8"/>
        <v>159.51742273449676</v>
      </c>
      <c r="E98" s="248">
        <f t="shared" si="9"/>
        <v>-7.1989100958186345</v>
      </c>
      <c r="F98" s="261">
        <f t="shared" si="9"/>
        <v>-92.807083465210169</v>
      </c>
      <c r="G98" s="250">
        <f t="shared" si="10"/>
        <v>0.10274112223116028</v>
      </c>
      <c r="H98" s="250">
        <f t="shared" si="10"/>
        <v>66.710339269286592</v>
      </c>
      <c r="I98" s="263" t="str">
        <f t="shared" ref="I98:I135" si="26">IMDIV(1,COMPLEX(0,2*PI()*$B98*Cz*10^-9))</f>
        <v>-2753.40620458276i</v>
      </c>
      <c r="J98" s="263" t="str">
        <f t="shared" ref="J98:J135" si="27">IMDIV(1,COMPLEX(0,2*PI()*$B98*Cp_Cstray*10^-12))</f>
        <v>-87874.6661037051i</v>
      </c>
      <c r="K98" s="263" t="str">
        <f t="shared" ref="K98:K129" si="28">IMDIV(IMPRODUCT(IMDIV(IMPRODUCT(J98,IMSUM(Rz*10^3,I98)),IMSUM(J98,IMSUM(Rz*10^3,I98))),Ro_EA*10^3),IMSUM(IMDIV(IMPRODUCT(J98,IMSUM(Rz*10^3,I98)),IMSUM(J98,IMSUM(Rz*10^3,I98))),Ro_EA*10^3))</f>
        <v>19360.7452894204-7231.97653184356i</v>
      </c>
      <c r="L98" s="263">
        <f t="shared" ref="L98:L133" si="29">IF($E$1="Feedforward RC",IMDIV(IMPRODUCT(IMSUM(Rz_2*10^3,IMDIV(1,COMPLEX(0,2*PI()*$B98*Cz_2*10^-12))),RFB_1*10^3),IMSUM(IMSUM(Rz_2*10^3,IMDIV(1,COMPLEX(0,2*PI()*$B98*Cz_2*10^-12))),RFB_1*10^3)),RFB_1*10^3)</f>
        <v>56874.999999999993</v>
      </c>
      <c r="M98" s="263" t="str">
        <f t="shared" ref="M98:M129" si="30">IMPRODUCT(-gm_EA1*10^-6,K98,IMDIV(RFB_2*10^3,IMSUM(L98,RFB_2*10^3)))</f>
        <v>-2.17129853713126+0.81106278861797i</v>
      </c>
      <c r="N98" s="263" t="str">
        <f t="shared" ref="N98:N133" si="31">COMPLEX(1,2*PI()*B98*1/(1/(Vreg/Iout_PreReg*Number_Cout*Co*10^-6)+(m_c*(1-Vreg/Vin_nom)-0.5)/(fsw*10^3*L_buck*10^-6*Number_Cout*Co*10^-6)))</f>
        <v>1+46.1870850785885i</v>
      </c>
      <c r="O98" s="239" t="str">
        <f t="shared" ref="O98:O133" si="32">COMPLEX(1,2*PI()*B98*(ESR*10^-3*Co*10^-6))</f>
        <v>1+0.00617417073140361i</v>
      </c>
      <c r="P98" s="239" t="str">
        <f t="shared" ref="P98:P129" si="33">IMPRODUCT(K,IMDIV(O98,N98))</f>
        <v>0.0121624365395237-0.437042361501726i</v>
      </c>
      <c r="Q98" s="263" t="str">
        <f t="shared" ref="Q98:Q133" si="34">IMDIV(1,IMSUM(COMPLEX(1,2*PI()*B98/(wn*Qp)),IMPRODUCT(COMPLEX(0,2*PI()*B98/wn),COMPLEX(0,2*PI()*B98/wn))))</f>
        <v>0.995589527128891-0.0766266149598593i</v>
      </c>
      <c r="R98" s="239" t="str">
        <f t="shared" si="14"/>
        <v>-0.0213802823128208-0.436046764364485i</v>
      </c>
      <c r="S98" s="249">
        <f t="shared" si="15"/>
        <v>-7.1989100958186345</v>
      </c>
      <c r="T98" s="249">
        <f t="shared" si="16"/>
        <v>-92.807083465210169</v>
      </c>
    </row>
    <row r="99" spans="1:20" s="239" customFormat="1" x14ac:dyDescent="0.3">
      <c r="A99" s="239">
        <f t="shared" ref="A99:A133" si="35">ABS(G99)</f>
        <v>0.76695588298778805</v>
      </c>
      <c r="B99" s="248">
        <v>42292.428743894998</v>
      </c>
      <c r="C99" s="249">
        <f t="shared" ref="C99:C133" si="36">20*LOG(IMABS(M99))</f>
        <v>7.2422593799039801</v>
      </c>
      <c r="D99" s="249">
        <f t="shared" ref="D99:D133" si="37">IF(180/PI()*IMARGUMENT(M99)&gt;0,180/PI()*IMARGUMENT(M99),360+180/PI()*IMARGUMENT(M99))</f>
        <v>158.8715615816586</v>
      </c>
      <c r="E99" s="248">
        <f t="shared" ref="E99:F133" si="38">S99</f>
        <v>-8.0092152628917681</v>
      </c>
      <c r="F99" s="261">
        <f t="shared" si="38"/>
        <v>-93.311381010888837</v>
      </c>
      <c r="G99" s="250">
        <f t="shared" ref="G99:H133" si="39">C99+E99</f>
        <v>-0.76695588298778805</v>
      </c>
      <c r="H99" s="250">
        <f t="shared" si="39"/>
        <v>65.560180570769759</v>
      </c>
      <c r="I99" s="263" t="str">
        <f t="shared" si="26"/>
        <v>-2508.80118607312i</v>
      </c>
      <c r="J99" s="263" t="str">
        <f t="shared" si="27"/>
        <v>-80068.1229597805i</v>
      </c>
      <c r="K99" s="263" t="str">
        <f t="shared" si="28"/>
        <v>19146.6269747649-7398.98886591008i</v>
      </c>
      <c r="L99" s="263">
        <f t="shared" si="29"/>
        <v>56874.999999999993</v>
      </c>
      <c r="M99" s="263" t="str">
        <f t="shared" si="30"/>
        <v>-2.14728526819794+0.829793143840384i</v>
      </c>
      <c r="N99" s="263" t="str">
        <f t="shared" si="31"/>
        <v>1+50.6902688554735i</v>
      </c>
      <c r="O99" s="239" t="str">
        <f t="shared" si="32"/>
        <v>1+0.00677614475565881i</v>
      </c>
      <c r="P99" s="239" t="str">
        <f t="shared" si="33"/>
        <v>0.0105565060489022-0.398248403883506i</v>
      </c>
      <c r="Q99" s="263" t="str">
        <f t="shared" si="34"/>
        <v>0.994690212543339-0.0840472115893275i</v>
      </c>
      <c r="R99" s="239" t="str">
        <f t="shared" ref="R99:R133" si="40">IMPRODUCT(P99,Q99)</f>
        <v>-0.0229712146208114-0.397021034401466i</v>
      </c>
      <c r="S99" s="249">
        <f t="shared" ref="S99:S133" si="41">20*LOG(IMABS(R99))</f>
        <v>-8.0092152628917681</v>
      </c>
      <c r="T99" s="249">
        <f t="shared" ref="T99:T133" si="42">180/PI()*IMARGUMENT(R99)</f>
        <v>-93.311381010888837</v>
      </c>
    </row>
    <row r="100" spans="1:20" s="239" customFormat="1" x14ac:dyDescent="0.3">
      <c r="A100" s="239">
        <f t="shared" si="35"/>
        <v>1.6444826986095897</v>
      </c>
      <c r="B100" s="248">
        <v>46415.888336127799</v>
      </c>
      <c r="C100" s="249">
        <f t="shared" si="36"/>
        <v>7.1756209043152452</v>
      </c>
      <c r="D100" s="249">
        <f t="shared" si="37"/>
        <v>158.06615397152089</v>
      </c>
      <c r="E100" s="248">
        <f t="shared" si="38"/>
        <v>-8.820103602924835</v>
      </c>
      <c r="F100" s="261">
        <f t="shared" si="38"/>
        <v>-93.844175005871847</v>
      </c>
      <c r="G100" s="250">
        <f t="shared" si="39"/>
        <v>-1.6444826986095897</v>
      </c>
      <c r="H100" s="250">
        <f t="shared" si="39"/>
        <v>64.221978965649043</v>
      </c>
      <c r="I100" s="263" t="str">
        <f t="shared" si="26"/>
        <v>-2285.9262032482i</v>
      </c>
      <c r="J100" s="263" t="str">
        <f t="shared" si="27"/>
        <v>-72955.0915930275i</v>
      </c>
      <c r="K100" s="263" t="str">
        <f t="shared" si="28"/>
        <v>18895.208780382-7608.79395290782i</v>
      </c>
      <c r="L100" s="263">
        <f t="shared" si="29"/>
        <v>56874.999999999993</v>
      </c>
      <c r="M100" s="263" t="str">
        <f t="shared" si="30"/>
        <v>-2.11908883518303+0.85332268630742i</v>
      </c>
      <c r="N100" s="263" t="str">
        <f t="shared" si="31"/>
        <v>1+55.6325074913933i</v>
      </c>
      <c r="O100" s="239" t="str">
        <f t="shared" si="32"/>
        <v>1+0.00743681050413779i</v>
      </c>
      <c r="P100" s="239" t="str">
        <f t="shared" si="33"/>
        <v>0.00922304019447726-0.362893082485917i</v>
      </c>
      <c r="Q100" s="263" t="str">
        <f t="shared" si="34"/>
        <v>0.993608172856653-0.0921751456909795i</v>
      </c>
      <c r="R100" s="239" t="str">
        <f t="shared" si="40"/>
        <v>-0.02428563463257-0.36142366770479i</v>
      </c>
      <c r="S100" s="249">
        <f t="shared" si="41"/>
        <v>-8.820103602924835</v>
      </c>
      <c r="T100" s="249">
        <f t="shared" si="42"/>
        <v>-93.844175005871847</v>
      </c>
    </row>
    <row r="101" spans="1:20" s="239" customFormat="1" x14ac:dyDescent="0.3">
      <c r="A101" s="239">
        <f t="shared" si="35"/>
        <v>2.5318314682862555</v>
      </c>
      <c r="B101" s="248">
        <v>50941.380148163902</v>
      </c>
      <c r="C101" s="249">
        <f t="shared" si="36"/>
        <v>7.0998405121374821</v>
      </c>
      <c r="D101" s="249">
        <f t="shared" si="37"/>
        <v>157.10003345152577</v>
      </c>
      <c r="E101" s="248">
        <f t="shared" si="38"/>
        <v>-9.6316719804237376</v>
      </c>
      <c r="F101" s="261">
        <f t="shared" si="38"/>
        <v>-94.41001503606779</v>
      </c>
      <c r="G101" s="250">
        <f t="shared" si="39"/>
        <v>-2.5318314682862555</v>
      </c>
      <c r="H101" s="250">
        <f t="shared" si="39"/>
        <v>62.690018415457985</v>
      </c>
      <c r="I101" s="263" t="str">
        <f t="shared" si="26"/>
        <v>-2082.85081962824i</v>
      </c>
      <c r="J101" s="263" t="str">
        <f t="shared" si="27"/>
        <v>-66473.9623285608i</v>
      </c>
      <c r="K101" s="263" t="str">
        <f t="shared" si="28"/>
        <v>18601.2321580068-7857.45529810898i</v>
      </c>
      <c r="L101" s="263">
        <f t="shared" si="29"/>
        <v>56874.999999999993</v>
      </c>
      <c r="M101" s="263" t="str">
        <f t="shared" si="30"/>
        <v>-2.0861194943559+0.88120993997484i</v>
      </c>
      <c r="N101" s="263" t="str">
        <f t="shared" si="31"/>
        <v>1+61.0566082930874i</v>
      </c>
      <c r="O101" s="239" t="str">
        <f t="shared" si="32"/>
        <v>1+0.00816189034749703i</v>
      </c>
      <c r="P101" s="239" t="str">
        <f t="shared" si="33"/>
        <v>0.00811583957017829-0.330672795214578i</v>
      </c>
      <c r="Q101" s="263" t="str">
        <f t="shared" si="34"/>
        <v>0.99230657307456-0.101074217373973i</v>
      </c>
      <c r="R101" s="239" t="str">
        <f t="shared" si="40"/>
        <v>-0.025369093031671-0.328949090361252i</v>
      </c>
      <c r="S101" s="249">
        <f t="shared" si="41"/>
        <v>-9.6316719804237376</v>
      </c>
      <c r="T101" s="249">
        <f t="shared" si="42"/>
        <v>-94.41001503606779</v>
      </c>
    </row>
    <row r="102" spans="1:20" s="239" customFormat="1" x14ac:dyDescent="0.3">
      <c r="A102" s="239">
        <f t="shared" si="35"/>
        <v>3.4311775144503223</v>
      </c>
      <c r="B102" s="248">
        <v>55908.101825122198</v>
      </c>
      <c r="C102" s="249">
        <f t="shared" si="36"/>
        <v>7.0128630720789129</v>
      </c>
      <c r="D102" s="249">
        <f t="shared" si="37"/>
        <v>155.97241460451517</v>
      </c>
      <c r="E102" s="248">
        <f t="shared" si="38"/>
        <v>-10.444040586529235</v>
      </c>
      <c r="F102" s="261">
        <f t="shared" si="38"/>
        <v>-95.013717422455869</v>
      </c>
      <c r="G102" s="250">
        <f t="shared" si="39"/>
        <v>-3.4311775144503223</v>
      </c>
      <c r="H102" s="250">
        <f t="shared" si="39"/>
        <v>60.958697182059296</v>
      </c>
      <c r="I102" s="263" t="str">
        <f t="shared" si="26"/>
        <v>-1897.81609338988i</v>
      </c>
      <c r="J102" s="263" t="str">
        <f t="shared" si="27"/>
        <v>-60568.5987252088i</v>
      </c>
      <c r="K102" s="263" t="str">
        <f t="shared" si="28"/>
        <v>18259.2398284437-8140.07325442678i</v>
      </c>
      <c r="L102" s="263">
        <f t="shared" si="29"/>
        <v>56874.999999999993</v>
      </c>
      <c r="M102" s="263" t="str">
        <f t="shared" si="30"/>
        <v>-2.0477652144049+0.912905411711415i</v>
      </c>
      <c r="N102" s="263" t="str">
        <f t="shared" si="31"/>
        <v>1+67.0095522268564i</v>
      </c>
      <c r="O102" s="239" t="str">
        <f t="shared" si="32"/>
        <v>1+0.00895766458046765i</v>
      </c>
      <c r="P102" s="239" t="str">
        <f t="shared" si="33"/>
        <v>0.00719652989060601-0.301310454544185i</v>
      </c>
      <c r="Q102" s="263" t="str">
        <f t="shared" si="34"/>
        <v>0.990741283636613-0.11081280729031i</v>
      </c>
      <c r="R102" s="239" t="str">
        <f t="shared" si="40"/>
        <v>-0.0262591580724122-0.299318174188164i</v>
      </c>
      <c r="S102" s="249">
        <f t="shared" si="41"/>
        <v>-10.444040586529235</v>
      </c>
      <c r="T102" s="249">
        <f t="shared" si="42"/>
        <v>-95.013717422455869</v>
      </c>
    </row>
    <row r="103" spans="1:20" s="239" customFormat="1" x14ac:dyDescent="0.3">
      <c r="A103" s="239">
        <f t="shared" si="35"/>
        <v>4.3448955347658771</v>
      </c>
      <c r="B103" s="248">
        <v>61359.072734131798</v>
      </c>
      <c r="C103" s="249">
        <f t="shared" si="36"/>
        <v>6.9124614521669248</v>
      </c>
      <c r="D103" s="249">
        <f t="shared" si="37"/>
        <v>154.68322117719532</v>
      </c>
      <c r="E103" s="248">
        <f t="shared" si="38"/>
        <v>-11.257356986932802</v>
      </c>
      <c r="F103" s="261">
        <f t="shared" si="38"/>
        <v>-95.660400376722194</v>
      </c>
      <c r="G103" s="250">
        <f t="shared" si="39"/>
        <v>-4.3448955347658771</v>
      </c>
      <c r="H103" s="250">
        <f t="shared" si="39"/>
        <v>59.022820800473127</v>
      </c>
      <c r="I103" s="263" t="str">
        <f t="shared" si="26"/>
        <v>-1729.21934225345i</v>
      </c>
      <c r="J103" s="263" t="str">
        <f t="shared" si="27"/>
        <v>-55187.8513485145i</v>
      </c>
      <c r="K103" s="263" t="str">
        <f t="shared" si="28"/>
        <v>17863.7877440996-8450.57490754263i</v>
      </c>
      <c r="L103" s="263">
        <f t="shared" si="29"/>
        <v>56874.999999999993</v>
      </c>
      <c r="M103" s="263" t="str">
        <f t="shared" si="30"/>
        <v>-2.00341544793641+0.947728027014128i</v>
      </c>
      <c r="N103" s="263" t="str">
        <f t="shared" si="31"/>
        <v>1+73.5429008452175i</v>
      </c>
      <c r="O103" s="239" t="str">
        <f t="shared" si="32"/>
        <v>1+0.00983102581876414i</v>
      </c>
      <c r="P103" s="239" t="str">
        <f t="shared" si="33"/>
        <v>0.00643323923726642-0.27455324305776i</v>
      </c>
      <c r="Q103" s="263" t="str">
        <f t="shared" si="34"/>
        <v>0.988859494651702-0.12146380863418i</v>
      </c>
      <c r="R103" s="239" t="str">
        <f t="shared" si="40"/>
        <v>-0.0269867128735245-0.272275986924696i</v>
      </c>
      <c r="S103" s="249">
        <f t="shared" si="41"/>
        <v>-11.257356986932802</v>
      </c>
      <c r="T103" s="249">
        <f t="shared" si="42"/>
        <v>-95.660400376722194</v>
      </c>
    </row>
    <row r="104" spans="1:20" s="239" customFormat="1" x14ac:dyDescent="0.3">
      <c r="A104" s="239">
        <f t="shared" si="35"/>
        <v>5.275565475535462</v>
      </c>
      <c r="B104" s="248">
        <v>67341.506577508306</v>
      </c>
      <c r="C104" s="249">
        <f t="shared" si="36"/>
        <v>6.7962355879903456</v>
      </c>
      <c r="D104" s="249">
        <f t="shared" si="37"/>
        <v>153.23346547990107</v>
      </c>
      <c r="E104" s="248">
        <f t="shared" si="38"/>
        <v>-12.071801063525808</v>
      </c>
      <c r="F104" s="261">
        <f t="shared" si="38"/>
        <v>-96.355519776336138</v>
      </c>
      <c r="G104" s="250">
        <f t="shared" si="39"/>
        <v>-5.275565475535462</v>
      </c>
      <c r="H104" s="250">
        <f t="shared" si="39"/>
        <v>56.877945703564933</v>
      </c>
      <c r="I104" s="263" t="str">
        <f t="shared" si="26"/>
        <v>-1575.60026181586i</v>
      </c>
      <c r="J104" s="263" t="str">
        <f t="shared" si="27"/>
        <v>-50285.1147388041i</v>
      </c>
      <c r="K104" s="263" t="str">
        <f t="shared" si="28"/>
        <v>17409.7420055422-8781.53384883022i</v>
      </c>
      <c r="L104" s="263">
        <f t="shared" si="29"/>
        <v>56874.999999999993</v>
      </c>
      <c r="M104" s="263" t="str">
        <f t="shared" si="30"/>
        <v>-1.9524944305281+0.98484491762582i</v>
      </c>
      <c r="N104" s="263" t="str">
        <f t="shared" si="31"/>
        <v>1+80.7132428884044i</v>
      </c>
      <c r="O104" s="239" t="str">
        <f t="shared" si="32"/>
        <v>1+0.010789538699624i</v>
      </c>
      <c r="P104" s="239" t="str">
        <f t="shared" si="33"/>
        <v>0.00579949808053975-0.250170541406748i</v>
      </c>
      <c r="Q104" s="263" t="str">
        <f t="shared" si="34"/>
        <v>0.986598093461251-0.133104394634156i</v>
      </c>
      <c r="R104" s="239" t="str">
        <f t="shared" si="40"/>
        <v>-0.0275770247199515-0.247589717873259i</v>
      </c>
      <c r="S104" s="249">
        <f t="shared" si="41"/>
        <v>-12.071801063525808</v>
      </c>
      <c r="T104" s="249">
        <f t="shared" si="42"/>
        <v>-96.355519776336138</v>
      </c>
    </row>
    <row r="105" spans="1:20" s="239" customFormat="1" x14ac:dyDescent="0.3">
      <c r="A105" s="239">
        <f t="shared" si="35"/>
        <v>6.2259649022534775</v>
      </c>
      <c r="B105" s="248">
        <v>73907.220335257705</v>
      </c>
      <c r="C105" s="249">
        <f t="shared" si="36"/>
        <v>6.661626094158378</v>
      </c>
      <c r="D105" s="249">
        <f t="shared" si="37"/>
        <v>151.62566623740454</v>
      </c>
      <c r="E105" s="248">
        <f t="shared" si="38"/>
        <v>-12.887590996411856</v>
      </c>
      <c r="F105" s="261">
        <f t="shared" si="38"/>
        <v>-97.104905225976808</v>
      </c>
      <c r="G105" s="250">
        <f t="shared" si="39"/>
        <v>-6.2259649022534775</v>
      </c>
      <c r="H105" s="250">
        <f t="shared" si="39"/>
        <v>54.520761011427737</v>
      </c>
      <c r="I105" s="263" t="str">
        <f t="shared" si="26"/>
        <v>-1435.62827709243i</v>
      </c>
      <c r="J105" s="263" t="str">
        <f t="shared" si="27"/>
        <v>-45817.9237369925i</v>
      </c>
      <c r="K105" s="263" t="str">
        <f t="shared" si="28"/>
        <v>16892.6651508385-9124.05278089239i</v>
      </c>
      <c r="L105" s="263">
        <f t="shared" si="29"/>
        <v>56874.999999999993</v>
      </c>
      <c r="M105" s="263" t="str">
        <f t="shared" si="30"/>
        <v>-1.89450450289778+1.02325825580102i</v>
      </c>
      <c r="N105" s="263" t="str">
        <f t="shared" si="31"/>
        <v>1+88.5826844289648i</v>
      </c>
      <c r="O105" s="239" t="str">
        <f t="shared" si="32"/>
        <v>1+0.0118415054030769i</v>
      </c>
      <c r="P105" s="239" t="str">
        <f t="shared" si="33"/>
        <v>0.00527332481384589-0.227952019918134i</v>
      </c>
      <c r="Q105" s="263" t="str">
        <f t="shared" si="34"/>
        <v>0.98388177740824-0.145815559184421i</v>
      </c>
      <c r="R105" s="239" t="str">
        <f t="shared" si="40"/>
        <v>-0.0280506230608833-0.225046771327344i</v>
      </c>
      <c r="S105" s="249">
        <f t="shared" si="41"/>
        <v>-12.887590996411856</v>
      </c>
      <c r="T105" s="249">
        <f t="shared" si="42"/>
        <v>-97.104905225976808</v>
      </c>
    </row>
    <row r="106" spans="1:20" s="239" customFormat="1" x14ac:dyDescent="0.3">
      <c r="A106" s="239">
        <f t="shared" si="35"/>
        <v>7.1990447562131648</v>
      </c>
      <c r="B106" s="248">
        <v>81113.083078968702</v>
      </c>
      <c r="C106" s="249">
        <f t="shared" si="36"/>
        <v>6.5059457017781961</v>
      </c>
      <c r="D106" s="249">
        <f t="shared" si="37"/>
        <v>149.86428274060353</v>
      </c>
      <c r="E106" s="248">
        <f t="shared" si="38"/>
        <v>-13.704990457991361</v>
      </c>
      <c r="F106" s="261">
        <f t="shared" si="38"/>
        <v>-97.91479588408329</v>
      </c>
      <c r="G106" s="250">
        <f t="shared" si="39"/>
        <v>-7.1990447562131648</v>
      </c>
      <c r="H106" s="250">
        <f t="shared" si="39"/>
        <v>51.949486856520238</v>
      </c>
      <c r="I106" s="263" t="str">
        <f t="shared" si="26"/>
        <v>-1308.09101771287i</v>
      </c>
      <c r="J106" s="263" t="str">
        <f t="shared" si="27"/>
        <v>-41747.5856716874i</v>
      </c>
      <c r="K106" s="263" t="str">
        <f t="shared" si="28"/>
        <v>16309.2838468226-9467.74940616981i</v>
      </c>
      <c r="L106" s="263">
        <f t="shared" si="29"/>
        <v>56874.999999999993</v>
      </c>
      <c r="M106" s="263" t="str">
        <f t="shared" si="30"/>
        <v>-1.82907856226048+1.06180367171998i</v>
      </c>
      <c r="N106" s="263" t="str">
        <f t="shared" si="31"/>
        <v>1+97.2193868048499i</v>
      </c>
      <c r="O106" s="239" t="str">
        <f t="shared" si="32"/>
        <v>1+0.0129960375614562i</v>
      </c>
      <c r="P106" s="239" t="str">
        <f t="shared" si="33"/>
        <v>0.00483646568957297-0.207705884269886i</v>
      </c>
      <c r="Q106" s="263" t="str">
        <f t="shared" si="34"/>
        <v>0.980620876507823-0.159681349850753i</v>
      </c>
      <c r="R106" s="239" t="str">
        <f t="shared" si="40"/>
        <v>-0.0284240167484506-0.204453019658386i</v>
      </c>
      <c r="S106" s="249">
        <f t="shared" si="41"/>
        <v>-13.704990457991361</v>
      </c>
      <c r="T106" s="249">
        <f t="shared" si="42"/>
        <v>-97.91479588408329</v>
      </c>
    </row>
    <row r="107" spans="1:20" s="239" customFormat="1" x14ac:dyDescent="0.3">
      <c r="A107" s="239">
        <f t="shared" si="35"/>
        <v>8.1978860547340844</v>
      </c>
      <c r="B107" s="248">
        <v>89021.5085445039</v>
      </c>
      <c r="C107" s="249">
        <f t="shared" si="36"/>
        <v>6.3264311623921996</v>
      </c>
      <c r="D107" s="249">
        <f t="shared" si="37"/>
        <v>147.95613230612116</v>
      </c>
      <c r="E107" s="248">
        <f t="shared" si="38"/>
        <v>-14.524317217126283</v>
      </c>
      <c r="F107" s="261">
        <f t="shared" si="38"/>
        <v>-98.791875284711253</v>
      </c>
      <c r="G107" s="250">
        <f t="shared" si="39"/>
        <v>-8.1978860547340844</v>
      </c>
      <c r="H107" s="250">
        <f t="shared" si="39"/>
        <v>49.164257021409909</v>
      </c>
      <c r="I107" s="263" t="str">
        <f t="shared" si="26"/>
        <v>-1191.88381694917i</v>
      </c>
      <c r="J107" s="263" t="str">
        <f t="shared" si="27"/>
        <v>-38038.8452217821i</v>
      </c>
      <c r="K107" s="263" t="str">
        <f t="shared" si="28"/>
        <v>15658.011945829-9800.88907656523i</v>
      </c>
      <c r="L107" s="263">
        <f t="shared" si="29"/>
        <v>56874.999999999993</v>
      </c>
      <c r="M107" s="263" t="str">
        <f t="shared" si="30"/>
        <v>-1.75603872289671+1.09916513008208i</v>
      </c>
      <c r="N107" s="263" t="str">
        <f t="shared" si="31"/>
        <v>1+106.698157000315i</v>
      </c>
      <c r="O107" s="239" t="str">
        <f t="shared" si="32"/>
        <v>1+0.0142631351799996i</v>
      </c>
      <c r="P107" s="239" t="str">
        <f t="shared" si="33"/>
        <v>0.00447376320852849-0.189257265304956i</v>
      </c>
      <c r="Q107" s="263" t="str">
        <f t="shared" si="34"/>
        <v>0.976708867558174-0.17478768975631i</v>
      </c>
      <c r="R107" s="239" t="str">
        <f t="shared" si="40"/>
        <v>-0.028710275975125-0.185631208008896i</v>
      </c>
      <c r="S107" s="249">
        <f t="shared" si="41"/>
        <v>-14.524317217126283</v>
      </c>
      <c r="T107" s="249">
        <f t="shared" si="42"/>
        <v>-98.791875284711253</v>
      </c>
    </row>
    <row r="108" spans="1:20" s="239" customFormat="1" x14ac:dyDescent="0.3">
      <c r="A108" s="239">
        <f t="shared" si="35"/>
        <v>9.2256365649498449</v>
      </c>
      <c r="B108" s="248">
        <v>97700.995729922506</v>
      </c>
      <c r="C108" s="249">
        <f t="shared" si="36"/>
        <v>6.1203168128740906</v>
      </c>
      <c r="D108" s="249">
        <f t="shared" si="37"/>
        <v>145.91074736157225</v>
      </c>
      <c r="E108" s="248">
        <f t="shared" si="38"/>
        <v>-15.345953377823935</v>
      </c>
      <c r="F108" s="261">
        <f t="shared" si="38"/>
        <v>-99.743304059696456</v>
      </c>
      <c r="G108" s="250">
        <f t="shared" si="39"/>
        <v>-9.2256365649498449</v>
      </c>
      <c r="H108" s="250">
        <f t="shared" si="39"/>
        <v>46.167443301875792</v>
      </c>
      <c r="I108" s="263" t="str">
        <f t="shared" si="26"/>
        <v>-1086.00014362086i</v>
      </c>
      <c r="J108" s="263" t="str">
        <f t="shared" si="27"/>
        <v>-34659.5790517296i</v>
      </c>
      <c r="K108" s="263" t="str">
        <f t="shared" si="28"/>
        <v>14939.480573953-10110.7024131595i</v>
      </c>
      <c r="L108" s="263">
        <f t="shared" si="29"/>
        <v>56874.999999999993</v>
      </c>
      <c r="M108" s="263" t="str">
        <f t="shared" si="30"/>
        <v>-1.67545576530314+1.13391055100854i</v>
      </c>
      <c r="N108" s="263" t="str">
        <f t="shared" si="31"/>
        <v>1+117.10109558823i</v>
      </c>
      <c r="O108" s="239" t="str">
        <f t="shared" si="32"/>
        <v>1+0.0156537732521101i</v>
      </c>
      <c r="P108" s="239" t="str">
        <f t="shared" si="33"/>
        <v>0.00417263133755138-0.172446743024829i</v>
      </c>
      <c r="Q108" s="263" t="str">
        <f t="shared" si="34"/>
        <v>0.972019574182146-0.191220657348619i</v>
      </c>
      <c r="R108" s="239" t="str">
        <f t="shared" si="40"/>
        <v>-0.0289195002228904-0.168419503031332i</v>
      </c>
      <c r="S108" s="249">
        <f t="shared" si="41"/>
        <v>-15.345953377823935</v>
      </c>
      <c r="T108" s="249">
        <f t="shared" si="42"/>
        <v>-99.743304059696456</v>
      </c>
    </row>
    <row r="109" spans="1:20" s="239" customFormat="1" x14ac:dyDescent="0.3">
      <c r="A109" s="239">
        <f t="shared" si="35"/>
        <v>10.285428853932988</v>
      </c>
      <c r="B109" s="248">
        <v>107226.722201033</v>
      </c>
      <c r="C109" s="249">
        <f t="shared" si="36"/>
        <v>5.8849286476471407</v>
      </c>
      <c r="D109" s="249">
        <f t="shared" si="37"/>
        <v>143.74062059236616</v>
      </c>
      <c r="E109" s="248">
        <f t="shared" si="38"/>
        <v>-16.170357501580128</v>
      </c>
      <c r="F109" s="261">
        <f t="shared" si="38"/>
        <v>-100.77674904510216</v>
      </c>
      <c r="G109" s="250">
        <f t="shared" si="39"/>
        <v>-10.285428853932988</v>
      </c>
      <c r="H109" s="250">
        <f t="shared" si="39"/>
        <v>42.963871547263992</v>
      </c>
      <c r="I109" s="263" t="str">
        <f t="shared" si="26"/>
        <v>-989.52288400339i</v>
      </c>
      <c r="J109" s="263" t="str">
        <f t="shared" si="27"/>
        <v>-31580.5175745764i</v>
      </c>
      <c r="K109" s="263" t="str">
        <f t="shared" si="28"/>
        <v>14157.0043918615-10383.9090045774i</v>
      </c>
      <c r="L109" s="263">
        <f t="shared" si="29"/>
        <v>56874.999999999993</v>
      </c>
      <c r="M109" s="263" t="str">
        <f t="shared" si="30"/>
        <v>-1.58770142712466+1.16455054256943i</v>
      </c>
      <c r="N109" s="263" t="str">
        <f t="shared" si="31"/>
        <v>1+128.518307845967i</v>
      </c>
      <c r="O109" s="239" t="str">
        <f t="shared" si="32"/>
        <v>1+0.0171799968194992i</v>
      </c>
      <c r="P109" s="239" t="str">
        <f t="shared" si="33"/>
        <v>0.00392261954449225-0.15712899499755i</v>
      </c>
      <c r="Q109" s="263" t="str">
        <f t="shared" si="34"/>
        <v>0.966404069227019-0.2090640606647i</v>
      </c>
      <c r="R109" s="239" t="str">
        <f t="shared" si="40"/>
        <v>-0.0290591902525244-0.152670178929598i</v>
      </c>
      <c r="S109" s="249">
        <f t="shared" si="41"/>
        <v>-16.170357501580128</v>
      </c>
      <c r="T109" s="249">
        <f t="shared" si="42"/>
        <v>-100.77674904510216</v>
      </c>
    </row>
    <row r="110" spans="1:20" s="239" customFormat="1" x14ac:dyDescent="0.3">
      <c r="A110" s="239">
        <f t="shared" si="35"/>
        <v>11.380284273391364</v>
      </c>
      <c r="B110" s="248">
        <v>117681.1952435</v>
      </c>
      <c r="C110" s="249">
        <f t="shared" si="36"/>
        <v>5.6177946091059452</v>
      </c>
      <c r="D110" s="249">
        <f t="shared" si="37"/>
        <v>141.46128485985381</v>
      </c>
      <c r="E110" s="248">
        <f t="shared" si="38"/>
        <v>-16.99807888249731</v>
      </c>
      <c r="F110" s="261">
        <f t="shared" si="38"/>
        <v>-101.90040671678207</v>
      </c>
      <c r="G110" s="250">
        <f t="shared" si="39"/>
        <v>-11.380284273391364</v>
      </c>
      <c r="H110" s="250">
        <f t="shared" si="39"/>
        <v>39.560878143071733</v>
      </c>
      <c r="I110" s="263" t="str">
        <f t="shared" si="26"/>
        <v>-901.616398227882i</v>
      </c>
      <c r="J110" s="263" t="str">
        <f t="shared" si="27"/>
        <v>-28774.9914328048i</v>
      </c>
      <c r="K110" s="263" t="str">
        <f t="shared" si="28"/>
        <v>13316.8971340045-10607.437897412i</v>
      </c>
      <c r="L110" s="263">
        <f t="shared" si="29"/>
        <v>56874.999999999993</v>
      </c>
      <c r="M110" s="263" t="str">
        <f t="shared" si="30"/>
        <v>-1.49348379072948+1.18961920344808i</v>
      </c>
      <c r="N110" s="263" t="str">
        <f t="shared" si="31"/>
        <v>1+141.048684204205i</v>
      </c>
      <c r="O110" s="239" t="str">
        <f t="shared" si="32"/>
        <v>1+0.0188550253005749i</v>
      </c>
      <c r="P110" s="239" t="str">
        <f t="shared" si="33"/>
        <v>0.00371505065833859-0.14317155975927i</v>
      </c>
      <c r="Q110" s="263" t="str">
        <f t="shared" si="34"/>
        <v>0.959687330730064-0.228396106021943i</v>
      </c>
      <c r="R110" s="239" t="str">
        <f t="shared" si="40"/>
        <v>-0.0291345396922773-0.138248435125872i</v>
      </c>
      <c r="S110" s="249">
        <f t="shared" si="41"/>
        <v>-16.99807888249731</v>
      </c>
      <c r="T110" s="249">
        <f t="shared" si="42"/>
        <v>-101.90040671678207</v>
      </c>
    </row>
    <row r="111" spans="1:20" s="239" customFormat="1" x14ac:dyDescent="0.3">
      <c r="A111" s="239">
        <f t="shared" si="35"/>
        <v>12.513010953489985</v>
      </c>
      <c r="B111" s="248">
        <v>129154.966501488</v>
      </c>
      <c r="C111" s="249">
        <f t="shared" si="36"/>
        <v>5.3167633014793703</v>
      </c>
      <c r="D111" s="249">
        <f t="shared" si="37"/>
        <v>139.09118225846265</v>
      </c>
      <c r="E111" s="248">
        <f t="shared" si="38"/>
        <v>-17.829774254969355</v>
      </c>
      <c r="F111" s="261">
        <f t="shared" si="38"/>
        <v>-103.12301821817572</v>
      </c>
      <c r="G111" s="250">
        <f t="shared" si="39"/>
        <v>-12.513010953489985</v>
      </c>
      <c r="H111" s="250">
        <f t="shared" si="39"/>
        <v>35.968164040286936</v>
      </c>
      <c r="I111" s="263" t="str">
        <f t="shared" si="26"/>
        <v>-821.519282368244i</v>
      </c>
      <c r="J111" s="263" t="str">
        <f t="shared" si="27"/>
        <v>-26218.7005011141i</v>
      </c>
      <c r="K111" s="263" t="str">
        <f t="shared" si="28"/>
        <v>12428.5482341801-10769.2946037669i</v>
      </c>
      <c r="L111" s="263">
        <f t="shared" si="29"/>
        <v>56874.999999999993</v>
      </c>
      <c r="M111" s="263" t="str">
        <f t="shared" si="30"/>
        <v>-1.39385587673048+1.2077713574318i</v>
      </c>
      <c r="N111" s="263" t="str">
        <f t="shared" si="31"/>
        <v>1+154.800756788534i</v>
      </c>
      <c r="O111" s="239" t="str">
        <f t="shared" si="32"/>
        <v>1+0.0206933669907212i</v>
      </c>
      <c r="P111" s="239" t="str">
        <f t="shared" si="33"/>
        <v>0.003542720080542-0.130453706228795i</v>
      </c>
      <c r="Q111" s="263" t="str">
        <f t="shared" si="34"/>
        <v>0.951664755286981-0.249284921863547i</v>
      </c>
      <c r="R111" s="239" t="str">
        <f t="shared" si="40"/>
        <v>-0.029148660125556-0.125031341112968i</v>
      </c>
      <c r="S111" s="249">
        <f t="shared" si="41"/>
        <v>-17.829774254969355</v>
      </c>
      <c r="T111" s="249">
        <f t="shared" si="42"/>
        <v>-103.12301821817572</v>
      </c>
    </row>
    <row r="112" spans="1:20" s="239" customFormat="1" x14ac:dyDescent="0.3">
      <c r="A112" s="239">
        <f t="shared" si="35"/>
        <v>13.686107022060273</v>
      </c>
      <c r="B112" s="248">
        <v>141747.41629268101</v>
      </c>
      <c r="C112" s="249">
        <f t="shared" si="36"/>
        <v>4.9801201862961006</v>
      </c>
      <c r="D112" s="249">
        <f t="shared" si="37"/>
        <v>136.65129554138335</v>
      </c>
      <c r="E112" s="248">
        <f t="shared" si="38"/>
        <v>-18.666227208356375</v>
      </c>
      <c r="F112" s="261">
        <f t="shared" si="38"/>
        <v>-104.45387239430555</v>
      </c>
      <c r="G112" s="250">
        <f t="shared" si="39"/>
        <v>-13.686107022060273</v>
      </c>
      <c r="H112" s="250">
        <f t="shared" si="39"/>
        <v>32.197423147077799</v>
      </c>
      <c r="I112" s="263" t="str">
        <f t="shared" si="26"/>
        <v>-748.537773524664i</v>
      </c>
      <c r="J112" s="263" t="str">
        <f t="shared" si="27"/>
        <v>-23889.5034103615i</v>
      </c>
      <c r="K112" s="263" t="str">
        <f t="shared" si="28"/>
        <v>11504.1927067642-10859.4809492732i</v>
      </c>
      <c r="L112" s="263">
        <f t="shared" si="29"/>
        <v>56874.999999999993</v>
      </c>
      <c r="M112" s="263" t="str">
        <f t="shared" si="30"/>
        <v>-1.29018983627262+1.21788571393718i</v>
      </c>
      <c r="N112" s="263" t="str">
        <f t="shared" si="31"/>
        <v>1+169.893639472808i</v>
      </c>
      <c r="O112" s="239" t="str">
        <f t="shared" si="32"/>
        <v>1+0.0227109447262115i</v>
      </c>
      <c r="P112" s="239" t="str">
        <f t="shared" si="33"/>
        <v>0.00339964597274531-0.118865400652191i</v>
      </c>
      <c r="Q112" s="263" t="str">
        <f t="shared" si="34"/>
        <v>0.942098709340525-0.271782660593073i</v>
      </c>
      <c r="R112" s="239" t="str">
        <f t="shared" si="40"/>
        <v>-0.029102752758576-0.112906905367221i</v>
      </c>
      <c r="S112" s="249">
        <f t="shared" si="41"/>
        <v>-18.666227208356375</v>
      </c>
      <c r="T112" s="249">
        <f t="shared" si="42"/>
        <v>-104.45387239430555</v>
      </c>
    </row>
    <row r="113" spans="1:20" s="239" customFormat="1" x14ac:dyDescent="0.3">
      <c r="A113" s="239">
        <f t="shared" si="35"/>
        <v>14.901682111159438</v>
      </c>
      <c r="B113" s="248">
        <v>155567.614393047</v>
      </c>
      <c r="C113" s="249">
        <f t="shared" si="36"/>
        <v>4.6066884408816824</v>
      </c>
      <c r="D113" s="249">
        <f t="shared" si="37"/>
        <v>134.16454424810121</v>
      </c>
      <c r="E113" s="248">
        <f t="shared" si="38"/>
        <v>-19.508370552041121</v>
      </c>
      <c r="F113" s="261">
        <f t="shared" si="38"/>
        <v>-105.90279220777121</v>
      </c>
      <c r="G113" s="250">
        <f t="shared" si="39"/>
        <v>-14.901682111159438</v>
      </c>
      <c r="H113" s="250">
        <f t="shared" si="39"/>
        <v>28.261752040329995</v>
      </c>
      <c r="I113" s="263" t="str">
        <f t="shared" si="26"/>
        <v>-682.039740781286i</v>
      </c>
      <c r="J113" s="263" t="str">
        <f t="shared" si="27"/>
        <v>-21767.2257696154i</v>
      </c>
      <c r="K113" s="263" t="str">
        <f t="shared" si="28"/>
        <v>10558.3501590734-10870.8410645902i</v>
      </c>
      <c r="L113" s="263">
        <f t="shared" si="29"/>
        <v>56874.999999999993</v>
      </c>
      <c r="M113" s="263" t="str">
        <f t="shared" si="30"/>
        <v>-1.1841140365316+1.21915974556152i</v>
      </c>
      <c r="N113" s="263" t="str">
        <f t="shared" si="31"/>
        <v>1+186.458059586528i</v>
      </c>
      <c r="O113" s="239" t="str">
        <f t="shared" si="32"/>
        <v>1+0.024925233800198i</v>
      </c>
      <c r="P113" s="239" t="str">
        <f t="shared" si="33"/>
        <v>0.00328086179466277-0.108306363120768i</v>
      </c>
      <c r="Q113" s="263" t="str">
        <f t="shared" si="34"/>
        <v>0.930715406829797-0.295917871620425i</v>
      </c>
      <c r="R113" s="239" t="str">
        <f t="shared" si="40"/>
        <v>-0.0289962398376747-0.101773266453559i</v>
      </c>
      <c r="S113" s="249">
        <f t="shared" si="41"/>
        <v>-19.508370552041121</v>
      </c>
      <c r="T113" s="249">
        <f t="shared" si="42"/>
        <v>-105.90279220777121</v>
      </c>
    </row>
    <row r="114" spans="1:20" s="239" customFormat="1" x14ac:dyDescent="0.3">
      <c r="A114" s="239">
        <f t="shared" si="35"/>
        <v>16.161409929644307</v>
      </c>
      <c r="B114" s="248">
        <v>170735.26474706901</v>
      </c>
      <c r="C114" s="249">
        <f t="shared" si="36"/>
        <v>4.1959018746342691</v>
      </c>
      <c r="D114" s="249">
        <f t="shared" si="37"/>
        <v>131.65498270326592</v>
      </c>
      <c r="E114" s="248">
        <f t="shared" si="38"/>
        <v>-20.357311804278577</v>
      </c>
      <c r="F114" s="261">
        <f t="shared" si="38"/>
        <v>-107.48009867316748</v>
      </c>
      <c r="G114" s="250">
        <f t="shared" si="39"/>
        <v>-16.161409929644307</v>
      </c>
      <c r="H114" s="250">
        <f t="shared" si="39"/>
        <v>24.17488403009844</v>
      </c>
      <c r="I114" s="263" t="str">
        <f t="shared" si="26"/>
        <v>-621.449209990571i</v>
      </c>
      <c r="J114" s="263" t="str">
        <f t="shared" si="27"/>
        <v>-19833.485425231i</v>
      </c>
      <c r="K114" s="263" t="str">
        <f t="shared" si="28"/>
        <v>9606.96918097965-10799.6977498177i</v>
      </c>
      <c r="L114" s="263">
        <f t="shared" si="29"/>
        <v>56874.999999999993</v>
      </c>
      <c r="M114" s="263" t="str">
        <f t="shared" si="30"/>
        <v>-1.07741710440893+1.21118105605432i</v>
      </c>
      <c r="N114" s="263" t="str">
        <f t="shared" si="31"/>
        <v>1+204.637490212446i</v>
      </c>
      <c r="O114" s="239" t="str">
        <f t="shared" si="32"/>
        <v>1+0.0273554133253431i</v>
      </c>
      <c r="P114" s="239" t="str">
        <f t="shared" si="33"/>
        <v>0.00318224402155249-0.0986852062404606i</v>
      </c>
      <c r="Q114" s="263" t="str">
        <f t="shared" si="34"/>
        <v>0.917202548272745-0.321685829179815i</v>
      </c>
      <c r="R114" s="239" t="str">
        <f t="shared" si="40"/>
        <v>-0.02882687007145-0.0915380054472975i</v>
      </c>
      <c r="S114" s="249">
        <f t="shared" si="41"/>
        <v>-20.357311804278577</v>
      </c>
      <c r="T114" s="249">
        <f t="shared" si="42"/>
        <v>-107.48009867316748</v>
      </c>
    </row>
    <row r="115" spans="1:20" s="239" customFormat="1" x14ac:dyDescent="0.3">
      <c r="A115" s="239">
        <f t="shared" si="35"/>
        <v>17.466521866027193</v>
      </c>
      <c r="B115" s="248">
        <v>187381.74228603899</v>
      </c>
      <c r="C115" s="249">
        <f t="shared" si="36"/>
        <v>3.7478399855414195</v>
      </c>
      <c r="D115" s="249">
        <f t="shared" si="37"/>
        <v>129.14687012060804</v>
      </c>
      <c r="E115" s="248">
        <f t="shared" si="38"/>
        <v>-21.214361851568611</v>
      </c>
      <c r="F115" s="261">
        <f t="shared" si="38"/>
        <v>-109.19654501325662</v>
      </c>
      <c r="G115" s="250">
        <f t="shared" si="39"/>
        <v>-17.466521866027193</v>
      </c>
      <c r="H115" s="250">
        <f t="shared" si="39"/>
        <v>19.950325107351418</v>
      </c>
      <c r="I115" s="263" t="str">
        <f t="shared" si="26"/>
        <v>-566.241374960799i</v>
      </c>
      <c r="J115" s="263" t="str">
        <f t="shared" si="27"/>
        <v>-18071.5332434298i</v>
      </c>
      <c r="K115" s="263" t="str">
        <f t="shared" si="28"/>
        <v>8666.37538374209-10646.1667084058i</v>
      </c>
      <c r="L115" s="263">
        <f t="shared" si="29"/>
        <v>56874.999999999993</v>
      </c>
      <c r="M115" s="263" t="str">
        <f t="shared" si="30"/>
        <v>-0.971929949578553+1.19396262150346i</v>
      </c>
      <c r="N115" s="263" t="str">
        <f t="shared" si="31"/>
        <v>1+224.589392881757i</v>
      </c>
      <c r="O115" s="239" t="str">
        <f t="shared" si="32"/>
        <v>1+0.0300225323541165i</v>
      </c>
      <c r="P115" s="239" t="str">
        <f t="shared" si="33"/>
        <v>0.0031003690820213-0.0899186490597855i</v>
      </c>
      <c r="Q115" s="263" t="str">
        <f t="shared" si="34"/>
        <v>0.901208347828362-0.349036527003305i</v>
      </c>
      <c r="R115" s="239" t="str">
        <f t="shared" si="40"/>
        <v>-0.02859081448259-0.0821175792149447i</v>
      </c>
      <c r="S115" s="249">
        <f t="shared" si="41"/>
        <v>-21.214361851568611</v>
      </c>
      <c r="T115" s="249">
        <f t="shared" si="42"/>
        <v>-109.19654501325662</v>
      </c>
    </row>
    <row r="116" spans="1:20" s="239" customFormat="1" x14ac:dyDescent="0.3">
      <c r="A116" s="239">
        <f t="shared" si="35"/>
        <v>18.817846523129031</v>
      </c>
      <c r="B116" s="248">
        <v>205651.23083486501</v>
      </c>
      <c r="C116" s="249">
        <f t="shared" si="36"/>
        <v>3.2632200960626379</v>
      </c>
      <c r="D116" s="249">
        <f t="shared" si="37"/>
        <v>126.66370591867165</v>
      </c>
      <c r="E116" s="248">
        <f t="shared" si="38"/>
        <v>-22.08106661919167</v>
      </c>
      <c r="F116" s="261">
        <f t="shared" si="38"/>
        <v>-111.06321215601396</v>
      </c>
      <c r="G116" s="250">
        <f t="shared" si="39"/>
        <v>-18.817846523129031</v>
      </c>
      <c r="H116" s="250">
        <f t="shared" si="39"/>
        <v>15.600493762657692</v>
      </c>
      <c r="I116" s="263" t="str">
        <f t="shared" si="26"/>
        <v>-515.938051835909i</v>
      </c>
      <c r="J116" s="263" t="str">
        <f t="shared" si="27"/>
        <v>-16466.1080373162i</v>
      </c>
      <c r="K116" s="263" t="str">
        <f t="shared" si="28"/>
        <v>7752.16619947565-10414.0897665063i</v>
      </c>
      <c r="L116" s="263">
        <f t="shared" si="29"/>
        <v>56874.999999999993</v>
      </c>
      <c r="M116" s="263" t="str">
        <f t="shared" si="30"/>
        <v>-0.869401816763625+1.1679353009166i</v>
      </c>
      <c r="N116" s="263" t="str">
        <f t="shared" si="31"/>
        <v>1+246.486581430563i</v>
      </c>
      <c r="O116" s="239" t="str">
        <f t="shared" si="32"/>
        <v>1+0.032949692195618i</v>
      </c>
      <c r="P116" s="239" t="str">
        <f t="shared" si="33"/>
        <v>0.00303239456444925-0.0819307998771999i</v>
      </c>
      <c r="Q116" s="263" t="str">
        <f t="shared" si="34"/>
        <v>0.882342812954547-0.377860145409761i</v>
      </c>
      <c r="R116" s="239" t="str">
        <f t="shared" si="40"/>
        <v>-0.0282827724051526-0.0734368734823272i</v>
      </c>
      <c r="S116" s="249">
        <f t="shared" si="41"/>
        <v>-22.08106661919167</v>
      </c>
      <c r="T116" s="249">
        <f t="shared" si="42"/>
        <v>-111.06321215601396</v>
      </c>
    </row>
    <row r="117" spans="1:20" s="239" customFormat="1" x14ac:dyDescent="0.3">
      <c r="A117" s="239">
        <f t="shared" si="35"/>
        <v>20.215893748495851</v>
      </c>
      <c r="B117" s="248">
        <v>225701.97196339199</v>
      </c>
      <c r="C117" s="249">
        <f t="shared" si="36"/>
        <v>2.743347531929365</v>
      </c>
      <c r="D117" s="249">
        <f t="shared" si="37"/>
        <v>124.22732966509902</v>
      </c>
      <c r="E117" s="248">
        <f t="shared" si="38"/>
        <v>-22.959241280425218</v>
      </c>
      <c r="F117" s="261">
        <f t="shared" si="38"/>
        <v>-113.09135505642217</v>
      </c>
      <c r="G117" s="250">
        <f t="shared" si="39"/>
        <v>-20.215893748495851</v>
      </c>
      <c r="H117" s="250">
        <f t="shared" si="39"/>
        <v>11.135974608676847</v>
      </c>
      <c r="I117" s="263" t="str">
        <f t="shared" si="26"/>
        <v>-470.103537295661i</v>
      </c>
      <c r="J117" s="263" t="str">
        <f t="shared" si="27"/>
        <v>-15003.3043817765i</v>
      </c>
      <c r="K117" s="263" t="str">
        <f t="shared" si="28"/>
        <v>6878.20814370029-10110.5987210753i</v>
      </c>
      <c r="L117" s="263">
        <f t="shared" si="29"/>
        <v>56874.999999999993</v>
      </c>
      <c r="M117" s="263" t="str">
        <f t="shared" si="30"/>
        <v>-0.771387829200033+1.13389892198975i</v>
      </c>
      <c r="N117" s="263" t="str">
        <f t="shared" si="31"/>
        <v>1+270.518718830646i</v>
      </c>
      <c r="O117" s="239" t="str">
        <f t="shared" si="32"/>
        <v>1+0.036162246508067i</v>
      </c>
      <c r="P117" s="239" t="str">
        <f t="shared" si="33"/>
        <v>0.00297596057812019-0.074652502040835i</v>
      </c>
      <c r="Q117" s="263" t="str">
        <f t="shared" si="34"/>
        <v>0.860182418158284-0.407969991524193i</v>
      </c>
      <c r="R117" s="239" t="str">
        <f t="shared" si="40"/>
        <v>-0.0278961116584281-0.0654288723388837i</v>
      </c>
      <c r="S117" s="249">
        <f t="shared" si="41"/>
        <v>-22.959241280425218</v>
      </c>
      <c r="T117" s="249">
        <f t="shared" si="42"/>
        <v>-113.09135505642217</v>
      </c>
    </row>
    <row r="118" spans="1:20" s="239" customFormat="1" x14ac:dyDescent="0.3">
      <c r="A118" s="239">
        <f t="shared" si="35"/>
        <v>21.660975483353081</v>
      </c>
      <c r="B118" s="248">
        <v>247707.63559917099</v>
      </c>
      <c r="C118" s="249">
        <f t="shared" si="36"/>
        <v>2.1900305974413783</v>
      </c>
      <c r="D118" s="249">
        <f t="shared" si="37"/>
        <v>121.85717299069293</v>
      </c>
      <c r="E118" s="248">
        <f t="shared" si="38"/>
        <v>-23.851006080794459</v>
      </c>
      <c r="F118" s="261">
        <f t="shared" si="38"/>
        <v>-115.29218782832895</v>
      </c>
      <c r="G118" s="250">
        <f t="shared" si="39"/>
        <v>-21.660975483353081</v>
      </c>
      <c r="H118" s="250">
        <f t="shared" si="39"/>
        <v>6.5649851623639819</v>
      </c>
      <c r="I118" s="263" t="str">
        <f t="shared" si="26"/>
        <v>-428.340834701956i</v>
      </c>
      <c r="J118" s="263" t="str">
        <f t="shared" si="27"/>
        <v>-13670.452171339i</v>
      </c>
      <c r="K118" s="263" t="str">
        <f t="shared" si="28"/>
        <v>6055.86817985833-9745.38857986667i</v>
      </c>
      <c r="L118" s="263">
        <f t="shared" si="29"/>
        <v>56874.999999999993</v>
      </c>
      <c r="M118" s="263" t="str">
        <f t="shared" si="30"/>
        <v>-0.679162786526169+1.09294077531215i</v>
      </c>
      <c r="N118" s="263" t="str">
        <f t="shared" si="31"/>
        <v>1+296.893959959398i</v>
      </c>
      <c r="O118" s="239" t="str">
        <f t="shared" si="32"/>
        <v>1+0.0396880209000591i</v>
      </c>
      <c r="P118" s="239" t="str">
        <f t="shared" si="33"/>
        <v>0.00292910785160256-0.0680207373200762i</v>
      </c>
      <c r="Q118" s="263" t="str">
        <f t="shared" si="34"/>
        <v>0.834279604787451-0.439083256439285i</v>
      </c>
      <c r="R118" s="239" t="str">
        <f t="shared" si="40"/>
        <v>-0.0274230719070855-0.0580344360626877i</v>
      </c>
      <c r="S118" s="249">
        <f t="shared" si="41"/>
        <v>-23.851006080794459</v>
      </c>
      <c r="T118" s="249">
        <f t="shared" si="42"/>
        <v>-115.29218782832895</v>
      </c>
    </row>
    <row r="119" spans="1:20" s="239" customFormat="1" x14ac:dyDescent="0.3">
      <c r="A119" s="239">
        <f t="shared" si="35"/>
        <v>23.153350898080419</v>
      </c>
      <c r="B119" s="248">
        <v>271858.82427329401</v>
      </c>
      <c r="C119" s="249">
        <f t="shared" si="36"/>
        <v>1.6054713357750228</v>
      </c>
      <c r="D119" s="249">
        <f t="shared" si="37"/>
        <v>119.56972382811531</v>
      </c>
      <c r="E119" s="248">
        <f t="shared" si="38"/>
        <v>-24.75882223385544</v>
      </c>
      <c r="F119" s="261">
        <f t="shared" si="38"/>
        <v>-117.6765946220461</v>
      </c>
      <c r="G119" s="250">
        <f t="shared" si="39"/>
        <v>-23.153350898080419</v>
      </c>
      <c r="H119" s="250">
        <f t="shared" si="39"/>
        <v>1.8931292060692186</v>
      </c>
      <c r="I119" s="263" t="str">
        <f t="shared" si="26"/>
        <v>-390.288215503843i</v>
      </c>
      <c r="J119" s="263" t="str">
        <f t="shared" si="27"/>
        <v>-12456.0068777822i</v>
      </c>
      <c r="K119" s="263" t="str">
        <f t="shared" si="28"/>
        <v>5293.5584637297-9329.82376194846i</v>
      </c>
      <c r="L119" s="263">
        <f t="shared" si="29"/>
        <v>56874.999999999993</v>
      </c>
      <c r="M119" s="263" t="str">
        <f t="shared" si="30"/>
        <v>-0.593670108081836+1.04633537517179i</v>
      </c>
      <c r="N119" s="263" t="str">
        <f t="shared" si="31"/>
        <v>1+325.840754537784i</v>
      </c>
      <c r="O119" s="239" t="str">
        <f t="shared" si="32"/>
        <v>1+0.0435575539426775i</v>
      </c>
      <c r="P119" s="239" t="str">
        <f t="shared" si="33"/>
        <v>0.00289020972976567-0.0619780818672744i</v>
      </c>
      <c r="Q119" s="263" t="str">
        <f t="shared" si="34"/>
        <v>0.804178789266641-0.470800475435557i</v>
      </c>
      <c r="R119" s="239" t="str">
        <f t="shared" si="40"/>
        <v>-0.026855065048487-0.0512021709519756i</v>
      </c>
      <c r="S119" s="249">
        <f t="shared" si="41"/>
        <v>-24.75882223385544</v>
      </c>
      <c r="T119" s="249">
        <f t="shared" si="42"/>
        <v>-117.6765946220461</v>
      </c>
    </row>
    <row r="120" spans="1:20" s="239" customFormat="1" x14ac:dyDescent="0.3">
      <c r="A120" s="239">
        <f t="shared" si="35"/>
        <v>24.693380586792717</v>
      </c>
      <c r="B120" s="248">
        <v>298364.72402833402</v>
      </c>
      <c r="C120" s="249">
        <f t="shared" si="36"/>
        <v>0.99214494696631739</v>
      </c>
      <c r="D120" s="249">
        <f t="shared" si="37"/>
        <v>117.37822879225669</v>
      </c>
      <c r="E120" s="248">
        <f t="shared" si="38"/>
        <v>-25.685525533759034</v>
      </c>
      <c r="F120" s="261">
        <f t="shared" si="38"/>
        <v>-120.25475305870322</v>
      </c>
      <c r="G120" s="250">
        <f t="shared" si="39"/>
        <v>-24.693380586792717</v>
      </c>
      <c r="H120" s="250">
        <f t="shared" si="39"/>
        <v>-2.8765242664465234</v>
      </c>
      <c r="I120" s="263" t="str">
        <f t="shared" si="26"/>
        <v>-355.616086117878i</v>
      </c>
      <c r="J120" s="263" t="str">
        <f t="shared" si="27"/>
        <v>-11349.4495569535i</v>
      </c>
      <c r="K120" s="263" t="str">
        <f t="shared" si="28"/>
        <v>4596.61024478931-8876.01332811196i</v>
      </c>
      <c r="L120" s="263">
        <f t="shared" si="29"/>
        <v>56874.999999999993</v>
      </c>
      <c r="M120" s="263" t="str">
        <f t="shared" si="30"/>
        <v>-0.515507691004409+0.995440747077978i</v>
      </c>
      <c r="N120" s="263" t="str">
        <f t="shared" si="31"/>
        <v>1+357.609825852544i</v>
      </c>
      <c r="O120" s="239" t="str">
        <f t="shared" si="32"/>
        <v>1+0.0478043616799858i</v>
      </c>
      <c r="P120" s="239" t="str">
        <f t="shared" si="33"/>
        <v>0.0028579157118054-0.0564722101981123i</v>
      </c>
      <c r="Q120" s="263" t="str">
        <f t="shared" si="34"/>
        <v>0.769440677967694-0.502585363103948i</v>
      </c>
      <c r="R120" s="239" t="str">
        <f t="shared" si="40"/>
        <v>-0.0261831096648347-0.0448883623069078i</v>
      </c>
      <c r="S120" s="249">
        <f t="shared" si="41"/>
        <v>-25.685525533759034</v>
      </c>
      <c r="T120" s="249">
        <f t="shared" si="42"/>
        <v>-120.25475305870322</v>
      </c>
    </row>
    <row r="121" spans="1:20" s="239" customFormat="1" x14ac:dyDescent="0.3">
      <c r="A121" s="239">
        <f t="shared" si="35"/>
        <v>26.281674124053716</v>
      </c>
      <c r="B121" s="248">
        <v>327454.916287773</v>
      </c>
      <c r="C121" s="249">
        <f t="shared" si="36"/>
        <v>0.35268020128475525</v>
      </c>
      <c r="D121" s="249">
        <f t="shared" si="37"/>
        <v>115.29262586165362</v>
      </c>
      <c r="E121" s="248">
        <f t="shared" si="38"/>
        <v>-26.634354325338471</v>
      </c>
      <c r="F121" s="261">
        <f t="shared" si="38"/>
        <v>-123.03565850260777</v>
      </c>
      <c r="G121" s="250">
        <f t="shared" si="39"/>
        <v>-26.281674124053716</v>
      </c>
      <c r="H121" s="250">
        <f t="shared" si="39"/>
        <v>-7.743032640954155</v>
      </c>
      <c r="I121" s="263" t="str">
        <f t="shared" si="26"/>
        <v>-324.024133146168i</v>
      </c>
      <c r="J121" s="263" t="str">
        <f t="shared" si="27"/>
        <v>-10341.1957387075i</v>
      </c>
      <c r="K121" s="263" t="str">
        <f t="shared" si="28"/>
        <v>3967.43640989271-8395.9732348584i</v>
      </c>
      <c r="L121" s="263">
        <f t="shared" si="29"/>
        <v>56874.999999999993</v>
      </c>
      <c r="M121" s="263" t="str">
        <f t="shared" si="30"/>
        <v>-0.44494613942722+0.941604474937392i</v>
      </c>
      <c r="N121" s="263" t="str">
        <f t="shared" si="31"/>
        <v>1+392.476342401354i</v>
      </c>
      <c r="O121" s="239" t="str">
        <f t="shared" si="32"/>
        <v>1+0.0524652279289679i</v>
      </c>
      <c r="P121" s="239" t="str">
        <f t="shared" si="33"/>
        <v>0.00283110457228063-0.0514554430007986i</v>
      </c>
      <c r="Q121" s="263" t="str">
        <f t="shared" si="34"/>
        <v>0.729676521349777-0.533747737722226i</v>
      </c>
      <c r="R121" s="239" t="str">
        <f t="shared" si="40"/>
        <v>-0.025398435759292-0.0390569243140443i</v>
      </c>
      <c r="S121" s="249">
        <f t="shared" si="41"/>
        <v>-26.634354325338471</v>
      </c>
      <c r="T121" s="249">
        <f t="shared" si="42"/>
        <v>-123.03565850260777</v>
      </c>
    </row>
    <row r="122" spans="1:20" s="239" customFormat="1" x14ac:dyDescent="0.3">
      <c r="A122" s="239">
        <f t="shared" si="35"/>
        <v>27.919216521279765</v>
      </c>
      <c r="B122" s="248">
        <v>359381.36638046301</v>
      </c>
      <c r="C122" s="249">
        <f t="shared" si="36"/>
        <v>-0.31024920816260304</v>
      </c>
      <c r="D122" s="249">
        <f t="shared" si="37"/>
        <v>113.31967344489928</v>
      </c>
      <c r="E122" s="248">
        <f t="shared" si="38"/>
        <v>-27.608967313117162</v>
      </c>
      <c r="F122" s="261">
        <f t="shared" si="38"/>
        <v>-126.02654138120326</v>
      </c>
      <c r="G122" s="250">
        <f t="shared" si="39"/>
        <v>-27.919216521279765</v>
      </c>
      <c r="H122" s="250">
        <f t="shared" si="39"/>
        <v>-12.706867936303979</v>
      </c>
      <c r="I122" s="263" t="str">
        <f t="shared" si="26"/>
        <v>-295.238722205396i</v>
      </c>
      <c r="J122" s="263" t="str">
        <f t="shared" si="27"/>
        <v>-9422.51241081048i</v>
      </c>
      <c r="K122" s="263" t="str">
        <f t="shared" si="28"/>
        <v>3405.90567529784-7900.95568865308i</v>
      </c>
      <c r="L122" s="263">
        <f t="shared" si="29"/>
        <v>56874.999999999993</v>
      </c>
      <c r="M122" s="263" t="str">
        <f t="shared" si="30"/>
        <v>-0.381970729939945+0.886088488447075i</v>
      </c>
      <c r="N122" s="263" t="str">
        <f t="shared" si="31"/>
        <v>1+430.742301270716i</v>
      </c>
      <c r="O122" s="239" t="str">
        <f t="shared" si="32"/>
        <v>1+0.0575805228833541i</v>
      </c>
      <c r="P122" s="239" t="str">
        <f t="shared" si="33"/>
        <v>0.00280884543913996-0.0468843349379692i</v>
      </c>
      <c r="Q122" s="263" t="str">
        <f t="shared" si="34"/>
        <v>0.684593293502936-0.563433491956312i</v>
      </c>
      <c r="R122" s="239" t="str">
        <f t="shared" si="40"/>
        <v>-0.0244932878020278-0.0336792988630193i</v>
      </c>
      <c r="S122" s="249">
        <f t="shared" si="41"/>
        <v>-27.608967313117162</v>
      </c>
      <c r="T122" s="249">
        <f t="shared" si="42"/>
        <v>-126.02654138120326</v>
      </c>
    </row>
    <row r="123" spans="1:20" s="239" customFormat="1" x14ac:dyDescent="0.3">
      <c r="A123" s="239">
        <f t="shared" si="35"/>
        <v>29.607461277241811</v>
      </c>
      <c r="B123" s="248">
        <v>394420.60594376602</v>
      </c>
      <c r="C123" s="249">
        <f t="shared" si="36"/>
        <v>-0.99401579629664671</v>
      </c>
      <c r="D123" s="249">
        <f t="shared" si="37"/>
        <v>111.46322678085224</v>
      </c>
      <c r="E123" s="248">
        <f t="shared" si="38"/>
        <v>-28.613445480945163</v>
      </c>
      <c r="F123" s="261">
        <f t="shared" si="38"/>
        <v>-129.23217713867481</v>
      </c>
      <c r="G123" s="250">
        <f t="shared" si="39"/>
        <v>-29.607461277241811</v>
      </c>
      <c r="H123" s="250">
        <f t="shared" si="39"/>
        <v>-17.768950357822575</v>
      </c>
      <c r="I123" s="263" t="str">
        <f t="shared" si="26"/>
        <v>-269.010527836683i</v>
      </c>
      <c r="J123" s="263" t="str">
        <f t="shared" si="27"/>
        <v>-8585.44237776647i</v>
      </c>
      <c r="K123" s="263" t="str">
        <f t="shared" si="28"/>
        <v>2909.83856086249-7400.98182483901i</v>
      </c>
      <c r="L123" s="263">
        <f t="shared" si="29"/>
        <v>56874.999999999993</v>
      </c>
      <c r="M123" s="263" t="str">
        <f t="shared" si="30"/>
        <v>-0.326337034863083+0.830016653252974i</v>
      </c>
      <c r="N123" s="263" t="str">
        <f t="shared" si="31"/>
        <v>1+472.739143890249i</v>
      </c>
      <c r="O123" s="239" t="str">
        <f t="shared" si="32"/>
        <v>1+0.0631945527809259i</v>
      </c>
      <c r="P123" s="239" t="str">
        <f t="shared" si="33"/>
        <v>0.00279036547847597-0.0427192989319646i</v>
      </c>
      <c r="Q123" s="263" t="str">
        <f t="shared" si="34"/>
        <v>0.634049426357634-0.590626829941947i</v>
      </c>
      <c r="R123" s="239" t="str">
        <f t="shared" si="40"/>
        <v>-0.0234619344745728-0.0287342116991441i</v>
      </c>
      <c r="S123" s="249">
        <f t="shared" si="41"/>
        <v>-28.613445480945163</v>
      </c>
      <c r="T123" s="249">
        <f t="shared" si="42"/>
        <v>-129.23217713867481</v>
      </c>
    </row>
    <row r="124" spans="1:20" s="239" customFormat="1" x14ac:dyDescent="0.3">
      <c r="A124" s="239">
        <f t="shared" si="35"/>
        <v>31.348380118602261</v>
      </c>
      <c r="B124" s="248">
        <v>432876.12810830597</v>
      </c>
      <c r="C124" s="249">
        <f t="shared" si="36"/>
        <v>-1.6961087856438486</v>
      </c>
      <c r="D124" s="249">
        <f t="shared" si="37"/>
        <v>109.72460837001623</v>
      </c>
      <c r="E124" s="248">
        <f t="shared" si="38"/>
        <v>-29.652271332958414</v>
      </c>
      <c r="F124" s="261">
        <f t="shared" si="38"/>
        <v>-132.65410017195003</v>
      </c>
      <c r="G124" s="250">
        <f t="shared" si="39"/>
        <v>-31.348380118602261</v>
      </c>
      <c r="H124" s="250">
        <f t="shared" si="39"/>
        <v>-22.929491801933807</v>
      </c>
      <c r="I124" s="263" t="str">
        <f t="shared" si="26"/>
        <v>-245.112373967755i</v>
      </c>
      <c r="J124" s="263" t="str">
        <f t="shared" si="27"/>
        <v>-7822.73533939644i</v>
      </c>
      <c r="K124" s="263" t="str">
        <f t="shared" si="28"/>
        <v>2475.54221685159-6904.57573166176i</v>
      </c>
      <c r="L124" s="263">
        <f t="shared" si="29"/>
        <v>56874.999999999993</v>
      </c>
      <c r="M124" s="263" t="str">
        <f t="shared" si="30"/>
        <v>-0.277630902824478+0.774344941868609i</v>
      </c>
      <c r="N124" s="263" t="str">
        <f t="shared" si="31"/>
        <v>1+518.830626819792i</v>
      </c>
      <c r="O124" s="239" t="str">
        <f t="shared" si="32"/>
        <v>1+0.0693559436629519i</v>
      </c>
      <c r="P124" s="239" t="str">
        <f t="shared" si="33"/>
        <v>0.00277502306477916-0.0389242637253115i</v>
      </c>
      <c r="Q124" s="263" t="str">
        <f t="shared" si="34"/>
        <v>0.578118467141903-0.614170914583285i</v>
      </c>
      <c r="R124" s="239" t="str">
        <f t="shared" si="40"/>
        <v>-0.022301858571162-0.0242071741331894i</v>
      </c>
      <c r="S124" s="249">
        <f t="shared" si="41"/>
        <v>-29.652271332958414</v>
      </c>
      <c r="T124" s="249">
        <f t="shared" si="42"/>
        <v>-132.65410017195003</v>
      </c>
    </row>
    <row r="125" spans="1:20" s="239" customFormat="1" x14ac:dyDescent="0.3">
      <c r="A125" s="239">
        <f t="shared" si="35"/>
        <v>33.144461852283492</v>
      </c>
      <c r="B125" s="248">
        <v>475081.01621027902</v>
      </c>
      <c r="C125" s="249">
        <f t="shared" si="36"/>
        <v>-2.4141837830355173</v>
      </c>
      <c r="D125" s="249">
        <f t="shared" si="37"/>
        <v>108.10302334253487</v>
      </c>
      <c r="E125" s="248">
        <f t="shared" si="38"/>
        <v>-30.730278069247973</v>
      </c>
      <c r="F125" s="261">
        <f t="shared" si="38"/>
        <v>-136.28974979468339</v>
      </c>
      <c r="G125" s="250">
        <f t="shared" si="39"/>
        <v>-33.144461852283492</v>
      </c>
      <c r="H125" s="250">
        <f t="shared" si="39"/>
        <v>-28.18672645214852</v>
      </c>
      <c r="I125" s="263" t="str">
        <f t="shared" si="26"/>
        <v>-223.33726622247i</v>
      </c>
      <c r="J125" s="263" t="str">
        <f t="shared" si="27"/>
        <v>-7127.78509220653i</v>
      </c>
      <c r="K125" s="263" t="str">
        <f t="shared" si="28"/>
        <v>2098.32016840577-6418.6716635522i</v>
      </c>
      <c r="L125" s="263">
        <f t="shared" si="29"/>
        <v>56874.999999999993</v>
      </c>
      <c r="M125" s="263" t="str">
        <f t="shared" si="30"/>
        <v>-0.235325626363264+0.719851027688098i</v>
      </c>
      <c r="N125" s="263" t="str">
        <f t="shared" si="31"/>
        <v>1+569.415972434709i</v>
      </c>
      <c r="O125" s="239" t="str">
        <f t="shared" si="32"/>
        <v>1+0.0761180625496955i</v>
      </c>
      <c r="P125" s="239" t="str">
        <f t="shared" si="33"/>
        <v>0.00276228550567977-0.0354663617852359i</v>
      </c>
      <c r="Q125" s="263" t="str">
        <f t="shared" si="34"/>
        <v>0.517154830415607-0.632813086224602i</v>
      </c>
      <c r="R125" s="239" t="str">
        <f t="shared" si="40"/>
        <v>-0.0210150485662241-0.0200896107303849i</v>
      </c>
      <c r="S125" s="249">
        <f t="shared" si="41"/>
        <v>-30.730278069247973</v>
      </c>
      <c r="T125" s="249">
        <f t="shared" si="42"/>
        <v>-136.28974979468339</v>
      </c>
    </row>
    <row r="126" spans="1:20" s="239" customFormat="1" x14ac:dyDescent="0.3">
      <c r="A126" s="239">
        <f t="shared" si="35"/>
        <v>34.998655115312943</v>
      </c>
      <c r="B126" s="248">
        <v>521400.82879996998</v>
      </c>
      <c r="C126" s="249">
        <f t="shared" si="36"/>
        <v>-3.1460935113577158</v>
      </c>
      <c r="D126" s="249">
        <f t="shared" si="37"/>
        <v>106.59597995517248</v>
      </c>
      <c r="E126" s="248">
        <f t="shared" si="38"/>
        <v>-31.85256160395523</v>
      </c>
      <c r="F126" s="261">
        <f t="shared" si="38"/>
        <v>-140.13159754792372</v>
      </c>
      <c r="G126" s="250">
        <f t="shared" si="39"/>
        <v>-34.998655115312943</v>
      </c>
      <c r="H126" s="250">
        <f t="shared" si="39"/>
        <v>-33.535617592751237</v>
      </c>
      <c r="I126" s="263" t="str">
        <f t="shared" si="26"/>
        <v>-203.496599034564i</v>
      </c>
      <c r="J126" s="263" t="str">
        <f t="shared" si="27"/>
        <v>-6494.57230961374i</v>
      </c>
      <c r="K126" s="263" t="str">
        <f t="shared" si="28"/>
        <v>1772.91610812847-5948.65329134472i</v>
      </c>
      <c r="L126" s="263">
        <f t="shared" si="29"/>
        <v>56874.999999999993</v>
      </c>
      <c r="M126" s="263" t="str">
        <f t="shared" si="30"/>
        <v>-0.198831713061137+0.667138686879782i</v>
      </c>
      <c r="N126" s="263" t="str">
        <f t="shared" si="31"/>
        <v>1+624.933326799124i</v>
      </c>
      <c r="O126" s="239" t="str">
        <f t="shared" si="32"/>
        <v>1+0.0835394796800144i</v>
      </c>
      <c r="P126" s="239" t="str">
        <f t="shared" si="33"/>
        <v>0.002751710548133-0.0323156448753618i</v>
      </c>
      <c r="Q126" s="263" t="str">
        <f t="shared" si="34"/>
        <v>0.451851989975031-0.645279202956027i</v>
      </c>
      <c r="R126" s="239" t="str">
        <f t="shared" si="40"/>
        <v>-0.0196092476811743-0.0163775100335236i</v>
      </c>
      <c r="S126" s="249">
        <f t="shared" si="41"/>
        <v>-31.85256160395523</v>
      </c>
      <c r="T126" s="249">
        <f t="shared" si="42"/>
        <v>-140.13159754792372</v>
      </c>
    </row>
    <row r="127" spans="1:20" s="239" customFormat="1" x14ac:dyDescent="0.3">
      <c r="A127" s="239">
        <f t="shared" si="35"/>
        <v>36.914252662377727</v>
      </c>
      <c r="B127" s="248">
        <v>572236.76593502203</v>
      </c>
      <c r="C127" s="249">
        <f t="shared" si="36"/>
        <v>-3.8899026546862459</v>
      </c>
      <c r="D127" s="249">
        <f t="shared" si="37"/>
        <v>105.19968659796675</v>
      </c>
      <c r="E127" s="248">
        <f t="shared" si="38"/>
        <v>-33.024350007691481</v>
      </c>
      <c r="F127" s="261">
        <f t="shared" si="38"/>
        <v>-144.16632913012245</v>
      </c>
      <c r="G127" s="250">
        <f t="shared" si="39"/>
        <v>-36.914252662377727</v>
      </c>
      <c r="H127" s="250">
        <f t="shared" si="39"/>
        <v>-38.966642532155703</v>
      </c>
      <c r="I127" s="263" t="str">
        <f t="shared" si="26"/>
        <v>-185.418522036463i</v>
      </c>
      <c r="J127" s="263" t="str">
        <f t="shared" si="27"/>
        <v>-5917.61240541902i</v>
      </c>
      <c r="K127" s="263" t="str">
        <f t="shared" si="28"/>
        <v>1493.87210710452-5498.48166067171i</v>
      </c>
      <c r="L127" s="263">
        <f t="shared" si="29"/>
        <v>56874.999999999993</v>
      </c>
      <c r="M127" s="263" t="str">
        <f t="shared" si="30"/>
        <v>-0.167537058740694+0.616652148860379i</v>
      </c>
      <c r="N127" s="263" t="str">
        <f t="shared" si="31"/>
        <v>1+685.863554677505i</v>
      </c>
      <c r="O127" s="239" t="str">
        <f t="shared" si="32"/>
        <v>1+0.0916844758187478i</v>
      </c>
      <c r="P127" s="239" t="str">
        <f t="shared" si="33"/>
        <v>0.00274293102418136-0.02944482485097i</v>
      </c>
      <c r="Q127" s="263" t="str">
        <f t="shared" si="34"/>
        <v>0.38327983387125-0.650377738137236i</v>
      </c>
      <c r="R127" s="239" t="str">
        <f t="shared" si="40"/>
        <v>-0.0180989484391524-0.0130695488526214i</v>
      </c>
      <c r="S127" s="249">
        <f t="shared" si="41"/>
        <v>-33.024350007691481</v>
      </c>
      <c r="T127" s="249">
        <f t="shared" si="42"/>
        <v>-144.16632913012245</v>
      </c>
    </row>
    <row r="128" spans="1:20" s="239" customFormat="1" x14ac:dyDescent="0.3">
      <c r="A128" s="239">
        <f t="shared" si="35"/>
        <v>38.89471874129859</v>
      </c>
      <c r="B128" s="248">
        <v>628029.14418342605</v>
      </c>
      <c r="C128" s="249">
        <f t="shared" si="36"/>
        <v>-4.6438903089018089</v>
      </c>
      <c r="D128" s="249">
        <f t="shared" si="37"/>
        <v>103.90940744584944</v>
      </c>
      <c r="E128" s="248">
        <f t="shared" si="38"/>
        <v>-34.25082843239678</v>
      </c>
      <c r="F128" s="261">
        <f t="shared" si="38"/>
        <v>-148.37417687475576</v>
      </c>
      <c r="G128" s="250">
        <f t="shared" si="39"/>
        <v>-38.89471874129859</v>
      </c>
      <c r="H128" s="250">
        <f t="shared" si="39"/>
        <v>-44.464769428906322</v>
      </c>
      <c r="I128" s="263" t="str">
        <f t="shared" si="26"/>
        <v>-168.946451573604i</v>
      </c>
      <c r="J128" s="263" t="str">
        <f t="shared" si="27"/>
        <v>-5391.9080289448i</v>
      </c>
      <c r="K128" s="263" t="str">
        <f t="shared" si="28"/>
        <v>1255.79791091072-5070.87338445504i</v>
      </c>
      <c r="L128" s="263">
        <f t="shared" si="29"/>
        <v>56874.999999999993</v>
      </c>
      <c r="M128" s="263" t="str">
        <f t="shared" si="30"/>
        <v>-0.140837148887184+0.568696080499631i</v>
      </c>
      <c r="N128" s="263" t="str">
        <f t="shared" si="31"/>
        <v>1+752.734404555242i</v>
      </c>
      <c r="O128" s="239" t="str">
        <f t="shared" si="32"/>
        <v>1+0.100623599025954i</v>
      </c>
      <c r="P128" s="239" t="str">
        <f t="shared" si="33"/>
        <v>0.00273564210335737-0.0268290374478048i</v>
      </c>
      <c r="Q128" s="263" t="str">
        <f t="shared" si="34"/>
        <v>0.312885913442144-0.647127807943032i</v>
      </c>
      <c r="R128" s="239" t="str">
        <f t="shared" si="40"/>
        <v>-0.0165058723144597-0.0101647379662922i</v>
      </c>
      <c r="S128" s="249">
        <f t="shared" si="41"/>
        <v>-34.25082843239678</v>
      </c>
      <c r="T128" s="249">
        <f t="shared" si="42"/>
        <v>-148.37417687475576</v>
      </c>
    </row>
    <row r="129" spans="1:20" s="239" customFormat="1" x14ac:dyDescent="0.3">
      <c r="A129" s="239">
        <f t="shared" si="35"/>
        <v>40.943466439241817</v>
      </c>
      <c r="B129" s="248">
        <v>689261.21043497103</v>
      </c>
      <c r="C129" s="249">
        <f t="shared" si="36"/>
        <v>-5.4065434337997402</v>
      </c>
      <c r="D129" s="249">
        <f t="shared" si="37"/>
        <v>102.71976787042102</v>
      </c>
      <c r="E129" s="248">
        <f t="shared" si="38"/>
        <v>-35.536923005442077</v>
      </c>
      <c r="F129" s="261">
        <f t="shared" si="38"/>
        <v>-152.72851390878805</v>
      </c>
      <c r="G129" s="250">
        <f t="shared" si="39"/>
        <v>-40.943466439241817</v>
      </c>
      <c r="H129" s="250">
        <f t="shared" si="39"/>
        <v>-50.008746038367022</v>
      </c>
      <c r="I129" s="263" t="str">
        <f t="shared" si="26"/>
        <v>-153.937714451737i</v>
      </c>
      <c r="J129" s="263" t="str">
        <f t="shared" si="27"/>
        <v>-4912.90578037457i</v>
      </c>
      <c r="K129" s="263" t="str">
        <f t="shared" si="28"/>
        <v>1053.55856148441-4667.4988310518i</v>
      </c>
      <c r="L129" s="263">
        <f t="shared" si="29"/>
        <v>56874.999999999993</v>
      </c>
      <c r="M129" s="263" t="str">
        <f t="shared" si="30"/>
        <v>-0.118156100353392+0.52345781282824i</v>
      </c>
      <c r="N129" s="263" t="str">
        <f t="shared" si="31"/>
        <v>1+826.125079743529i</v>
      </c>
      <c r="O129" s="239" t="str">
        <f t="shared" si="32"/>
        <v>1+0.110434275710453i</v>
      </c>
      <c r="P129" s="239" t="str">
        <f t="shared" si="33"/>
        <v>0.00272959070923921-0.0244456270299014i</v>
      </c>
      <c r="Q129" s="263" t="str">
        <f t="shared" si="34"/>
        <v>0.242446746590271-0.634896981265797i</v>
      </c>
      <c r="R129" s="239" t="str">
        <f t="shared" si="40"/>
        <v>-0.0148586744194559-0.00765977164314592i</v>
      </c>
      <c r="S129" s="249">
        <f t="shared" si="41"/>
        <v>-35.536923005442077</v>
      </c>
      <c r="T129" s="249">
        <f t="shared" si="42"/>
        <v>-152.72851390878805</v>
      </c>
    </row>
    <row r="130" spans="1:20" s="239" customFormat="1" x14ac:dyDescent="0.3">
      <c r="A130" s="239">
        <f t="shared" si="35"/>
        <v>43.063598485902773</v>
      </c>
      <c r="B130" s="248">
        <v>756463.32755462895</v>
      </c>
      <c r="C130" s="249">
        <f t="shared" si="36"/>
        <v>-6.1765442925346399</v>
      </c>
      <c r="D130" s="249">
        <f t="shared" si="37"/>
        <v>101.62500742971478</v>
      </c>
      <c r="E130" s="248">
        <f t="shared" si="38"/>
        <v>-36.887054193368137</v>
      </c>
      <c r="F130" s="261">
        <f t="shared" si="38"/>
        <v>-157.19582138996969</v>
      </c>
      <c r="G130" s="250">
        <f t="shared" si="39"/>
        <v>-43.063598485902773</v>
      </c>
      <c r="H130" s="250">
        <f t="shared" si="39"/>
        <v>-55.57081396025491</v>
      </c>
      <c r="I130" s="263" t="str">
        <f t="shared" si="26"/>
        <v>-140.262312169964i</v>
      </c>
      <c r="J130" s="263" t="str">
        <f t="shared" si="27"/>
        <v>-4476.45677138182i</v>
      </c>
      <c r="K130" s="263" t="str">
        <f t="shared" ref="K130:K133" si="43">IMDIV(IMPRODUCT(IMDIV(IMPRODUCT(J130,IMSUM(Rz*10^3,I130)),IMSUM(J130,IMSUM(Rz*10^3,I130))),Ro_EA*10^3),IMSUM(IMDIV(IMPRODUCT(J130,IMSUM(Rz*10^3,I130)),IMSUM(J130,IMSUM(Rz*10^3,I130))),Ro_EA*10^3))</f>
        <v>882.393118109529-4289.17896798104i</v>
      </c>
      <c r="L130" s="263">
        <f t="shared" si="29"/>
        <v>56874.999999999993</v>
      </c>
      <c r="M130" s="263" t="str">
        <f t="shared" ref="M130:M133" si="44">IMPRODUCT(-gm_EA1*10^-6,K130,IMDIV(RFB_2*10^3,IMSUM(L130,RFB_2*10^3)))</f>
        <v>-0.098959975862751+0.481029416969837i</v>
      </c>
      <c r="N130" s="263" t="str">
        <f t="shared" si="31"/>
        <v>1+906.671255161374i</v>
      </c>
      <c r="O130" s="239" t="str">
        <f t="shared" si="32"/>
        <v>1+0.121201481260341i</v>
      </c>
      <c r="P130" s="239" t="str">
        <f t="shared" ref="P130:P133" si="45">IMPRODUCT(K,IMDIV(O130,N130))</f>
        <v>0.00272456673277536-0.0222739504406587i</v>
      </c>
      <c r="Q130" s="263" t="str">
        <f t="shared" si="34"/>
        <v>0.173961681166329-0.613526552061167i</v>
      </c>
      <c r="R130" s="239" t="str">
        <f t="shared" si="40"/>
        <v>-0.0131916898053552-0.00554640789829271i</v>
      </c>
      <c r="S130" s="249">
        <f t="shared" si="41"/>
        <v>-36.887054193368137</v>
      </c>
      <c r="T130" s="249">
        <f t="shared" si="42"/>
        <v>-157.19582138996969</v>
      </c>
    </row>
    <row r="131" spans="1:20" s="239" customFormat="1" x14ac:dyDescent="0.3">
      <c r="A131" s="239">
        <f t="shared" si="35"/>
        <v>45.257631978511398</v>
      </c>
      <c r="B131" s="248">
        <v>830217.56813197501</v>
      </c>
      <c r="C131" s="249">
        <f t="shared" si="36"/>
        <v>-6.9527543141648271</v>
      </c>
      <c r="D131" s="249">
        <f t="shared" si="37"/>
        <v>100.61918274044558</v>
      </c>
      <c r="E131" s="248">
        <f t="shared" si="38"/>
        <v>-38.30487766434657</v>
      </c>
      <c r="F131" s="261">
        <f t="shared" si="38"/>
        <v>-161.73611879744487</v>
      </c>
      <c r="G131" s="250">
        <f t="shared" si="39"/>
        <v>-45.257631978511398</v>
      </c>
      <c r="H131" s="250">
        <f t="shared" si="39"/>
        <v>-61.116936056999293</v>
      </c>
      <c r="I131" s="263" t="str">
        <f t="shared" si="26"/>
        <v>-127.801794935915i</v>
      </c>
      <c r="J131" s="263" t="str">
        <f t="shared" si="27"/>
        <v>-4078.7806894441i</v>
      </c>
      <c r="K131" s="263" t="str">
        <f t="shared" si="43"/>
        <v>737.979045640409-3936.06746012513i</v>
      </c>
      <c r="L131" s="263">
        <f t="shared" si="29"/>
        <v>56874.999999999993</v>
      </c>
      <c r="M131" s="263" t="str">
        <f t="shared" si="44"/>
        <v>-0.0827640051185506+0.441428126369174i</v>
      </c>
      <c r="N131" s="263" t="str">
        <f t="shared" si="31"/>
        <v>1+995.070583247648i</v>
      </c>
      <c r="O131" s="239" t="str">
        <f t="shared" si="32"/>
        <v>1+0.133018476059154i</v>
      </c>
      <c r="P131" s="239" t="str">
        <f t="shared" si="45"/>
        <v>0.00272039573735412-0.0202951982647482i</v>
      </c>
      <c r="Q131" s="263" t="str">
        <f t="shared" si="34"/>
        <v>0.109493256290175-0.583417112829399i</v>
      </c>
      <c r="R131" s="239" t="str">
        <f t="shared" si="40"/>
        <v>-0.0115427009882388-0.00380931277190253i</v>
      </c>
      <c r="S131" s="249">
        <f t="shared" si="41"/>
        <v>-38.30487766434657</v>
      </c>
      <c r="T131" s="249">
        <f t="shared" si="42"/>
        <v>-161.73611879744487</v>
      </c>
    </row>
    <row r="132" spans="1:20" s="239" customFormat="1" x14ac:dyDescent="0.3">
      <c r="A132" s="239">
        <f t="shared" si="35"/>
        <v>47.527233225121265</v>
      </c>
      <c r="B132" s="248">
        <v>911162.75611549104</v>
      </c>
      <c r="C132" s="249">
        <f t="shared" si="36"/>
        <v>-7.7341962453571362</v>
      </c>
      <c r="D132" s="249">
        <f t="shared" si="37"/>
        <v>99.696325167158889</v>
      </c>
      <c r="E132" s="248">
        <f t="shared" si="38"/>
        <v>-39.793036979764125</v>
      </c>
      <c r="F132" s="261">
        <f t="shared" si="38"/>
        <v>-166.30390123010352</v>
      </c>
      <c r="G132" s="250">
        <f t="shared" si="39"/>
        <v>-47.527233225121265</v>
      </c>
      <c r="H132" s="250">
        <f t="shared" si="39"/>
        <v>-66.607576062944631</v>
      </c>
      <c r="I132" s="263" t="str">
        <f t="shared" si="26"/>
        <v>-116.448235710315i</v>
      </c>
      <c r="J132" s="263" t="str">
        <f t="shared" si="27"/>
        <v>-3716.43305458452i</v>
      </c>
      <c r="K132" s="263" t="str">
        <f t="shared" si="43"/>
        <v>616.456252686734-3607.81088698661i</v>
      </c>
      <c r="L132" s="263">
        <f t="shared" si="29"/>
        <v>56874.999999999993</v>
      </c>
      <c r="M132" s="263" t="str">
        <f t="shared" si="44"/>
        <v>-0.0691352806751478+0.404614305082611i</v>
      </c>
      <c r="N132" s="263" t="str">
        <f t="shared" si="31"/>
        <v>1+1092.08873669275i</v>
      </c>
      <c r="O132" s="239" t="str">
        <f t="shared" si="32"/>
        <v>1+0.14598761326269i</v>
      </c>
      <c r="P132" s="239" t="str">
        <f t="shared" si="45"/>
        <v>0.00271693290236989-0.0184922319576549i</v>
      </c>
      <c r="Q132" s="263" t="str">
        <f t="shared" si="34"/>
        <v>0.0509724263253817-0.545549119316851i</v>
      </c>
      <c r="R132" s="239" t="str">
        <f t="shared" si="40"/>
        <v>-0.0099499321965045-0.0024248142831843i</v>
      </c>
      <c r="S132" s="249">
        <f t="shared" si="41"/>
        <v>-39.793036979764125</v>
      </c>
      <c r="T132" s="249">
        <f t="shared" si="42"/>
        <v>-166.30390123010352</v>
      </c>
    </row>
    <row r="133" spans="1:20" s="239" customFormat="1" x14ac:dyDescent="0.3">
      <c r="A133" s="239">
        <f t="shared" si="35"/>
        <v>49.872991413799561</v>
      </c>
      <c r="B133" s="248">
        <v>1000000</v>
      </c>
      <c r="C133" s="249">
        <f t="shared" si="36"/>
        <v>-8.520035938857168</v>
      </c>
      <c r="D133" s="249">
        <f t="shared" si="37"/>
        <v>98.850559495577045</v>
      </c>
      <c r="E133" s="248">
        <f t="shared" si="38"/>
        <v>-41.352955474942391</v>
      </c>
      <c r="F133" s="261">
        <f t="shared" si="38"/>
        <v>-170.84956102003761</v>
      </c>
      <c r="G133" s="250">
        <f t="shared" si="39"/>
        <v>-49.872991413799561</v>
      </c>
      <c r="H133" s="250">
        <f t="shared" si="39"/>
        <v>-71.999001524460567</v>
      </c>
      <c r="I133" s="263" t="str">
        <f t="shared" si="26"/>
        <v>-106.103295394597i</v>
      </c>
      <c r="J133" s="263" t="str">
        <f t="shared" si="27"/>
        <v>-3386.27538493395i</v>
      </c>
      <c r="K133" s="263" t="str">
        <f t="shared" si="43"/>
        <v>514.422914426342-3303.68442727228i</v>
      </c>
      <c r="L133" s="263">
        <f t="shared" si="29"/>
        <v>56874.999999999993</v>
      </c>
      <c r="M133" s="263" t="str">
        <f t="shared" si="44"/>
        <v>-0.0576922894683749+0.370506664740817i</v>
      </c>
      <c r="N133" s="263" t="str">
        <f t="shared" si="31"/>
        <v>1+1198.56604032916i</v>
      </c>
      <c r="O133" s="239" t="str">
        <f t="shared" si="32"/>
        <v>1+0.160221225333079i</v>
      </c>
      <c r="P133" s="239" t="str">
        <f t="shared" si="45"/>
        <v>0.00271405799502818-0.0168494354358862i</v>
      </c>
      <c r="Q133" s="263" t="str">
        <f t="shared" si="34"/>
        <v>-0.501423469424107i</v>
      </c>
      <c r="R133" s="239" t="str">
        <f t="shared" si="40"/>
        <v>-0.00844870237409955-0.00136089237608527i</v>
      </c>
      <c r="S133" s="249">
        <f t="shared" si="41"/>
        <v>-41.352955474942391</v>
      </c>
      <c r="T133" s="249">
        <f t="shared" si="42"/>
        <v>-170.84956102003761</v>
      </c>
    </row>
    <row r="134" spans="1:20" s="239" customFormat="1" x14ac:dyDescent="0.3">
      <c r="F134" s="247"/>
      <c r="N134" s="263"/>
      <c r="P134" s="263"/>
      <c r="Q134" s="262"/>
      <c r="R134" s="262"/>
      <c r="S134" s="262"/>
      <c r="T134" s="262"/>
    </row>
    <row r="135" spans="1:20" s="239" customFormat="1" x14ac:dyDescent="0.3">
      <c r="A135" s="239">
        <f t="shared" ref="A135" si="46">ABS(G135)</f>
        <v>0.24517437166234579</v>
      </c>
      <c r="B135" s="248">
        <f>fc*1000</f>
        <v>40000</v>
      </c>
      <c r="C135" s="249">
        <f t="shared" ref="C135" si="47">20*LOG(IMABS(M135))</f>
        <v>7.2785910631243116</v>
      </c>
      <c r="D135" s="249">
        <f t="shared" ref="D135" si="48">IF(180/PI()*IMARGUMENT(M135)&gt;0,180/PI()*IMARGUMENT(M135),360+180/PI()*IMARGUMENT(M135))</f>
        <v>159.27752145635174</v>
      </c>
      <c r="E135" s="248">
        <f t="shared" ref="E135" si="49">S135</f>
        <v>-7.5237654347866574</v>
      </c>
      <c r="F135" s="261">
        <f t="shared" ref="F135" si="50">T135</f>
        <v>-93.006157914051116</v>
      </c>
      <c r="G135" s="250">
        <f t="shared" ref="G135" si="51">C135+E135</f>
        <v>-0.24517437166234579</v>
      </c>
      <c r="H135" s="250">
        <f t="shared" ref="H135" si="52">D135+F135</f>
        <v>66.27136354230062</v>
      </c>
      <c r="I135" s="263" t="str">
        <f t="shared" si="26"/>
        <v>-2652.58238486492i</v>
      </c>
      <c r="J135" s="263" t="str">
        <f t="shared" si="27"/>
        <v>-84656.8846233487i</v>
      </c>
      <c r="K135" s="263" t="str">
        <f t="shared" ref="K135" si="53">IMDIV(IMPRODUCT(IMDIV(IMPRODUCT(J135,IMSUM(Rz*10^3,I135)),IMSUM(J135,IMSUM(Rz*10^3,I135))),Ro_EA*10^3),IMSUM(IMDIV(IMPRODUCT(J135,IMSUM(Rz*10^3,I135)),IMSUM(J135,IMSUM(Rz*10^3,I135))),Ro_EA*10^3))</f>
        <v>19279.0429892576-7293.58817942426i</v>
      </c>
      <c r="L135" s="263">
        <f>IF($E$1="Feedforward RC",IMDIV(IMPRODUCT(IMSUM(Rz_2*10^3,IMDIV(1,COMPLEX(0,2*PI()*$B135*Cz_2*10^-12))),RFB_1*10^3),IMSUM(IMSUM(Rz_2*10^3,IMDIV(1,COMPLEX(0,2*PI()*$B135*Cz_2*10^-12))),RFB_1*10^3)),RFB_1*10^3)</f>
        <v>56874.999999999993</v>
      </c>
      <c r="M135" s="263" t="str">
        <f t="shared" ref="M135" si="54">IMPRODUCT(-gm_EA1*10^-6,K135,IMDIV(RFB_2*10^3,IMSUM(L135,RFB_2*10^3)))</f>
        <v>-2.16213566234665+0.817972506103656i</v>
      </c>
      <c r="N135" s="263" t="str">
        <f>COMPLEX(1,2*PI()*B135*1/(1/(Vreg/Iout_PreReg*Number_Cout*Co*10^-6)+(m_c*(1-Vreg/Vin_nom)-0.5)/(fsw*10^3*L_buck*10^-6*Number_Cout*Co*10^-6)))</f>
        <v>1+47.9426416131665i</v>
      </c>
      <c r="O135" s="239" t="str">
        <f>COMPLEX(1,2*PI()*B135*(ESR*10^-3*Co*10^-6))</f>
        <v>1+0.00640884901332318i</v>
      </c>
      <c r="P135" s="239" t="str">
        <f t="shared" ref="P135" si="55">IMPRODUCT(K,IMDIV(O135,N135))</f>
        <v>0.0114824320629586-0.421052992886405i</v>
      </c>
      <c r="Q135" s="263" t="str">
        <f t="shared" ref="Q135" si="56">IMDIV(1,IMSUM(COMPLEX(1,2*PI()*B135/(wn*Qp)),IMPRODUCT(COMPLEX(0,2*PI()*B135/wn),COMPLEX(0,2*PI()*B135/wn))))</f>
        <v>0.995248769487349-0.0795211058296368i</v>
      </c>
      <c r="R135" s="239" t="str">
        <f t="shared" ref="R135" si="57">IMPRODUCT(P135,Q135)</f>
        <v>-0.0220547232258235-0.41996556875442i</v>
      </c>
      <c r="S135" s="249">
        <f t="shared" ref="S135" si="58">20*LOG(IMABS(R135))</f>
        <v>-7.5237654347866574</v>
      </c>
      <c r="T135" s="249">
        <f t="shared" ref="T135" si="59">180/PI()*IMARGUMENT(R135)</f>
        <v>-93.006157914051116</v>
      </c>
    </row>
    <row r="136" spans="1:20" s="239" customFormat="1" x14ac:dyDescent="0.3">
      <c r="C136" s="249">
        <f>20*LOG(IMABS((-gm_EA1*10^-6*Rz*10^3)))</f>
        <v>24.389070741536219</v>
      </c>
      <c r="F136" s="247"/>
      <c r="N136" s="263"/>
      <c r="O136" s="263"/>
      <c r="P136" s="263"/>
      <c r="Q136" s="262"/>
      <c r="R136" s="262"/>
      <c r="S136" s="262"/>
    </row>
    <row r="137" spans="1:20" s="239" customFormat="1" x14ac:dyDescent="0.3">
      <c r="F137" s="247"/>
      <c r="N137" s="263"/>
      <c r="O137" s="263"/>
      <c r="P137" s="263"/>
      <c r="Q137" s="262"/>
      <c r="R137" s="262"/>
      <c r="S137" s="262"/>
    </row>
    <row r="138" spans="1:20" s="239" customFormat="1" x14ac:dyDescent="0.3">
      <c r="F138" s="247"/>
      <c r="N138" s="263"/>
      <c r="O138" s="263"/>
      <c r="P138" s="263"/>
      <c r="Q138" s="262"/>
      <c r="R138" s="262"/>
      <c r="S138" s="262"/>
    </row>
    <row r="139" spans="1:20" s="239" customFormat="1" x14ac:dyDescent="0.3">
      <c r="F139" s="247"/>
      <c r="N139" s="263"/>
      <c r="O139" s="263"/>
      <c r="P139" s="263"/>
      <c r="Q139" s="262"/>
      <c r="R139" s="262"/>
      <c r="S139" s="262"/>
    </row>
    <row r="140" spans="1:20" s="239" customFormat="1" x14ac:dyDescent="0.3">
      <c r="F140" s="247"/>
      <c r="N140" s="263"/>
      <c r="O140" s="263"/>
      <c r="P140" s="263"/>
      <c r="Q140" s="262"/>
      <c r="R140" s="262"/>
      <c r="S140" s="262"/>
    </row>
    <row r="141" spans="1:20" s="239" customFormat="1" x14ac:dyDescent="0.3">
      <c r="F141" s="247"/>
      <c r="N141" s="263"/>
      <c r="O141" s="263"/>
      <c r="P141" s="263"/>
      <c r="Q141" s="262"/>
      <c r="R141" s="262"/>
      <c r="S141" s="262"/>
    </row>
    <row r="142" spans="1:20" s="239" customFormat="1" x14ac:dyDescent="0.3">
      <c r="F142" s="247"/>
      <c r="N142" s="263"/>
      <c r="O142" s="263"/>
      <c r="P142" s="263"/>
      <c r="Q142" s="262"/>
      <c r="R142" s="262"/>
      <c r="S142" s="262"/>
    </row>
    <row r="143" spans="1:20" s="239" customFormat="1" x14ac:dyDescent="0.3">
      <c r="F143" s="247"/>
      <c r="N143" s="263"/>
      <c r="O143" s="263"/>
      <c r="P143" s="263"/>
      <c r="Q143" s="262"/>
      <c r="R143" s="262"/>
      <c r="S143" s="262"/>
    </row>
    <row r="144" spans="1:20" s="239" customFormat="1" x14ac:dyDescent="0.3">
      <c r="F144" s="247"/>
      <c r="N144" s="263"/>
      <c r="O144" s="263"/>
      <c r="P144" s="263"/>
      <c r="Q144" s="262"/>
      <c r="R144" s="262"/>
      <c r="S144" s="262"/>
    </row>
    <row r="145" spans="6:6" s="239" customFormat="1" x14ac:dyDescent="0.3">
      <c r="F145" s="247"/>
    </row>
    <row r="146" spans="6:6" s="239" customFormat="1" x14ac:dyDescent="0.3">
      <c r="F146" s="247"/>
    </row>
    <row r="147" spans="6:6" s="239" customFormat="1" x14ac:dyDescent="0.3">
      <c r="F147" s="247"/>
    </row>
    <row r="148" spans="6:6" s="239" customFormat="1" x14ac:dyDescent="0.3">
      <c r="F148" s="247"/>
    </row>
    <row r="149" spans="6:6" s="239" customFormat="1" x14ac:dyDescent="0.3">
      <c r="F149" s="247"/>
    </row>
    <row r="150" spans="6:6" s="239" customFormat="1" x14ac:dyDescent="0.3">
      <c r="F150" s="247"/>
    </row>
    <row r="151" spans="6:6" s="239" customFormat="1" x14ac:dyDescent="0.3">
      <c r="F151" s="247"/>
    </row>
    <row r="152" spans="6:6" s="239" customFormat="1" x14ac:dyDescent="0.3">
      <c r="F152" s="247"/>
    </row>
    <row r="153" spans="6:6" s="239" customFormat="1" x14ac:dyDescent="0.3">
      <c r="F153" s="247"/>
    </row>
    <row r="154" spans="6:6" s="239" customFormat="1" x14ac:dyDescent="0.3">
      <c r="F154" s="247"/>
    </row>
    <row r="155" spans="6:6" s="239" customFormat="1" x14ac:dyDescent="0.3">
      <c r="F155" s="247"/>
    </row>
    <row r="156" spans="6:6" s="239" customFormat="1" x14ac:dyDescent="0.3">
      <c r="F156" s="247"/>
    </row>
    <row r="157" spans="6:6" s="239" customFormat="1" x14ac:dyDescent="0.3">
      <c r="F157" s="247"/>
    </row>
    <row r="158" spans="6:6" s="239" customFormat="1" x14ac:dyDescent="0.3">
      <c r="F158" s="247"/>
    </row>
    <row r="159" spans="6:6" s="239" customFormat="1" x14ac:dyDescent="0.3">
      <c r="F159" s="247"/>
    </row>
    <row r="160" spans="6:6" s="239" customFormat="1" x14ac:dyDescent="0.3">
      <c r="F160" s="247"/>
    </row>
    <row r="161" spans="6:6" s="239" customFormat="1" x14ac:dyDescent="0.3">
      <c r="F161" s="247"/>
    </row>
    <row r="162" spans="6:6" s="239" customFormat="1" x14ac:dyDescent="0.3">
      <c r="F162" s="247"/>
    </row>
    <row r="163" spans="6:6" s="239" customFormat="1" x14ac:dyDescent="0.3">
      <c r="F163" s="247"/>
    </row>
    <row r="164" spans="6:6" s="239" customFormat="1" x14ac:dyDescent="0.3">
      <c r="F164" s="247"/>
    </row>
    <row r="165" spans="6:6" s="239" customFormat="1" x14ac:dyDescent="0.3">
      <c r="F165" s="247"/>
    </row>
    <row r="166" spans="6:6" s="239" customFormat="1" x14ac:dyDescent="0.3">
      <c r="F166" s="247"/>
    </row>
    <row r="167" spans="6:6" s="239" customFormat="1" x14ac:dyDescent="0.3">
      <c r="F167" s="247"/>
    </row>
    <row r="168" spans="6:6" s="239" customFormat="1" x14ac:dyDescent="0.3">
      <c r="F168" s="247"/>
    </row>
    <row r="169" spans="6:6" s="239" customFormat="1" x14ac:dyDescent="0.3">
      <c r="F169" s="247"/>
    </row>
    <row r="170" spans="6:6" s="239" customFormat="1" x14ac:dyDescent="0.3">
      <c r="F170" s="247"/>
    </row>
    <row r="171" spans="6:6" s="239" customFormat="1" x14ac:dyDescent="0.3">
      <c r="F171" s="247"/>
    </row>
    <row r="172" spans="6:6" s="239" customFormat="1" x14ac:dyDescent="0.3">
      <c r="F172" s="247"/>
    </row>
    <row r="173" spans="6:6" s="239" customFormat="1" x14ac:dyDescent="0.3">
      <c r="F173" s="247"/>
    </row>
    <row r="174" spans="6:6" s="239" customFormat="1" x14ac:dyDescent="0.3">
      <c r="F174" s="247"/>
    </row>
    <row r="175" spans="6:6" s="239" customFormat="1" x14ac:dyDescent="0.3">
      <c r="F175" s="247"/>
    </row>
    <row r="176" spans="6:6" s="239" customFormat="1" x14ac:dyDescent="0.3">
      <c r="F176" s="247"/>
    </row>
    <row r="177" spans="6:6" s="239" customFormat="1" x14ac:dyDescent="0.3">
      <c r="F177" s="247"/>
    </row>
    <row r="178" spans="6:6" s="239" customFormat="1" x14ac:dyDescent="0.3">
      <c r="F178" s="247"/>
    </row>
    <row r="179" spans="6:6" s="239" customFormat="1" x14ac:dyDescent="0.3">
      <c r="F179" s="247"/>
    </row>
    <row r="180" spans="6:6" s="239" customFormat="1" x14ac:dyDescent="0.3">
      <c r="F180" s="247"/>
    </row>
    <row r="181" spans="6:6" s="239" customFormat="1" x14ac:dyDescent="0.3">
      <c r="F181" s="247"/>
    </row>
    <row r="182" spans="6:6" s="239" customFormat="1" x14ac:dyDescent="0.3">
      <c r="F182" s="247"/>
    </row>
    <row r="183" spans="6:6" s="239" customFormat="1" x14ac:dyDescent="0.3">
      <c r="F183" s="247"/>
    </row>
    <row r="184" spans="6:6" s="239" customFormat="1" x14ac:dyDescent="0.3">
      <c r="F184" s="247"/>
    </row>
    <row r="185" spans="6:6" s="239" customFormat="1" x14ac:dyDescent="0.3">
      <c r="F185" s="247"/>
    </row>
    <row r="186" spans="6:6" s="239" customFormat="1" x14ac:dyDescent="0.3">
      <c r="F186" s="247"/>
    </row>
    <row r="187" spans="6:6" s="239" customFormat="1" x14ac:dyDescent="0.3">
      <c r="F187" s="247"/>
    </row>
    <row r="188" spans="6:6" s="239" customFormat="1" x14ac:dyDescent="0.3">
      <c r="F188" s="247"/>
    </row>
    <row r="189" spans="6:6" s="239" customFormat="1" x14ac:dyDescent="0.3">
      <c r="F189" s="247"/>
    </row>
    <row r="190" spans="6:6" s="239" customFormat="1" x14ac:dyDescent="0.3">
      <c r="F190" s="247"/>
    </row>
    <row r="191" spans="6:6" s="239" customFormat="1" x14ac:dyDescent="0.3">
      <c r="F191" s="247"/>
    </row>
    <row r="192" spans="6:6" s="239" customFormat="1" x14ac:dyDescent="0.3">
      <c r="F192" s="247"/>
    </row>
    <row r="193" spans="6:6" s="239" customFormat="1" x14ac:dyDescent="0.3">
      <c r="F193" s="247"/>
    </row>
    <row r="194" spans="6:6" s="239" customFormat="1" x14ac:dyDescent="0.3">
      <c r="F194" s="247"/>
    </row>
    <row r="195" spans="6:6" s="239" customFormat="1" x14ac:dyDescent="0.3">
      <c r="F195" s="247"/>
    </row>
    <row r="196" spans="6:6" s="239" customFormat="1" x14ac:dyDescent="0.3">
      <c r="F196" s="247"/>
    </row>
    <row r="197" spans="6:6" s="239" customFormat="1" x14ac:dyDescent="0.3">
      <c r="F197" s="247"/>
    </row>
    <row r="198" spans="6:6" s="239" customFormat="1" x14ac:dyDescent="0.3">
      <c r="F198" s="247"/>
    </row>
    <row r="199" spans="6:6" s="239" customFormat="1" x14ac:dyDescent="0.3">
      <c r="F199" s="247"/>
    </row>
    <row r="200" spans="6:6" s="239" customFormat="1" x14ac:dyDescent="0.3">
      <c r="F200" s="247"/>
    </row>
    <row r="201" spans="6:6" s="239" customFormat="1" x14ac:dyDescent="0.3">
      <c r="F201" s="247"/>
    </row>
    <row r="202" spans="6:6" s="239" customFormat="1" x14ac:dyDescent="0.3">
      <c r="F202" s="247"/>
    </row>
    <row r="203" spans="6:6" s="239" customFormat="1" x14ac:dyDescent="0.3">
      <c r="F203" s="247"/>
    </row>
    <row r="204" spans="6:6" s="239" customFormat="1" x14ac:dyDescent="0.3">
      <c r="F204" s="247"/>
    </row>
    <row r="205" spans="6:6" s="239" customFormat="1" x14ac:dyDescent="0.3">
      <c r="F205" s="247"/>
    </row>
    <row r="206" spans="6:6" s="239" customFormat="1" x14ac:dyDescent="0.3">
      <c r="F206" s="247"/>
    </row>
    <row r="207" spans="6:6" s="239" customFormat="1" x14ac:dyDescent="0.3">
      <c r="F207" s="247"/>
    </row>
    <row r="208" spans="6:6" s="239" customFormat="1" x14ac:dyDescent="0.3">
      <c r="F208" s="247"/>
    </row>
    <row r="209" spans="6:6" s="239" customFormat="1" x14ac:dyDescent="0.3">
      <c r="F209" s="247"/>
    </row>
    <row r="210" spans="6:6" s="239" customFormat="1" x14ac:dyDescent="0.3">
      <c r="F210" s="247"/>
    </row>
    <row r="211" spans="6:6" s="239" customFormat="1" x14ac:dyDescent="0.3">
      <c r="F211" s="247"/>
    </row>
    <row r="212" spans="6:6" s="239" customFormat="1" x14ac:dyDescent="0.3">
      <c r="F212" s="247"/>
    </row>
    <row r="213" spans="6:6" s="239" customFormat="1" x14ac:dyDescent="0.3">
      <c r="F213" s="247"/>
    </row>
    <row r="214" spans="6:6" s="239" customFormat="1" x14ac:dyDescent="0.3">
      <c r="F214" s="247"/>
    </row>
    <row r="215" spans="6:6" s="239" customFormat="1" x14ac:dyDescent="0.3">
      <c r="F215" s="247"/>
    </row>
    <row r="216" spans="6:6" s="239" customFormat="1" x14ac:dyDescent="0.3">
      <c r="F216" s="247"/>
    </row>
    <row r="217" spans="6:6" s="239" customFormat="1" x14ac:dyDescent="0.3">
      <c r="F217" s="247"/>
    </row>
    <row r="218" spans="6:6" s="239" customFormat="1" x14ac:dyDescent="0.3">
      <c r="F218" s="247"/>
    </row>
    <row r="219" spans="6:6" s="239" customFormat="1" x14ac:dyDescent="0.3">
      <c r="F219" s="247"/>
    </row>
    <row r="220" spans="6:6" s="239" customFormat="1" x14ac:dyDescent="0.3">
      <c r="F220" s="247"/>
    </row>
    <row r="221" spans="6:6" s="239" customFormat="1" x14ac:dyDescent="0.3">
      <c r="F221" s="247"/>
    </row>
    <row r="222" spans="6:6" s="239" customFormat="1" x14ac:dyDescent="0.3">
      <c r="F222" s="247"/>
    </row>
    <row r="223" spans="6:6" s="239" customFormat="1" x14ac:dyDescent="0.3">
      <c r="F223" s="247"/>
    </row>
    <row r="224" spans="6:6" s="239" customFormat="1" x14ac:dyDescent="0.3">
      <c r="F224" s="247"/>
    </row>
    <row r="225" spans="6:6" s="239" customFormat="1" x14ac:dyDescent="0.3">
      <c r="F225" s="247"/>
    </row>
    <row r="226" spans="6:6" s="239" customFormat="1" x14ac:dyDescent="0.3">
      <c r="F226" s="247"/>
    </row>
    <row r="227" spans="6:6" s="239" customFormat="1" x14ac:dyDescent="0.3">
      <c r="F227" s="247"/>
    </row>
    <row r="228" spans="6:6" s="239" customFormat="1" x14ac:dyDescent="0.3">
      <c r="F228" s="247"/>
    </row>
    <row r="229" spans="6:6" s="239" customFormat="1" x14ac:dyDescent="0.3">
      <c r="F229" s="247"/>
    </row>
    <row r="230" spans="6:6" s="239" customFormat="1" x14ac:dyDescent="0.3">
      <c r="F230" s="247"/>
    </row>
    <row r="231" spans="6:6" s="239" customFormat="1" x14ac:dyDescent="0.3">
      <c r="F231" s="247"/>
    </row>
    <row r="232" spans="6:6" s="239" customFormat="1" x14ac:dyDescent="0.3">
      <c r="F232" s="247"/>
    </row>
    <row r="233" spans="6:6" s="239" customFormat="1" x14ac:dyDescent="0.3">
      <c r="F233" s="247"/>
    </row>
    <row r="234" spans="6:6" s="239" customFormat="1" x14ac:dyDescent="0.3">
      <c r="F234" s="247"/>
    </row>
    <row r="235" spans="6:6" s="239" customFormat="1" x14ac:dyDescent="0.3">
      <c r="F235" s="247"/>
    </row>
    <row r="236" spans="6:6" s="239" customFormat="1" x14ac:dyDescent="0.3">
      <c r="F236" s="247"/>
    </row>
    <row r="237" spans="6:6" s="239" customFormat="1" x14ac:dyDescent="0.3">
      <c r="F237" s="247"/>
    </row>
    <row r="238" spans="6:6" s="239" customFormat="1" x14ac:dyDescent="0.3">
      <c r="F238" s="247"/>
    </row>
    <row r="239" spans="6:6" s="239" customFormat="1" x14ac:dyDescent="0.3">
      <c r="F239" s="247"/>
    </row>
    <row r="240" spans="6:6" s="239" customFormat="1" x14ac:dyDescent="0.3">
      <c r="F240" s="247"/>
    </row>
    <row r="241" spans="6:6" s="239" customFormat="1" x14ac:dyDescent="0.3">
      <c r="F241" s="247"/>
    </row>
    <row r="242" spans="6:6" s="239" customFormat="1" x14ac:dyDescent="0.3">
      <c r="F242" s="247"/>
    </row>
    <row r="243" spans="6:6" s="239" customFormat="1" x14ac:dyDescent="0.3">
      <c r="F243" s="247"/>
    </row>
    <row r="244" spans="6:6" s="239" customFormat="1" x14ac:dyDescent="0.3">
      <c r="F244" s="247"/>
    </row>
    <row r="245" spans="6:6" s="239" customFormat="1" x14ac:dyDescent="0.3">
      <c r="F245" s="247"/>
    </row>
    <row r="246" spans="6:6" s="239" customFormat="1" x14ac:dyDescent="0.3">
      <c r="F246" s="247"/>
    </row>
    <row r="247" spans="6:6" s="239" customFormat="1" x14ac:dyDescent="0.3">
      <c r="F247" s="247"/>
    </row>
    <row r="248" spans="6:6" s="239" customFormat="1" x14ac:dyDescent="0.3">
      <c r="F248" s="247"/>
    </row>
    <row r="249" spans="6:6" s="283" customFormat="1" x14ac:dyDescent="0.3">
      <c r="F249" s="288"/>
    </row>
    <row r="250" spans="6:6" s="283" customFormat="1" x14ac:dyDescent="0.3">
      <c r="F250" s="288"/>
    </row>
    <row r="251" spans="6:6" s="283" customFormat="1" x14ac:dyDescent="0.3">
      <c r="F251" s="288"/>
    </row>
    <row r="252" spans="6:6" s="283" customFormat="1" x14ac:dyDescent="0.3">
      <c r="F252" s="288"/>
    </row>
    <row r="253" spans="6:6" s="283" customFormat="1" x14ac:dyDescent="0.3">
      <c r="F253" s="288"/>
    </row>
    <row r="254" spans="6:6" s="283" customFormat="1" x14ac:dyDescent="0.3">
      <c r="F254" s="288"/>
    </row>
    <row r="255" spans="6:6" s="283" customFormat="1" x14ac:dyDescent="0.3">
      <c r="F255" s="288"/>
    </row>
    <row r="256" spans="6:6" s="283" customFormat="1" x14ac:dyDescent="0.3">
      <c r="F256" s="288"/>
    </row>
    <row r="257" spans="6:6" s="283" customFormat="1" x14ac:dyDescent="0.3">
      <c r="F257" s="288"/>
    </row>
    <row r="258" spans="6:6" s="283" customFormat="1" x14ac:dyDescent="0.3">
      <c r="F258" s="288"/>
    </row>
    <row r="259" spans="6:6" s="283" customFormat="1" x14ac:dyDescent="0.3">
      <c r="F259" s="288"/>
    </row>
    <row r="260" spans="6:6" s="283" customFormat="1" x14ac:dyDescent="0.3">
      <c r="F260" s="288"/>
    </row>
    <row r="261" spans="6:6" s="283" customFormat="1" x14ac:dyDescent="0.3">
      <c r="F261" s="288"/>
    </row>
    <row r="262" spans="6:6" s="283" customFormat="1" x14ac:dyDescent="0.3">
      <c r="F262" s="288"/>
    </row>
    <row r="263" spans="6:6" s="283" customFormat="1" x14ac:dyDescent="0.3">
      <c r="F263" s="288"/>
    </row>
    <row r="264" spans="6:6" s="283" customFormat="1" x14ac:dyDescent="0.3">
      <c r="F264" s="288"/>
    </row>
    <row r="265" spans="6:6" s="283" customFormat="1" x14ac:dyDescent="0.3">
      <c r="F265" s="288"/>
    </row>
    <row r="266" spans="6:6" s="283" customFormat="1" x14ac:dyDescent="0.3">
      <c r="F266" s="288"/>
    </row>
    <row r="267" spans="6:6" s="283" customFormat="1" x14ac:dyDescent="0.3">
      <c r="F267" s="288"/>
    </row>
    <row r="268" spans="6:6" s="283" customFormat="1" x14ac:dyDescent="0.3">
      <c r="F268" s="288"/>
    </row>
    <row r="269" spans="6:6" s="283" customFormat="1" x14ac:dyDescent="0.3">
      <c r="F269" s="288"/>
    </row>
    <row r="270" spans="6:6" s="283" customFormat="1" x14ac:dyDescent="0.3">
      <c r="F270" s="288"/>
    </row>
    <row r="271" spans="6:6" s="283" customFormat="1" x14ac:dyDescent="0.3">
      <c r="F271" s="288"/>
    </row>
    <row r="272" spans="6:6" s="283" customFormat="1" x14ac:dyDescent="0.3">
      <c r="F272" s="288"/>
    </row>
    <row r="273" spans="6:6" s="283" customFormat="1" x14ac:dyDescent="0.3">
      <c r="F273" s="288"/>
    </row>
    <row r="274" spans="6:6" s="283" customFormat="1" x14ac:dyDescent="0.3">
      <c r="F274" s="288"/>
    </row>
    <row r="275" spans="6:6" s="283" customFormat="1" x14ac:dyDescent="0.3">
      <c r="F275" s="288"/>
    </row>
    <row r="276" spans="6:6" s="283" customFormat="1" x14ac:dyDescent="0.3">
      <c r="F276" s="288"/>
    </row>
    <row r="277" spans="6:6" s="283" customFormat="1" x14ac:dyDescent="0.3">
      <c r="F277" s="288"/>
    </row>
    <row r="278" spans="6:6" s="283" customFormat="1" x14ac:dyDescent="0.3">
      <c r="F278" s="288"/>
    </row>
    <row r="279" spans="6:6" s="283" customFormat="1" x14ac:dyDescent="0.3">
      <c r="F279" s="288"/>
    </row>
    <row r="280" spans="6:6" s="283" customFormat="1" x14ac:dyDescent="0.3">
      <c r="F280" s="288"/>
    </row>
    <row r="281" spans="6:6" s="283" customFormat="1" x14ac:dyDescent="0.3">
      <c r="F281" s="288"/>
    </row>
    <row r="282" spans="6:6" s="283" customFormat="1" x14ac:dyDescent="0.3">
      <c r="F282" s="288"/>
    </row>
    <row r="283" spans="6:6" s="283" customFormat="1" x14ac:dyDescent="0.3">
      <c r="F283" s="288"/>
    </row>
    <row r="284" spans="6:6" s="283" customFormat="1" x14ac:dyDescent="0.3">
      <c r="F284" s="288"/>
    </row>
    <row r="285" spans="6:6" s="283" customFormat="1" x14ac:dyDescent="0.3">
      <c r="F285" s="288"/>
    </row>
    <row r="286" spans="6:6" s="283" customFormat="1" x14ac:dyDescent="0.3">
      <c r="F286" s="288"/>
    </row>
    <row r="287" spans="6:6" s="283" customFormat="1" x14ac:dyDescent="0.3">
      <c r="F287" s="288"/>
    </row>
    <row r="288" spans="6:6" s="283" customFormat="1" x14ac:dyDescent="0.3">
      <c r="F288" s="288"/>
    </row>
    <row r="289" spans="6:20" s="283" customFormat="1" x14ac:dyDescent="0.3">
      <c r="F289" s="288"/>
    </row>
    <row r="290" spans="6:20" s="283" customFormat="1" x14ac:dyDescent="0.3">
      <c r="F290" s="288"/>
    </row>
    <row r="291" spans="6:20" s="283" customFormat="1" x14ac:dyDescent="0.3">
      <c r="F291" s="288"/>
    </row>
    <row r="292" spans="6:20" s="283" customFormat="1" x14ac:dyDescent="0.3">
      <c r="F292" s="288"/>
    </row>
    <row r="293" spans="6:20" s="283" customFormat="1" x14ac:dyDescent="0.3">
      <c r="F293" s="288"/>
    </row>
    <row r="294" spans="6:20" s="283" customFormat="1" x14ac:dyDescent="0.3">
      <c r="F294" s="288"/>
    </row>
    <row r="295" spans="6:20" s="283" customFormat="1" x14ac:dyDescent="0.3">
      <c r="F295" s="288"/>
    </row>
    <row r="296" spans="6:20" s="283" customFormat="1" x14ac:dyDescent="0.3">
      <c r="F296" s="288"/>
    </row>
    <row r="297" spans="6:20" s="283" customFormat="1" x14ac:dyDescent="0.3">
      <c r="F297" s="288"/>
    </row>
    <row r="298" spans="6:20" x14ac:dyDescent="0.3">
      <c r="O298" s="283"/>
      <c r="P298" s="283"/>
      <c r="Q298" s="283"/>
      <c r="R298" s="283"/>
      <c r="S298" s="283"/>
      <c r="T298" s="283"/>
    </row>
    <row r="299" spans="6:20" x14ac:dyDescent="0.3">
      <c r="O299" s="283"/>
      <c r="P299" s="283"/>
      <c r="Q299" s="283"/>
      <c r="R299" s="283"/>
      <c r="S299" s="283"/>
      <c r="T299" s="283"/>
    </row>
    <row r="300" spans="6:20" x14ac:dyDescent="0.3">
      <c r="O300" s="283"/>
      <c r="P300" s="283"/>
      <c r="Q300" s="283"/>
      <c r="R300" s="283"/>
      <c r="S300" s="283"/>
      <c r="T300" s="283"/>
    </row>
    <row r="301" spans="6:20" x14ac:dyDescent="0.3">
      <c r="O301" s="283"/>
      <c r="P301" s="283"/>
      <c r="Q301" s="283"/>
      <c r="R301" s="283"/>
      <c r="S301" s="283"/>
      <c r="T301" s="283"/>
    </row>
    <row r="302" spans="6:20" x14ac:dyDescent="0.3">
      <c r="O302" s="283"/>
      <c r="P302" s="283"/>
      <c r="Q302" s="283"/>
      <c r="R302" s="283"/>
      <c r="S302" s="283"/>
      <c r="T302" s="283"/>
    </row>
    <row r="303" spans="6:20" x14ac:dyDescent="0.3">
      <c r="O303" s="283"/>
      <c r="P303" s="283"/>
      <c r="Q303" s="283"/>
      <c r="R303" s="283"/>
      <c r="S303" s="283"/>
      <c r="T303" s="283"/>
    </row>
    <row r="304" spans="6:20" x14ac:dyDescent="0.3">
      <c r="O304" s="283"/>
      <c r="P304" s="283"/>
      <c r="Q304" s="283"/>
      <c r="R304" s="283"/>
      <c r="S304" s="283"/>
      <c r="T304" s="283"/>
    </row>
    <row r="305" spans="15:20" x14ac:dyDescent="0.3">
      <c r="O305" s="283"/>
      <c r="P305" s="283"/>
      <c r="Q305" s="283"/>
      <c r="R305" s="283"/>
      <c r="S305" s="283"/>
      <c r="T305" s="283"/>
    </row>
    <row r="306" spans="15:20" x14ac:dyDescent="0.3">
      <c r="O306" s="283"/>
      <c r="P306" s="283"/>
      <c r="Q306" s="283"/>
      <c r="R306" s="283"/>
      <c r="S306" s="283"/>
      <c r="T306" s="283"/>
    </row>
    <row r="307" spans="15:20" x14ac:dyDescent="0.3">
      <c r="O307" s="283"/>
      <c r="P307" s="283"/>
      <c r="Q307" s="283"/>
      <c r="R307" s="283"/>
      <c r="S307" s="283"/>
      <c r="T307" s="283"/>
    </row>
    <row r="308" spans="15:20" x14ac:dyDescent="0.3">
      <c r="O308" s="283"/>
      <c r="P308" s="283"/>
      <c r="Q308" s="283"/>
      <c r="R308" s="283"/>
      <c r="S308" s="283"/>
      <c r="T308" s="283"/>
    </row>
    <row r="309" spans="15:20" x14ac:dyDescent="0.3">
      <c r="O309" s="283"/>
      <c r="P309" s="283"/>
      <c r="Q309" s="283"/>
      <c r="R309" s="283"/>
      <c r="S309" s="283"/>
      <c r="T309" s="283"/>
    </row>
    <row r="310" spans="15:20" x14ac:dyDescent="0.3">
      <c r="O310" s="283"/>
      <c r="P310" s="283"/>
      <c r="Q310" s="283"/>
      <c r="R310" s="283"/>
      <c r="S310" s="283"/>
      <c r="T310" s="283"/>
    </row>
    <row r="311" spans="15:20" x14ac:dyDescent="0.3">
      <c r="O311" s="283"/>
      <c r="P311" s="283"/>
      <c r="Q311" s="283"/>
      <c r="R311" s="283"/>
      <c r="S311" s="283"/>
      <c r="T311" s="283"/>
    </row>
    <row r="312" spans="15:20" x14ac:dyDescent="0.3">
      <c r="O312" s="283"/>
      <c r="P312" s="283"/>
      <c r="Q312" s="283"/>
      <c r="R312" s="283"/>
      <c r="S312" s="283"/>
      <c r="T312" s="283"/>
    </row>
    <row r="313" spans="15:20" x14ac:dyDescent="0.3">
      <c r="O313" s="283"/>
      <c r="P313" s="283"/>
      <c r="Q313" s="283"/>
      <c r="R313" s="283"/>
      <c r="S313" s="283"/>
      <c r="T313" s="283"/>
    </row>
    <row r="314" spans="15:20" x14ac:dyDescent="0.3">
      <c r="O314" s="283"/>
      <c r="P314" s="283"/>
      <c r="Q314" s="283"/>
      <c r="R314" s="283"/>
      <c r="S314" s="283"/>
      <c r="T314" s="283"/>
    </row>
    <row r="315" spans="15:20" x14ac:dyDescent="0.3">
      <c r="O315" s="283"/>
      <c r="P315" s="283"/>
      <c r="Q315" s="283"/>
      <c r="R315" s="283"/>
      <c r="S315" s="283"/>
      <c r="T315" s="283"/>
    </row>
    <row r="316" spans="15:20" x14ac:dyDescent="0.3">
      <c r="O316" s="283"/>
      <c r="P316" s="283"/>
      <c r="Q316" s="283"/>
      <c r="R316" s="283"/>
      <c r="S316" s="283"/>
      <c r="T316" s="283"/>
    </row>
    <row r="317" spans="15:20" x14ac:dyDescent="0.3">
      <c r="O317" s="283"/>
      <c r="P317" s="283"/>
      <c r="Q317" s="283"/>
      <c r="R317" s="283"/>
      <c r="S317" s="283"/>
      <c r="T317" s="283"/>
    </row>
    <row r="318" spans="15:20" x14ac:dyDescent="0.3">
      <c r="O318" s="283"/>
      <c r="P318" s="283"/>
      <c r="Q318" s="283"/>
      <c r="R318" s="283"/>
      <c r="S318" s="283"/>
      <c r="T318" s="283"/>
    </row>
    <row r="319" spans="15:20" x14ac:dyDescent="0.3">
      <c r="O319" s="283"/>
      <c r="P319" s="283"/>
      <c r="Q319" s="283"/>
      <c r="R319" s="283"/>
      <c r="S319" s="283"/>
      <c r="T319" s="283"/>
    </row>
    <row r="320" spans="15:20" x14ac:dyDescent="0.3">
      <c r="O320" s="283"/>
      <c r="P320" s="283"/>
      <c r="Q320" s="283"/>
      <c r="R320" s="283"/>
      <c r="S320" s="283"/>
      <c r="T320" s="283"/>
    </row>
    <row r="321" spans="15:20" x14ac:dyDescent="0.3">
      <c r="O321" s="283"/>
      <c r="P321" s="283"/>
      <c r="Q321" s="283"/>
      <c r="R321" s="283"/>
      <c r="S321" s="283"/>
      <c r="T321" s="283"/>
    </row>
    <row r="322" spans="15:20" x14ac:dyDescent="0.3">
      <c r="O322" s="283"/>
      <c r="P322" s="283"/>
      <c r="Q322" s="283"/>
      <c r="R322" s="283"/>
      <c r="S322" s="283"/>
      <c r="T322" s="283"/>
    </row>
    <row r="323" spans="15:20" x14ac:dyDescent="0.3">
      <c r="O323" s="283"/>
      <c r="P323" s="283"/>
      <c r="Q323" s="283"/>
      <c r="R323" s="283"/>
      <c r="S323" s="283"/>
      <c r="T323" s="283"/>
    </row>
    <row r="324" spans="15:20" x14ac:dyDescent="0.3">
      <c r="O324" s="283"/>
      <c r="P324" s="283"/>
      <c r="Q324" s="283"/>
      <c r="R324" s="283"/>
      <c r="S324" s="283"/>
      <c r="T324" s="283"/>
    </row>
    <row r="325" spans="15:20" x14ac:dyDescent="0.3">
      <c r="O325" s="283"/>
      <c r="P325" s="283"/>
      <c r="Q325" s="283"/>
      <c r="R325" s="283"/>
      <c r="S325" s="283"/>
      <c r="T325" s="283"/>
    </row>
    <row r="326" spans="15:20" x14ac:dyDescent="0.3">
      <c r="O326" s="283"/>
      <c r="P326" s="283"/>
      <c r="Q326" s="283"/>
      <c r="R326" s="283"/>
      <c r="S326" s="283"/>
      <c r="T326" s="283"/>
    </row>
    <row r="327" spans="15:20" x14ac:dyDescent="0.3">
      <c r="O327" s="283"/>
      <c r="P327" s="283"/>
      <c r="Q327" s="283"/>
      <c r="R327" s="283"/>
      <c r="S327" s="283"/>
      <c r="T327" s="283"/>
    </row>
    <row r="328" spans="15:20" x14ac:dyDescent="0.3">
      <c r="O328" s="283"/>
      <c r="P328" s="283"/>
      <c r="Q328" s="283"/>
      <c r="R328" s="283"/>
      <c r="S328" s="283"/>
      <c r="T328" s="283"/>
    </row>
    <row r="329" spans="15:20" x14ac:dyDescent="0.3">
      <c r="O329" s="283"/>
      <c r="P329" s="283"/>
      <c r="Q329" s="283"/>
      <c r="R329" s="283"/>
      <c r="S329" s="283"/>
      <c r="T329" s="283"/>
    </row>
    <row r="330" spans="15:20" x14ac:dyDescent="0.3">
      <c r="O330" s="283"/>
      <c r="P330" s="283"/>
      <c r="Q330" s="283"/>
      <c r="R330" s="283"/>
      <c r="S330" s="283"/>
      <c r="T330" s="283"/>
    </row>
    <row r="331" spans="15:20" x14ac:dyDescent="0.3">
      <c r="O331" s="283"/>
      <c r="P331" s="283"/>
      <c r="Q331" s="283"/>
      <c r="R331" s="283"/>
      <c r="S331" s="283"/>
      <c r="T331" s="283"/>
    </row>
    <row r="332" spans="15:20" x14ac:dyDescent="0.3">
      <c r="O332" s="283"/>
      <c r="P332" s="283"/>
      <c r="Q332" s="283"/>
      <c r="R332" s="283"/>
      <c r="S332" s="283"/>
      <c r="T332" s="283"/>
    </row>
    <row r="333" spans="15:20" x14ac:dyDescent="0.3">
      <c r="O333" s="283"/>
      <c r="P333" s="283"/>
      <c r="Q333" s="283"/>
      <c r="R333" s="283"/>
      <c r="S333" s="283"/>
      <c r="T333" s="283"/>
    </row>
    <row r="334" spans="15:20" x14ac:dyDescent="0.3">
      <c r="O334" s="283"/>
      <c r="P334" s="283"/>
      <c r="Q334" s="283"/>
      <c r="R334" s="283"/>
      <c r="S334" s="283"/>
      <c r="T334" s="283"/>
    </row>
    <row r="335" spans="15:20" x14ac:dyDescent="0.3">
      <c r="O335" s="283"/>
      <c r="P335" s="283"/>
      <c r="Q335" s="283"/>
      <c r="R335" s="283"/>
      <c r="S335" s="283"/>
      <c r="T335" s="283"/>
    </row>
    <row r="336" spans="15:20" x14ac:dyDescent="0.3">
      <c r="O336" s="283"/>
      <c r="P336" s="283"/>
      <c r="Q336" s="283"/>
      <c r="R336" s="283"/>
      <c r="S336" s="283"/>
      <c r="T336" s="283"/>
    </row>
    <row r="337" spans="15:20" x14ac:dyDescent="0.3">
      <c r="O337" s="283"/>
      <c r="P337" s="283"/>
      <c r="Q337" s="283"/>
      <c r="R337" s="283"/>
      <c r="S337" s="283"/>
      <c r="T337" s="283"/>
    </row>
    <row r="338" spans="15:20" x14ac:dyDescent="0.3">
      <c r="O338" s="283"/>
      <c r="P338" s="283"/>
      <c r="Q338" s="283"/>
      <c r="R338" s="283"/>
      <c r="S338" s="283"/>
      <c r="T338" s="283"/>
    </row>
    <row r="339" spans="15:20" x14ac:dyDescent="0.3">
      <c r="O339" s="283"/>
      <c r="P339" s="283"/>
      <c r="Q339" s="283"/>
      <c r="R339" s="283"/>
      <c r="S339" s="283"/>
      <c r="T339" s="283"/>
    </row>
    <row r="340" spans="15:20" x14ac:dyDescent="0.3">
      <c r="O340" s="283"/>
      <c r="P340" s="283"/>
      <c r="Q340" s="283"/>
      <c r="R340" s="283"/>
      <c r="S340" s="283"/>
      <c r="T340" s="283"/>
    </row>
    <row r="341" spans="15:20" x14ac:dyDescent="0.3">
      <c r="O341" s="283"/>
      <c r="P341" s="283"/>
      <c r="Q341" s="283"/>
      <c r="R341" s="283"/>
      <c r="S341" s="283"/>
      <c r="T341" s="283"/>
    </row>
    <row r="342" spans="15:20" x14ac:dyDescent="0.3">
      <c r="O342" s="283"/>
      <c r="P342" s="283"/>
      <c r="Q342" s="283"/>
      <c r="R342" s="283"/>
      <c r="S342" s="283"/>
      <c r="T342" s="283"/>
    </row>
    <row r="343" spans="15:20" x14ac:dyDescent="0.3">
      <c r="O343" s="283"/>
      <c r="P343" s="283"/>
      <c r="Q343" s="283"/>
      <c r="R343" s="283"/>
      <c r="S343" s="283"/>
      <c r="T343" s="283"/>
    </row>
    <row r="344" spans="15:20" x14ac:dyDescent="0.3">
      <c r="O344" s="283"/>
      <c r="P344" s="283"/>
      <c r="Q344" s="283"/>
      <c r="R344" s="283"/>
      <c r="S344" s="283"/>
      <c r="T344" s="283"/>
    </row>
    <row r="345" spans="15:20" x14ac:dyDescent="0.3">
      <c r="O345" s="283"/>
      <c r="P345" s="283"/>
      <c r="Q345" s="283"/>
      <c r="R345" s="283"/>
      <c r="S345" s="283"/>
      <c r="T345" s="283"/>
    </row>
    <row r="346" spans="15:20" x14ac:dyDescent="0.3">
      <c r="O346" s="283"/>
      <c r="P346" s="283"/>
      <c r="Q346" s="283"/>
      <c r="R346" s="283"/>
      <c r="S346" s="283"/>
      <c r="T346" s="283"/>
    </row>
    <row r="347" spans="15:20" x14ac:dyDescent="0.3">
      <c r="O347" s="283"/>
      <c r="P347" s="283"/>
      <c r="Q347" s="283"/>
      <c r="R347" s="283"/>
      <c r="S347" s="283"/>
      <c r="T347" s="283"/>
    </row>
    <row r="348" spans="15:20" x14ac:dyDescent="0.3">
      <c r="O348" s="283"/>
      <c r="P348" s="283"/>
      <c r="Q348" s="283"/>
      <c r="R348" s="283"/>
      <c r="S348" s="283"/>
      <c r="T348" s="283"/>
    </row>
    <row r="349" spans="15:20" x14ac:dyDescent="0.3">
      <c r="O349" s="283"/>
      <c r="P349" s="283"/>
      <c r="Q349" s="283"/>
      <c r="R349" s="283"/>
      <c r="S349" s="283"/>
      <c r="T349" s="283"/>
    </row>
    <row r="350" spans="15:20" x14ac:dyDescent="0.3">
      <c r="O350" s="283"/>
      <c r="P350" s="283"/>
      <c r="Q350" s="283"/>
      <c r="R350" s="283"/>
      <c r="S350" s="283"/>
      <c r="T350" s="283"/>
    </row>
    <row r="351" spans="15:20" x14ac:dyDescent="0.3">
      <c r="O351" s="283"/>
      <c r="P351" s="283"/>
      <c r="Q351" s="283"/>
      <c r="R351" s="283"/>
      <c r="S351" s="283"/>
      <c r="T351" s="283"/>
    </row>
    <row r="352" spans="15:20" x14ac:dyDescent="0.3">
      <c r="O352" s="283"/>
      <c r="P352" s="283"/>
      <c r="Q352" s="283"/>
      <c r="R352" s="283"/>
      <c r="S352" s="283"/>
      <c r="T352" s="283"/>
    </row>
    <row r="353" spans="15:20" x14ac:dyDescent="0.3">
      <c r="O353" s="283"/>
      <c r="P353" s="283"/>
      <c r="Q353" s="283"/>
      <c r="R353" s="283"/>
      <c r="S353" s="283"/>
      <c r="T353" s="283"/>
    </row>
    <row r="354" spans="15:20" x14ac:dyDescent="0.3">
      <c r="O354" s="283"/>
      <c r="P354" s="283"/>
      <c r="Q354" s="283"/>
      <c r="R354" s="283"/>
      <c r="S354" s="283"/>
      <c r="T354" s="283"/>
    </row>
    <row r="355" spans="15:20" x14ac:dyDescent="0.3">
      <c r="O355" s="283"/>
      <c r="P355" s="283"/>
      <c r="Q355" s="283"/>
      <c r="R355" s="283"/>
      <c r="S355" s="283"/>
      <c r="T355" s="283"/>
    </row>
    <row r="356" spans="15:20" x14ac:dyDescent="0.3">
      <c r="O356" s="283"/>
      <c r="P356" s="283"/>
      <c r="Q356" s="283"/>
      <c r="R356" s="283"/>
      <c r="S356" s="283"/>
      <c r="T356" s="283"/>
    </row>
    <row r="357" spans="15:20" x14ac:dyDescent="0.3">
      <c r="O357" s="283"/>
      <c r="P357" s="283"/>
      <c r="Q357" s="283"/>
      <c r="R357" s="283"/>
      <c r="S357" s="283"/>
      <c r="T357" s="283"/>
    </row>
    <row r="358" spans="15:20" x14ac:dyDescent="0.3">
      <c r="O358" s="283"/>
      <c r="P358" s="283"/>
      <c r="Q358" s="283"/>
      <c r="R358" s="283"/>
      <c r="S358" s="283"/>
      <c r="T358" s="283"/>
    </row>
    <row r="359" spans="15:20" x14ac:dyDescent="0.3">
      <c r="O359" s="283"/>
      <c r="P359" s="283"/>
      <c r="Q359" s="283"/>
      <c r="R359" s="283"/>
      <c r="S359" s="283"/>
      <c r="T359" s="283"/>
    </row>
    <row r="360" spans="15:20" x14ac:dyDescent="0.3">
      <c r="O360" s="283"/>
      <c r="P360" s="283"/>
      <c r="Q360" s="283"/>
      <c r="R360" s="283"/>
      <c r="S360" s="283"/>
      <c r="T360" s="283"/>
    </row>
    <row r="361" spans="15:20" x14ac:dyDescent="0.3">
      <c r="O361" s="283"/>
      <c r="P361" s="283"/>
      <c r="Q361" s="283"/>
      <c r="R361" s="283"/>
      <c r="S361" s="283"/>
      <c r="T361" s="283"/>
    </row>
    <row r="362" spans="15:20" x14ac:dyDescent="0.3">
      <c r="O362" s="283"/>
      <c r="P362" s="283"/>
      <c r="Q362" s="283"/>
      <c r="R362" s="283"/>
      <c r="S362" s="283"/>
      <c r="T362" s="283"/>
    </row>
    <row r="363" spans="15:20" x14ac:dyDescent="0.3">
      <c r="O363" s="283"/>
      <c r="P363" s="283"/>
      <c r="Q363" s="283"/>
      <c r="R363" s="283"/>
      <c r="S363" s="283"/>
      <c r="T363" s="283"/>
    </row>
    <row r="364" spans="15:20" x14ac:dyDescent="0.3">
      <c r="O364" s="283"/>
      <c r="P364" s="283"/>
      <c r="Q364" s="283"/>
      <c r="R364" s="283"/>
      <c r="S364" s="283"/>
      <c r="T364" s="283"/>
    </row>
    <row r="365" spans="15:20" x14ac:dyDescent="0.3">
      <c r="O365" s="283"/>
      <c r="P365" s="283"/>
      <c r="Q365" s="283"/>
      <c r="R365" s="283"/>
      <c r="S365" s="283"/>
      <c r="T365" s="283"/>
    </row>
    <row r="366" spans="15:20" x14ac:dyDescent="0.3">
      <c r="O366" s="283"/>
      <c r="P366" s="283"/>
      <c r="Q366" s="283"/>
      <c r="R366" s="283"/>
      <c r="S366" s="283"/>
      <c r="T366" s="283"/>
    </row>
    <row r="367" spans="15:20" x14ac:dyDescent="0.3">
      <c r="O367" s="283"/>
      <c r="P367" s="283"/>
      <c r="Q367" s="283"/>
      <c r="R367" s="283"/>
      <c r="S367" s="283"/>
      <c r="T367" s="283"/>
    </row>
    <row r="368" spans="15:20" x14ac:dyDescent="0.3">
      <c r="O368" s="283"/>
      <c r="P368" s="283"/>
      <c r="Q368" s="283"/>
      <c r="R368" s="283"/>
      <c r="S368" s="283"/>
      <c r="T368" s="283"/>
    </row>
    <row r="369" spans="15:20" x14ac:dyDescent="0.3">
      <c r="O369" s="283"/>
      <c r="P369" s="283"/>
      <c r="Q369" s="283"/>
      <c r="R369" s="283"/>
      <c r="S369" s="283"/>
      <c r="T369" s="283"/>
    </row>
    <row r="370" spans="15:20" x14ac:dyDescent="0.3">
      <c r="O370" s="283"/>
      <c r="P370" s="283"/>
      <c r="Q370" s="283"/>
      <c r="R370" s="283"/>
      <c r="S370" s="283"/>
      <c r="T370" s="283"/>
    </row>
    <row r="371" spans="15:20" x14ac:dyDescent="0.3">
      <c r="O371" s="283"/>
      <c r="P371" s="283"/>
      <c r="Q371" s="283"/>
      <c r="R371" s="283"/>
      <c r="S371" s="283"/>
      <c r="T371" s="283"/>
    </row>
    <row r="372" spans="15:20" x14ac:dyDescent="0.3">
      <c r="O372" s="283"/>
      <c r="P372" s="283"/>
      <c r="Q372" s="283"/>
      <c r="R372" s="283"/>
      <c r="S372" s="283"/>
      <c r="T372" s="283"/>
    </row>
    <row r="373" spans="15:20" x14ac:dyDescent="0.3">
      <c r="O373" s="283"/>
      <c r="P373" s="283"/>
      <c r="Q373" s="283"/>
      <c r="R373" s="283"/>
      <c r="S373" s="283"/>
      <c r="T373" s="283"/>
    </row>
    <row r="374" spans="15:20" x14ac:dyDescent="0.3">
      <c r="O374" s="283"/>
      <c r="P374" s="283"/>
      <c r="Q374" s="283"/>
      <c r="R374" s="283"/>
      <c r="S374" s="283"/>
      <c r="T374" s="283"/>
    </row>
    <row r="375" spans="15:20" x14ac:dyDescent="0.3">
      <c r="O375" s="283"/>
      <c r="P375" s="283"/>
      <c r="Q375" s="283"/>
      <c r="R375" s="283"/>
      <c r="S375" s="283"/>
      <c r="T375" s="283"/>
    </row>
    <row r="376" spans="15:20" x14ac:dyDescent="0.3">
      <c r="O376" s="283"/>
      <c r="P376" s="283"/>
      <c r="Q376" s="283"/>
      <c r="R376" s="283"/>
      <c r="S376" s="283"/>
      <c r="T376" s="283"/>
    </row>
    <row r="377" spans="15:20" x14ac:dyDescent="0.3">
      <c r="O377" s="283"/>
      <c r="P377" s="283"/>
      <c r="Q377" s="283"/>
      <c r="R377" s="283"/>
      <c r="S377" s="283"/>
      <c r="T377" s="283"/>
    </row>
    <row r="378" spans="15:20" x14ac:dyDescent="0.3">
      <c r="O378" s="283"/>
      <c r="P378" s="283"/>
      <c r="Q378" s="283"/>
      <c r="R378" s="283"/>
      <c r="S378" s="283"/>
      <c r="T378" s="283"/>
    </row>
    <row r="379" spans="15:20" x14ac:dyDescent="0.3">
      <c r="O379" s="283"/>
      <c r="P379" s="283"/>
      <c r="Q379" s="283"/>
      <c r="R379" s="283"/>
      <c r="S379" s="283"/>
      <c r="T379" s="283"/>
    </row>
    <row r="380" spans="15:20" x14ac:dyDescent="0.3">
      <c r="O380" s="283"/>
      <c r="P380" s="283"/>
      <c r="Q380" s="283"/>
      <c r="R380" s="283"/>
      <c r="S380" s="283"/>
      <c r="T380" s="283"/>
    </row>
    <row r="381" spans="15:20" x14ac:dyDescent="0.3">
      <c r="O381" s="283"/>
      <c r="P381" s="283"/>
      <c r="Q381" s="283"/>
      <c r="R381" s="283"/>
      <c r="S381" s="283"/>
      <c r="T381" s="283"/>
    </row>
    <row r="382" spans="15:20" x14ac:dyDescent="0.3">
      <c r="O382" s="283"/>
      <c r="P382" s="283"/>
      <c r="Q382" s="283"/>
      <c r="R382" s="283"/>
      <c r="S382" s="283"/>
      <c r="T382" s="283"/>
    </row>
    <row r="383" spans="15:20" x14ac:dyDescent="0.3">
      <c r="O383" s="283"/>
      <c r="P383" s="283"/>
      <c r="Q383" s="283"/>
      <c r="R383" s="283"/>
      <c r="S383" s="283"/>
      <c r="T383" s="283"/>
    </row>
    <row r="384" spans="15:20" x14ac:dyDescent="0.3">
      <c r="O384" s="283"/>
      <c r="P384" s="283"/>
      <c r="Q384" s="283"/>
      <c r="R384" s="283"/>
      <c r="S384" s="283"/>
      <c r="T384" s="283"/>
    </row>
    <row r="385" spans="15:20" x14ac:dyDescent="0.3">
      <c r="O385" s="283"/>
      <c r="P385" s="283"/>
      <c r="Q385" s="283"/>
      <c r="R385" s="283"/>
      <c r="S385" s="283"/>
      <c r="T385" s="283"/>
    </row>
    <row r="386" spans="15:20" x14ac:dyDescent="0.3">
      <c r="O386" s="283"/>
      <c r="P386" s="283"/>
      <c r="Q386" s="283"/>
      <c r="R386" s="283"/>
      <c r="S386" s="283"/>
      <c r="T386" s="283"/>
    </row>
    <row r="387" spans="15:20" x14ac:dyDescent="0.3">
      <c r="O387" s="283"/>
      <c r="P387" s="283"/>
      <c r="Q387" s="283"/>
      <c r="R387" s="283"/>
      <c r="S387" s="283"/>
      <c r="T387" s="283"/>
    </row>
    <row r="388" spans="15:20" x14ac:dyDescent="0.3">
      <c r="O388" s="283"/>
      <c r="P388" s="283"/>
      <c r="Q388" s="283"/>
      <c r="R388" s="283"/>
      <c r="S388" s="283"/>
      <c r="T388" s="283"/>
    </row>
    <row r="389" spans="15:20" x14ac:dyDescent="0.3">
      <c r="O389" s="283"/>
      <c r="P389" s="283"/>
      <c r="Q389" s="283"/>
      <c r="R389" s="283"/>
      <c r="S389" s="283"/>
      <c r="T389" s="283"/>
    </row>
    <row r="390" spans="15:20" x14ac:dyDescent="0.3">
      <c r="O390" s="283"/>
      <c r="P390" s="283"/>
      <c r="Q390" s="283"/>
      <c r="R390" s="283"/>
      <c r="S390" s="283"/>
      <c r="T390" s="283"/>
    </row>
    <row r="391" spans="15:20" x14ac:dyDescent="0.3">
      <c r="O391" s="283"/>
      <c r="P391" s="283"/>
      <c r="Q391" s="283"/>
      <c r="R391" s="283"/>
      <c r="S391" s="283"/>
      <c r="T391" s="283"/>
    </row>
    <row r="392" spans="15:20" x14ac:dyDescent="0.3">
      <c r="O392" s="283"/>
      <c r="P392" s="283"/>
      <c r="Q392" s="283"/>
      <c r="R392" s="283"/>
      <c r="S392" s="283"/>
      <c r="T392" s="283"/>
    </row>
    <row r="393" spans="15:20" x14ac:dyDescent="0.3">
      <c r="O393" s="283"/>
      <c r="P393" s="283"/>
      <c r="Q393" s="283"/>
      <c r="R393" s="283"/>
      <c r="S393" s="283"/>
      <c r="T393" s="283"/>
    </row>
    <row r="394" spans="15:20" x14ac:dyDescent="0.3">
      <c r="O394" s="283"/>
      <c r="P394" s="283"/>
      <c r="Q394" s="283"/>
      <c r="R394" s="283"/>
      <c r="S394" s="283"/>
      <c r="T394" s="283"/>
    </row>
    <row r="395" spans="15:20" x14ac:dyDescent="0.3">
      <c r="O395" s="283"/>
      <c r="P395" s="283"/>
      <c r="Q395" s="283"/>
      <c r="R395" s="283"/>
      <c r="S395" s="283"/>
      <c r="T395" s="283"/>
    </row>
    <row r="396" spans="15:20" x14ac:dyDescent="0.3">
      <c r="O396" s="283"/>
      <c r="P396" s="283"/>
      <c r="Q396" s="283"/>
      <c r="R396" s="283"/>
      <c r="S396" s="283"/>
      <c r="T396" s="283"/>
    </row>
    <row r="397" spans="15:20" x14ac:dyDescent="0.3">
      <c r="O397" s="283"/>
      <c r="P397" s="283"/>
      <c r="Q397" s="283"/>
      <c r="R397" s="283"/>
      <c r="S397" s="283"/>
      <c r="T397" s="283"/>
    </row>
    <row r="398" spans="15:20" x14ac:dyDescent="0.3">
      <c r="O398" s="283"/>
      <c r="P398" s="283"/>
      <c r="Q398" s="283"/>
      <c r="R398" s="283"/>
      <c r="S398" s="283"/>
      <c r="T398" s="283"/>
    </row>
    <row r="399" spans="15:20" x14ac:dyDescent="0.3">
      <c r="O399" s="283"/>
      <c r="P399" s="283"/>
      <c r="Q399" s="283"/>
      <c r="R399" s="283"/>
      <c r="S399" s="283"/>
      <c r="T399" s="283"/>
    </row>
    <row r="400" spans="15:20" x14ac:dyDescent="0.3">
      <c r="O400" s="283"/>
      <c r="P400" s="283"/>
      <c r="Q400" s="283"/>
      <c r="R400" s="283"/>
      <c r="S400" s="283"/>
      <c r="T400" s="283"/>
    </row>
    <row r="401" spans="15:20" x14ac:dyDescent="0.3">
      <c r="O401" s="283"/>
      <c r="P401" s="283"/>
      <c r="Q401" s="283"/>
      <c r="R401" s="283"/>
      <c r="S401" s="283"/>
      <c r="T401" s="283"/>
    </row>
    <row r="402" spans="15:20" x14ac:dyDescent="0.3">
      <c r="O402" s="283"/>
      <c r="P402" s="283"/>
      <c r="Q402" s="283"/>
      <c r="R402" s="283"/>
      <c r="S402" s="283"/>
      <c r="T402" s="283"/>
    </row>
    <row r="403" spans="15:20" x14ac:dyDescent="0.3">
      <c r="O403" s="283"/>
      <c r="P403" s="283"/>
      <c r="Q403" s="283"/>
      <c r="R403" s="283"/>
      <c r="S403" s="283"/>
      <c r="T403" s="283"/>
    </row>
    <row r="404" spans="15:20" x14ac:dyDescent="0.3">
      <c r="O404" s="283"/>
      <c r="P404" s="283"/>
      <c r="Q404" s="283"/>
      <c r="R404" s="283"/>
      <c r="S404" s="283"/>
      <c r="T404" s="283"/>
    </row>
    <row r="405" spans="15:20" x14ac:dyDescent="0.3">
      <c r="O405" s="283"/>
      <c r="P405" s="283"/>
      <c r="Q405" s="283"/>
      <c r="R405" s="283"/>
      <c r="S405" s="283"/>
      <c r="T405" s="283"/>
    </row>
    <row r="406" spans="15:20" x14ac:dyDescent="0.3">
      <c r="O406" s="283"/>
      <c r="P406" s="283"/>
      <c r="Q406" s="283"/>
      <c r="R406" s="283"/>
      <c r="S406" s="283"/>
      <c r="T406" s="283"/>
    </row>
    <row r="407" spans="15:20" x14ac:dyDescent="0.3">
      <c r="O407" s="283"/>
      <c r="P407" s="283"/>
      <c r="Q407" s="283"/>
      <c r="R407" s="283"/>
      <c r="S407" s="283"/>
      <c r="T407" s="283"/>
    </row>
    <row r="408" spans="15:20" x14ac:dyDescent="0.3">
      <c r="O408" s="283"/>
      <c r="P408" s="283"/>
      <c r="Q408" s="283"/>
      <c r="R408" s="283"/>
      <c r="S408" s="283"/>
      <c r="T408" s="283"/>
    </row>
    <row r="409" spans="15:20" x14ac:dyDescent="0.3">
      <c r="O409" s="283"/>
      <c r="P409" s="283"/>
      <c r="Q409" s="283"/>
      <c r="R409" s="283"/>
      <c r="S409" s="283"/>
      <c r="T409" s="283"/>
    </row>
    <row r="410" spans="15:20" x14ac:dyDescent="0.3">
      <c r="O410" s="283"/>
      <c r="P410" s="283"/>
      <c r="Q410" s="283"/>
      <c r="R410" s="283"/>
      <c r="S410" s="283"/>
      <c r="T410" s="283"/>
    </row>
    <row r="411" spans="15:20" x14ac:dyDescent="0.3">
      <c r="O411" s="283"/>
      <c r="P411" s="283"/>
      <c r="Q411" s="283"/>
      <c r="R411" s="283"/>
      <c r="S411" s="283"/>
      <c r="T411" s="283"/>
    </row>
    <row r="412" spans="15:20" x14ac:dyDescent="0.3">
      <c r="O412" s="283"/>
      <c r="P412" s="283"/>
      <c r="Q412" s="283"/>
      <c r="R412" s="283"/>
      <c r="S412" s="283"/>
      <c r="T412" s="283"/>
    </row>
    <row r="413" spans="15:20" x14ac:dyDescent="0.3">
      <c r="O413" s="283"/>
      <c r="P413" s="283"/>
      <c r="Q413" s="283"/>
      <c r="R413" s="283"/>
      <c r="S413" s="283"/>
      <c r="T413" s="283"/>
    </row>
    <row r="414" spans="15:20" x14ac:dyDescent="0.3">
      <c r="O414" s="283"/>
      <c r="P414" s="283"/>
      <c r="Q414" s="283"/>
      <c r="R414" s="283"/>
      <c r="S414" s="283"/>
      <c r="T414" s="283"/>
    </row>
    <row r="415" spans="15:20" x14ac:dyDescent="0.3">
      <c r="O415" s="283"/>
      <c r="P415" s="283"/>
      <c r="Q415" s="283"/>
      <c r="R415" s="283"/>
      <c r="S415" s="283"/>
      <c r="T415" s="283"/>
    </row>
    <row r="416" spans="15:20" x14ac:dyDescent="0.3">
      <c r="O416" s="283"/>
      <c r="P416" s="283"/>
      <c r="Q416" s="283"/>
      <c r="R416" s="283"/>
      <c r="S416" s="283"/>
      <c r="T416" s="283"/>
    </row>
    <row r="417" spans="15:20" x14ac:dyDescent="0.3">
      <c r="O417" s="283"/>
      <c r="P417" s="283"/>
      <c r="Q417" s="283"/>
      <c r="R417" s="283"/>
      <c r="S417" s="283"/>
      <c r="T417" s="283"/>
    </row>
    <row r="418" spans="15:20" x14ac:dyDescent="0.3">
      <c r="O418" s="283"/>
      <c r="P418" s="283"/>
      <c r="Q418" s="283"/>
      <c r="R418" s="283"/>
      <c r="S418" s="283"/>
      <c r="T418" s="283"/>
    </row>
    <row r="419" spans="15:20" x14ac:dyDescent="0.3">
      <c r="O419" s="283"/>
      <c r="P419" s="283"/>
      <c r="Q419" s="283"/>
      <c r="R419" s="283"/>
      <c r="S419" s="283"/>
      <c r="T419" s="283"/>
    </row>
    <row r="420" spans="15:20" x14ac:dyDescent="0.3">
      <c r="O420" s="283"/>
      <c r="P420" s="283"/>
      <c r="Q420" s="283"/>
      <c r="R420" s="283"/>
      <c r="S420" s="283"/>
      <c r="T420" s="283"/>
    </row>
    <row r="421" spans="15:20" x14ac:dyDescent="0.3">
      <c r="O421" s="283"/>
      <c r="P421" s="283"/>
      <c r="Q421" s="283"/>
      <c r="R421" s="283"/>
      <c r="S421" s="283"/>
      <c r="T421" s="283"/>
    </row>
    <row r="422" spans="15:20" x14ac:dyDescent="0.3">
      <c r="O422" s="283"/>
      <c r="P422" s="283"/>
      <c r="Q422" s="283"/>
      <c r="R422" s="283"/>
      <c r="S422" s="283"/>
      <c r="T422" s="283"/>
    </row>
    <row r="423" spans="15:20" x14ac:dyDescent="0.3">
      <c r="O423" s="283"/>
      <c r="P423" s="283"/>
      <c r="Q423" s="283"/>
      <c r="R423" s="283"/>
      <c r="S423" s="283"/>
      <c r="T423" s="283"/>
    </row>
    <row r="424" spans="15:20" x14ac:dyDescent="0.3">
      <c r="O424" s="283"/>
      <c r="P424" s="283"/>
      <c r="Q424" s="283"/>
      <c r="R424" s="283"/>
      <c r="S424" s="283"/>
      <c r="T424" s="283"/>
    </row>
    <row r="425" spans="15:20" x14ac:dyDescent="0.3">
      <c r="O425" s="283"/>
      <c r="P425" s="283"/>
      <c r="Q425" s="283"/>
      <c r="R425" s="283"/>
      <c r="S425" s="283"/>
      <c r="T425" s="283"/>
    </row>
    <row r="426" spans="15:20" x14ac:dyDescent="0.3">
      <c r="O426" s="283"/>
      <c r="P426" s="283"/>
      <c r="Q426" s="283"/>
      <c r="R426" s="283"/>
      <c r="S426" s="283"/>
      <c r="T426" s="283"/>
    </row>
    <row r="427" spans="15:20" x14ac:dyDescent="0.3">
      <c r="O427" s="283"/>
      <c r="P427" s="283"/>
      <c r="Q427" s="283"/>
      <c r="R427" s="283"/>
      <c r="S427" s="283"/>
      <c r="T427" s="283"/>
    </row>
    <row r="428" spans="15:20" x14ac:dyDescent="0.3">
      <c r="O428" s="283"/>
      <c r="P428" s="283"/>
      <c r="Q428" s="283"/>
      <c r="R428" s="283"/>
      <c r="S428" s="283"/>
      <c r="T428" s="283"/>
    </row>
    <row r="429" spans="15:20" x14ac:dyDescent="0.3">
      <c r="O429" s="283"/>
      <c r="P429" s="283"/>
      <c r="Q429" s="283"/>
      <c r="R429" s="283"/>
      <c r="S429" s="283"/>
      <c r="T429" s="283"/>
    </row>
    <row r="430" spans="15:20" x14ac:dyDescent="0.3">
      <c r="O430" s="283"/>
      <c r="P430" s="283"/>
      <c r="Q430" s="283"/>
      <c r="R430" s="283"/>
      <c r="S430" s="283"/>
      <c r="T430" s="283"/>
    </row>
    <row r="431" spans="15:20" x14ac:dyDescent="0.3">
      <c r="O431" s="283"/>
      <c r="P431" s="283"/>
      <c r="Q431" s="283"/>
      <c r="R431" s="283"/>
      <c r="S431" s="283"/>
      <c r="T431" s="283"/>
    </row>
    <row r="432" spans="15:20" x14ac:dyDescent="0.3">
      <c r="O432" s="283"/>
      <c r="P432" s="283"/>
      <c r="Q432" s="283"/>
      <c r="R432" s="283"/>
      <c r="S432" s="283"/>
      <c r="T432" s="283"/>
    </row>
    <row r="433" spans="15:20" x14ac:dyDescent="0.3">
      <c r="O433" s="283"/>
      <c r="P433" s="283"/>
      <c r="Q433" s="283"/>
      <c r="R433" s="283"/>
      <c r="S433" s="283"/>
      <c r="T433" s="283"/>
    </row>
    <row r="434" spans="15:20" x14ac:dyDescent="0.3">
      <c r="O434" s="283"/>
      <c r="P434" s="283"/>
      <c r="Q434" s="283"/>
      <c r="R434" s="283"/>
      <c r="S434" s="283"/>
      <c r="T434" s="283"/>
    </row>
  </sheetData>
  <sheetProtection algorithmName="SHA-512" hashValue="SElhGvgELGwJGEuJPoP539rxTRRwf6ZmohgChbeP30hiQZ484wXi1lthkNdscU+mlRKmKn81Rhdw2mpi2BofZw==" saltValue="M2GJbQ1/08T72CMgqW18Nw==" spinCount="100000" sheet="1" objects="1" scenarios="1"/>
  <mergeCells count="7">
    <mergeCell ref="Q32:R32"/>
    <mergeCell ref="B1:C1"/>
    <mergeCell ref="E1:F1"/>
    <mergeCell ref="C32:D32"/>
    <mergeCell ref="E32:F32"/>
    <mergeCell ref="G32:H32"/>
    <mergeCell ref="O32:P32"/>
  </mergeCells>
  <dataValidations count="2">
    <dataValidation type="list" allowBlank="1" showInputMessage="1" showErrorMessage="1" sqref="B1:C1">
      <formula1>$B$12:$B$13</formula1>
    </dataValidation>
    <dataValidation type="list" allowBlank="1" showInputMessage="1" showErrorMessage="1" sqref="E1:F1">
      <formula1>$B$17:$B$18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4"/>
  <sheetViews>
    <sheetView workbookViewId="0">
      <selection activeCell="I28" sqref="I28"/>
    </sheetView>
  </sheetViews>
  <sheetFormatPr defaultRowHeight="14.4" x14ac:dyDescent="0.3"/>
  <cols>
    <col min="1" max="1" width="12.33203125" customWidth="1"/>
    <col min="2" max="2" width="11.88671875" customWidth="1"/>
    <col min="3" max="3" width="14.6640625" customWidth="1"/>
    <col min="4" max="4" width="9.33203125" bestFit="1" customWidth="1"/>
    <col min="5" max="5" width="15.6640625" customWidth="1"/>
    <col min="6" max="6" width="14.88671875" style="124" bestFit="1" customWidth="1"/>
    <col min="7" max="7" width="9.33203125" bestFit="1" customWidth="1"/>
    <col min="8" max="8" width="18.33203125" bestFit="1" customWidth="1"/>
    <col min="9" max="9" width="18.109375" bestFit="1" customWidth="1"/>
    <col min="10" max="11" width="34.33203125" bestFit="1" customWidth="1"/>
    <col min="12" max="12" width="34.33203125" customWidth="1"/>
    <col min="13" max="13" width="35.33203125" customWidth="1"/>
    <col min="14" max="14" width="38.44140625" bestFit="1" customWidth="1"/>
    <col min="15" max="15" width="21.5546875" style="144" bestFit="1" customWidth="1"/>
    <col min="16" max="16" width="24.5546875" style="144" bestFit="1" customWidth="1"/>
    <col min="17" max="17" width="34.33203125" style="144" bestFit="1" customWidth="1"/>
    <col min="18" max="18" width="37.33203125" style="143" bestFit="1" customWidth="1"/>
    <col min="19" max="19" width="34.44140625" style="143" bestFit="1" customWidth="1"/>
    <col min="20" max="20" width="7.33203125" style="143" bestFit="1" customWidth="1"/>
    <col min="21" max="21" width="7.33203125" bestFit="1" customWidth="1"/>
    <col min="22" max="22" width="9.33203125" bestFit="1" customWidth="1"/>
    <col min="23" max="24" width="12.109375" bestFit="1" customWidth="1"/>
    <col min="25" max="25" width="13" bestFit="1" customWidth="1"/>
    <col min="26" max="26" width="12.109375" bestFit="1" customWidth="1"/>
    <col min="27" max="27" width="12.44140625" bestFit="1" customWidth="1"/>
    <col min="28" max="28" width="11.6640625" bestFit="1" customWidth="1"/>
  </cols>
  <sheetData>
    <row r="1" spans="1:20" x14ac:dyDescent="0.3">
      <c r="A1" s="149"/>
      <c r="B1" s="303" t="s">
        <v>213</v>
      </c>
      <c r="C1" s="303"/>
      <c r="D1" s="149"/>
      <c r="E1" s="304" t="s">
        <v>214</v>
      </c>
      <c r="F1" s="304"/>
      <c r="G1" s="149"/>
      <c r="O1"/>
      <c r="P1"/>
      <c r="Q1"/>
      <c r="R1"/>
      <c r="S1"/>
      <c r="T1"/>
    </row>
    <row r="2" spans="1:20" x14ac:dyDescent="0.3">
      <c r="A2" s="149"/>
      <c r="B2" s="149" t="s">
        <v>142</v>
      </c>
      <c r="C2" s="149">
        <f>Rz_adj</f>
        <v>10</v>
      </c>
      <c r="D2" s="149" t="s">
        <v>202</v>
      </c>
      <c r="E2" s="149" t="s">
        <v>203</v>
      </c>
      <c r="F2" s="253">
        <v>39</v>
      </c>
      <c r="G2" s="149" t="s">
        <v>204</v>
      </c>
      <c r="O2"/>
      <c r="P2"/>
      <c r="Q2"/>
      <c r="R2"/>
      <c r="S2"/>
      <c r="T2"/>
    </row>
    <row r="3" spans="1:20" x14ac:dyDescent="0.3">
      <c r="A3" s="149"/>
      <c r="B3" s="149" t="s">
        <v>205</v>
      </c>
      <c r="C3" s="149">
        <f>Cz_adj</f>
        <v>1.5</v>
      </c>
      <c r="D3" s="149" t="s">
        <v>239</v>
      </c>
      <c r="E3" s="149" t="s">
        <v>206</v>
      </c>
      <c r="F3" s="253">
        <v>0</v>
      </c>
      <c r="G3" s="149" t="s">
        <v>207</v>
      </c>
      <c r="O3"/>
      <c r="P3"/>
      <c r="Q3"/>
      <c r="R3"/>
      <c r="S3"/>
      <c r="T3"/>
    </row>
    <row r="4" spans="1:20" x14ac:dyDescent="0.3">
      <c r="A4" s="149"/>
      <c r="B4" s="149" t="s">
        <v>146</v>
      </c>
      <c r="C4" s="149">
        <f>Cp_adj</f>
        <v>27</v>
      </c>
      <c r="D4" s="149" t="s">
        <v>204</v>
      </c>
      <c r="E4" s="149"/>
      <c r="F4" s="253"/>
      <c r="G4" s="149"/>
      <c r="O4"/>
      <c r="Q4"/>
      <c r="R4"/>
      <c r="S4"/>
      <c r="T4"/>
    </row>
    <row r="5" spans="1:20" x14ac:dyDescent="0.3">
      <c r="A5" s="149"/>
      <c r="B5" s="149"/>
      <c r="C5" s="231"/>
      <c r="D5" s="231"/>
      <c r="E5" s="231" t="s">
        <v>298</v>
      </c>
      <c r="F5" s="254">
        <v>60</v>
      </c>
      <c r="G5" s="149" t="s">
        <v>297</v>
      </c>
      <c r="O5"/>
      <c r="Q5"/>
      <c r="R5"/>
      <c r="S5"/>
      <c r="T5"/>
    </row>
    <row r="6" spans="1:20" x14ac:dyDescent="0.3">
      <c r="A6" s="149"/>
      <c r="B6" s="149" t="s">
        <v>208</v>
      </c>
      <c r="C6" s="232">
        <v>1300</v>
      </c>
      <c r="D6" s="231" t="s">
        <v>207</v>
      </c>
      <c r="E6" s="231"/>
      <c r="F6" s="255">
        <f>10^(F5/20)</f>
        <v>1000</v>
      </c>
      <c r="G6" s="149" t="s">
        <v>249</v>
      </c>
      <c r="O6"/>
      <c r="Q6"/>
      <c r="R6"/>
      <c r="S6"/>
      <c r="T6"/>
    </row>
    <row r="7" spans="1:20" x14ac:dyDescent="0.3">
      <c r="A7" s="149"/>
      <c r="B7" s="149" t="s">
        <v>209</v>
      </c>
      <c r="C7" s="231">
        <v>25</v>
      </c>
      <c r="D7" s="231" t="s">
        <v>204</v>
      </c>
      <c r="E7" s="231" t="s">
        <v>278</v>
      </c>
      <c r="F7" s="254">
        <v>750</v>
      </c>
      <c r="G7" s="149" t="s">
        <v>299</v>
      </c>
      <c r="Q7"/>
      <c r="T7"/>
    </row>
    <row r="8" spans="1:20" x14ac:dyDescent="0.3">
      <c r="A8" s="149"/>
      <c r="B8" s="149"/>
      <c r="C8" s="231"/>
      <c r="D8" s="231"/>
      <c r="E8" s="238"/>
      <c r="F8" s="256"/>
      <c r="G8" s="149"/>
      <c r="Q8"/>
      <c r="T8"/>
    </row>
    <row r="9" spans="1:20" x14ac:dyDescent="0.3">
      <c r="A9" s="149"/>
      <c r="B9" s="149" t="s">
        <v>212</v>
      </c>
      <c r="C9" s="231">
        <f>IF(Type=RCC,C4+Cstray_adj,IF(Type=RCRC,C4+Cstray_adj,Cstray_adj))</f>
        <v>52</v>
      </c>
      <c r="D9" s="231" t="s">
        <v>204</v>
      </c>
      <c r="E9" s="238"/>
      <c r="F9" s="257"/>
      <c r="G9" s="149"/>
      <c r="Q9"/>
      <c r="R9"/>
      <c r="S9"/>
      <c r="T9"/>
    </row>
    <row r="10" spans="1:20" x14ac:dyDescent="0.3">
      <c r="A10" s="149"/>
      <c r="B10" s="149"/>
      <c r="C10" s="231"/>
      <c r="D10" s="231"/>
      <c r="E10" s="231" t="s">
        <v>282</v>
      </c>
      <c r="F10" s="258">
        <f>RFB2_adj/(RFB1_adj+RFB2_adj)</f>
        <v>0.24242424242424243</v>
      </c>
      <c r="G10" s="149"/>
      <c r="Q10"/>
      <c r="R10"/>
      <c r="S10"/>
      <c r="T10"/>
    </row>
    <row r="11" spans="1:20" x14ac:dyDescent="0.3">
      <c r="A11" s="149"/>
      <c r="B11" s="149"/>
      <c r="C11" s="231"/>
      <c r="D11" s="231"/>
      <c r="E11" s="231" t="s">
        <v>247</v>
      </c>
      <c r="F11" s="254">
        <v>0.8</v>
      </c>
      <c r="G11" s="149" t="s">
        <v>275</v>
      </c>
      <c r="Q11"/>
      <c r="R11" s="125"/>
      <c r="S11" s="126"/>
      <c r="T11"/>
    </row>
    <row r="12" spans="1:20" x14ac:dyDescent="0.3">
      <c r="A12" s="149"/>
      <c r="B12" s="149" t="s">
        <v>200</v>
      </c>
      <c r="C12" s="231"/>
      <c r="D12" s="231"/>
      <c r="E12" s="231"/>
      <c r="F12" s="254"/>
      <c r="G12" s="149"/>
      <c r="Q12"/>
      <c r="R12" s="125"/>
      <c r="S12" s="126"/>
      <c r="T12"/>
    </row>
    <row r="13" spans="1:20" x14ac:dyDescent="0.3">
      <c r="A13" s="149"/>
      <c r="B13" s="149" t="s">
        <v>213</v>
      </c>
      <c r="C13" s="231"/>
      <c r="D13" s="231"/>
      <c r="E13" s="233" t="s">
        <v>233</v>
      </c>
      <c r="F13" s="259">
        <f>1/gm_POWER2</f>
        <v>0.4</v>
      </c>
      <c r="G13" s="149"/>
      <c r="Q13"/>
      <c r="R13"/>
      <c r="S13"/>
      <c r="T13"/>
    </row>
    <row r="14" spans="1:20" ht="15.6" x14ac:dyDescent="0.35">
      <c r="A14" s="149"/>
      <c r="B14" s="149"/>
      <c r="C14" s="231"/>
      <c r="D14" s="231"/>
      <c r="E14" s="233" t="s">
        <v>279</v>
      </c>
      <c r="F14" s="254">
        <v>2.5</v>
      </c>
      <c r="G14" s="149" t="s">
        <v>300</v>
      </c>
    </row>
    <row r="15" spans="1:20" x14ac:dyDescent="0.3">
      <c r="A15" s="149"/>
      <c r="B15" s="149"/>
      <c r="C15" s="231"/>
      <c r="D15" s="231"/>
      <c r="E15" s="233" t="s">
        <v>234</v>
      </c>
      <c r="F15" s="259">
        <f>Vout_sync_buck/(Iout_sync_buck*Ri_adj*(1+Vout_sync_buck*(mc_adj*(1-Vout_sync_buck/Vreg)-0.5)/(Iout_sync_buck*fsw*10^3*L_buck2*10^-6)))</f>
        <v>9.7123748403041574</v>
      </c>
      <c r="G15" s="149"/>
    </row>
    <row r="16" spans="1:20" x14ac:dyDescent="0.3">
      <c r="A16" s="149"/>
      <c r="B16" s="149"/>
      <c r="C16" s="231"/>
      <c r="D16" s="231"/>
      <c r="E16" s="233" t="s">
        <v>235</v>
      </c>
      <c r="F16" s="259">
        <f>(1+Se_adj/Sn_adj)</f>
        <v>2.4157317073170734</v>
      </c>
      <c r="G16" s="149"/>
    </row>
    <row r="17" spans="1:28" x14ac:dyDescent="0.3">
      <c r="A17" s="149"/>
      <c r="B17" s="149" t="s">
        <v>214</v>
      </c>
      <c r="C17" s="231"/>
      <c r="D17" s="231"/>
      <c r="E17" s="233" t="s">
        <v>337</v>
      </c>
      <c r="F17" s="259">
        <f>0.0003*fsw+0.0175</f>
        <v>0.61749999999999994</v>
      </c>
      <c r="G17" s="149" t="s">
        <v>301</v>
      </c>
    </row>
    <row r="18" spans="1:28" x14ac:dyDescent="0.3">
      <c r="A18" s="149"/>
      <c r="B18" s="149" t="s">
        <v>201</v>
      </c>
      <c r="C18" s="149"/>
      <c r="D18" s="149"/>
      <c r="E18" s="150" t="s">
        <v>338</v>
      </c>
      <c r="F18" s="260">
        <f>(Vreg-Vout_sync_buck)/L_buck2</f>
        <v>0.43617021276595741</v>
      </c>
      <c r="G18" s="149" t="s">
        <v>301</v>
      </c>
    </row>
    <row r="19" spans="1:28" x14ac:dyDescent="0.3">
      <c r="A19" s="149"/>
      <c r="B19" s="149"/>
      <c r="C19" s="149"/>
      <c r="D19" s="149"/>
      <c r="E19" s="150" t="s">
        <v>236</v>
      </c>
      <c r="F19" s="253">
        <f>PI()*fsw*10^3</f>
        <v>6283185.307179586</v>
      </c>
      <c r="G19" s="149"/>
    </row>
    <row r="20" spans="1:28" x14ac:dyDescent="0.3">
      <c r="A20" s="149"/>
      <c r="B20" s="151" t="s">
        <v>215</v>
      </c>
      <c r="C20" s="151"/>
      <c r="D20" s="149"/>
      <c r="E20" s="150" t="s">
        <v>237</v>
      </c>
      <c r="F20" s="253">
        <f>1/(PI()*(mc_adj*(1-Vout_sync_buck/Vreg)-0.5))</f>
        <v>0.7478133235627531</v>
      </c>
      <c r="G20" s="149"/>
    </row>
    <row r="21" spans="1:28" x14ac:dyDescent="0.3">
      <c r="A21" s="151" t="s">
        <v>216</v>
      </c>
      <c r="B21" s="152">
        <f>VLOOKUP(MIN(A34:A133),A34:H133,2,FALSE)/1000</f>
        <v>42.292428743894995</v>
      </c>
      <c r="C21" s="152"/>
      <c r="D21" s="149"/>
      <c r="E21" s="149"/>
      <c r="F21" s="253"/>
      <c r="G21" s="149"/>
    </row>
    <row r="22" spans="1:28" x14ac:dyDescent="0.3">
      <c r="A22" s="151" t="s">
        <v>217</v>
      </c>
      <c r="B22" s="152">
        <f>VLOOKUP(MIN(A34:A133),A34:H133,8,FALSE)</f>
        <v>68.875938047846844</v>
      </c>
      <c r="C22" s="152"/>
      <c r="D22" s="149"/>
      <c r="E22" s="149"/>
      <c r="F22" s="253"/>
      <c r="G22" s="149"/>
    </row>
    <row r="23" spans="1:28" x14ac:dyDescent="0.3">
      <c r="A23" s="149"/>
      <c r="B23" s="149"/>
      <c r="C23" s="149"/>
      <c r="D23" s="149"/>
      <c r="E23" s="149" t="s">
        <v>244</v>
      </c>
      <c r="F23" s="253">
        <f>(1/(Vout_sync_buck/Iout_sync_buck*Number_Cout2*Co_2*10^-6)+(mc_adj*(1-Vout_sync_buck/Vreg)-0.5)/(fsw*10^3*L_buck2*10^-6*Number_Cout2*Co_2*10^-6))/(1000)</f>
        <v>15.141386730581171</v>
      </c>
      <c r="G23" s="149" t="s">
        <v>245</v>
      </c>
    </row>
    <row r="24" spans="1:28" x14ac:dyDescent="0.3">
      <c r="A24" s="149"/>
      <c r="B24" s="149"/>
      <c r="C24" s="149"/>
      <c r="D24" s="149"/>
      <c r="E24" s="149" t="s">
        <v>246</v>
      </c>
      <c r="F24" s="253">
        <f>1/(ESR_2*10^-3*Co_2*10^-6*1000)</f>
        <v>39215.686274509804</v>
      </c>
      <c r="G24" s="149" t="s">
        <v>245</v>
      </c>
    </row>
    <row r="25" spans="1:28" x14ac:dyDescent="0.3">
      <c r="A25" s="149"/>
      <c r="B25" s="149"/>
      <c r="C25" s="149"/>
      <c r="D25" s="149"/>
      <c r="E25" s="149"/>
      <c r="F25" s="253"/>
      <c r="G25" s="149"/>
    </row>
    <row r="26" spans="1:28" x14ac:dyDescent="0.3">
      <c r="A26" s="149"/>
      <c r="B26" s="149"/>
      <c r="C26" s="149"/>
      <c r="D26" s="149"/>
      <c r="E26" s="149"/>
      <c r="F26" s="253"/>
      <c r="G26" s="149"/>
    </row>
    <row r="27" spans="1:28" x14ac:dyDescent="0.3">
      <c r="A27" s="149"/>
      <c r="B27" s="149"/>
      <c r="C27" s="149"/>
      <c r="D27" s="149"/>
      <c r="E27" s="149"/>
      <c r="F27" s="253"/>
      <c r="G27" s="149"/>
    </row>
    <row r="28" spans="1:28" s="239" customFormat="1" x14ac:dyDescent="0.3">
      <c r="F28" s="247"/>
      <c r="O28" s="240"/>
      <c r="P28" s="240"/>
      <c r="Q28" s="240"/>
      <c r="R28" s="241"/>
      <c r="S28" s="241"/>
      <c r="T28" s="241"/>
    </row>
    <row r="29" spans="1:28" s="239" customFormat="1" x14ac:dyDescent="0.3">
      <c r="F29" s="247"/>
      <c r="N29" s="240"/>
      <c r="O29" s="240"/>
      <c r="P29" s="240"/>
      <c r="Q29" s="241"/>
      <c r="R29" s="241"/>
      <c r="S29" s="241"/>
    </row>
    <row r="30" spans="1:28" s="239" customFormat="1" x14ac:dyDescent="0.3">
      <c r="F30" s="247"/>
      <c r="N30" s="240"/>
      <c r="O30" s="240"/>
      <c r="P30" s="240"/>
      <c r="Q30" s="241"/>
      <c r="R30" s="241"/>
      <c r="S30" s="241"/>
    </row>
    <row r="31" spans="1:28" s="239" customFormat="1" x14ac:dyDescent="0.3">
      <c r="F31" s="247"/>
      <c r="N31" s="240"/>
      <c r="O31" s="240"/>
      <c r="P31" s="240"/>
      <c r="Q31" s="241"/>
      <c r="R31" s="241"/>
      <c r="S31" s="241"/>
      <c r="V31" s="305" t="s">
        <v>296</v>
      </c>
      <c r="W31" s="305"/>
      <c r="X31" s="305"/>
      <c r="Y31" s="305"/>
      <c r="Z31" s="305"/>
      <c r="AA31" s="305"/>
      <c r="AB31" s="305"/>
    </row>
    <row r="32" spans="1:28" s="239" customFormat="1" x14ac:dyDescent="0.3">
      <c r="B32" s="240"/>
      <c r="C32" s="305" t="s">
        <v>218</v>
      </c>
      <c r="D32" s="305"/>
      <c r="E32" s="305" t="s">
        <v>219</v>
      </c>
      <c r="F32" s="305"/>
      <c r="G32" s="305" t="s">
        <v>220</v>
      </c>
      <c r="H32" s="305"/>
      <c r="I32" s="240" t="s">
        <v>221</v>
      </c>
      <c r="J32" s="242"/>
      <c r="K32" s="240"/>
      <c r="L32" s="240"/>
      <c r="M32" s="240"/>
      <c r="O32" s="306"/>
      <c r="P32" s="306"/>
      <c r="Q32" s="302"/>
      <c r="R32" s="302"/>
      <c r="V32" s="239" t="s">
        <v>291</v>
      </c>
      <c r="W32" s="239" t="s">
        <v>292</v>
      </c>
      <c r="X32" s="239" t="s">
        <v>293</v>
      </c>
      <c r="Y32" s="239" t="s">
        <v>294</v>
      </c>
      <c r="Z32" s="239" t="s">
        <v>295</v>
      </c>
    </row>
    <row r="33" spans="1:28" s="243" customFormat="1" ht="15.6" x14ac:dyDescent="0.3">
      <c r="A33" s="243" t="s">
        <v>215</v>
      </c>
      <c r="B33" s="244" t="s">
        <v>222</v>
      </c>
      <c r="C33" s="244" t="s">
        <v>223</v>
      </c>
      <c r="D33" s="244" t="s">
        <v>224</v>
      </c>
      <c r="E33" s="244" t="s">
        <v>223</v>
      </c>
      <c r="F33" s="252" t="s">
        <v>224</v>
      </c>
      <c r="G33" s="244" t="s">
        <v>223</v>
      </c>
      <c r="H33" s="244" t="s">
        <v>224</v>
      </c>
      <c r="I33" s="244" t="s">
        <v>225</v>
      </c>
      <c r="J33" s="244" t="s">
        <v>226</v>
      </c>
      <c r="K33" s="244" t="s">
        <v>227</v>
      </c>
      <c r="L33" s="244" t="s">
        <v>228</v>
      </c>
      <c r="M33" s="244" t="s">
        <v>229</v>
      </c>
      <c r="N33" s="245" t="s">
        <v>334</v>
      </c>
      <c r="O33" s="245" t="s">
        <v>335</v>
      </c>
      <c r="P33" s="246" t="s">
        <v>230</v>
      </c>
      <c r="Q33" s="247" t="s">
        <v>231</v>
      </c>
      <c r="R33" s="247" t="s">
        <v>232</v>
      </c>
      <c r="S33" s="247" t="s">
        <v>223</v>
      </c>
      <c r="T33" s="247" t="s">
        <v>224</v>
      </c>
      <c r="V33" s="239">
        <v>100</v>
      </c>
      <c r="W33" s="239">
        <v>32.573043300000002</v>
      </c>
      <c r="X33" s="239">
        <v>115.0905728</v>
      </c>
      <c r="Y33" s="239">
        <v>23.39172044</v>
      </c>
      <c r="Z33" s="239">
        <v>-5.4185991199999997</v>
      </c>
      <c r="AA33" s="251">
        <f>W33+Y33</f>
        <v>55.964763740000002</v>
      </c>
      <c r="AB33" s="251">
        <f>X33+Z33</f>
        <v>109.67197368000001</v>
      </c>
    </row>
    <row r="34" spans="1:28" s="239" customFormat="1" x14ac:dyDescent="0.3">
      <c r="A34" s="239">
        <f>ABS(G34)</f>
        <v>63.011089070292655</v>
      </c>
      <c r="B34" s="248">
        <v>100</v>
      </c>
      <c r="C34" s="249">
        <f>20*LOG(IMABS(M34))</f>
        <v>43.272052393133393</v>
      </c>
      <c r="D34" s="249">
        <f>IF(180/PI()*IMARGUMENT(M34)&gt;0,180/PI()*IMARGUMENT(M34),360+180/PI()*IMARGUMENT(M34))</f>
        <v>128.59020595126353</v>
      </c>
      <c r="E34" s="248">
        <f>S34</f>
        <v>19.739036677159259</v>
      </c>
      <c r="F34" s="261">
        <f>T34</f>
        <v>-2.382969823442993</v>
      </c>
      <c r="G34" s="250">
        <f>C34+E34</f>
        <v>63.011089070292655</v>
      </c>
      <c r="H34" s="250">
        <f>D34+F34</f>
        <v>126.20723612782054</v>
      </c>
      <c r="I34" s="240" t="str">
        <f t="shared" ref="I34:I65" si="0">IMDIV(1,COMPLEX(0,2*PI()*$B34*Cz_adj*10^-9))</f>
        <v>-1061032.95394597i</v>
      </c>
      <c r="J34" s="240" t="str">
        <f t="shared" ref="J34:J65" si="1">IMDIV(1,COMPLEX(0,2*PI()*$B34*Cp_Cstray_adj*10^-12))</f>
        <v>-30606719.8253645i</v>
      </c>
      <c r="K34" s="240" t="str">
        <f t="shared" ref="K34:K65" si="2">IMDIV(IMPRODUCT(IMDIV(IMPRODUCT(J34,IMSUM(Rz_adj*10^3,I34)),IMSUM(J34,IMSUM(Rz_adj*10^3,I34))),Ro_adj*10^3),IMSUM(IMDIV(IMPRODUCT(J34,IMSUM(Rz_adj*10^3,I34)),IMSUM(J34,IMSUM(Rz_adj*10^3,I34))),Ro_adj*10^3))</f>
        <v>500003.540715018-626563.253597912i</v>
      </c>
      <c r="L34" s="240">
        <f t="shared" ref="L34:L65" si="3">IF($E$1="Feedforward RC",IMDIV(IMPRODUCT(IMSUM(Rz_2_adj*10^3,IMDIV(1,COMPLEX(0,2*PI()*$B34*Cz_2_adj*10^-12))),RFB1_adj*10^3),IMSUM(IMSUM(Rz_2_adj*10^3,IMDIV(1,COMPLEX(0,2*PI()*$B34*Cz_2_adj*10^-12))),RFB1_adj*10^3)),RFB1_adj*10^3)</f>
        <v>4750</v>
      </c>
      <c r="M34" s="240" t="str">
        <f t="shared" ref="M34:M65" si="4">IMPRODUCT(-gm_EA2*10^-6,K34,IMDIV(RFB2_adj*10^3,IMSUM(L34,RFB2_adj*10^3)))</f>
        <v>-90.9097346754577+113.920591563257i</v>
      </c>
      <c r="N34" s="240" t="str">
        <f t="shared" ref="N34:N65" si="5">COMPLEX(1,2*PI()*B34*1/(1/(Vout_sync_buck/Iout_sync_buck*Number_Cout2*Co_2*10^-6)+(mc_adj*(1-Vout_sync_buck/Vreg)-0.5)/(fsw*10^3*L_buck2*10^-6*Number_Cout2*Co_2*10^-6)))</f>
        <v>1+0.0414967626082054i</v>
      </c>
      <c r="O34" s="239" t="str">
        <f t="shared" ref="O34:O65" si="6">COMPLEX(1,2*PI()*B34*(ESR_2*10^-3*Co_2*10^-6))</f>
        <v>1+0.0000160221225333079i</v>
      </c>
      <c r="P34" s="239" t="str">
        <f t="shared" ref="P34:P65" si="7">IMPRODUCT(K_adj,IMDIV(O34,N34))</f>
        <v>9.69568550853018-0.402183947011514i</v>
      </c>
      <c r="Q34" s="240" t="str">
        <f t="shared" ref="Q34:Q65" si="8">IMDIV(1,IMSUM(COMPLEX(1,2*PI()*B34/(wn_adj*Qp_adj)),IMPRODUCT(COMPLEX(0,2*PI()*B34/wn_adj),COMPLEX(0,2*PI()*B34/wn_adj))))</f>
        <v>0.999999992118102-0.000133723212813844i</v>
      </c>
      <c r="R34" s="239" t="str">
        <f>IMPRODUCT(P34,Q34)</f>
        <v>9.69563165078024-0.403480482058174i</v>
      </c>
      <c r="S34" s="249">
        <f>20*LOG(IMABS(R34))</f>
        <v>19.739036677159259</v>
      </c>
      <c r="T34" s="249">
        <f>180/PI()*IMARGUMENT(R34)</f>
        <v>-2.382969823442993</v>
      </c>
      <c r="V34" s="239">
        <v>109.64781960000001</v>
      </c>
      <c r="W34" s="239">
        <v>31.898697810000002</v>
      </c>
      <c r="X34" s="239">
        <v>113.24880450000001</v>
      </c>
      <c r="Y34" s="239">
        <v>23.383973229999999</v>
      </c>
      <c r="Z34" s="239">
        <v>-5.9378574500000001</v>
      </c>
      <c r="AA34" s="251">
        <f t="shared" ref="AA34:AA97" si="9">W34+Y34</f>
        <v>55.282671039999997</v>
      </c>
      <c r="AB34" s="251">
        <f t="shared" ref="AB34:AB97" si="10">X34+Z34</f>
        <v>107.31094705000001</v>
      </c>
    </row>
    <row r="35" spans="1:28" s="239" customFormat="1" x14ac:dyDescent="0.3">
      <c r="A35" s="239">
        <f t="shared" ref="A35:A98" si="11">ABS(G35)</f>
        <v>62.491356091223608</v>
      </c>
      <c r="B35" s="248">
        <v>109.74987654930599</v>
      </c>
      <c r="C35" s="249">
        <f t="shared" ref="C35:C98" si="12">20*LOG(IMABS(M35))</f>
        <v>42.753845888181004</v>
      </c>
      <c r="D35" s="249">
        <f t="shared" ref="D35:D98" si="13">IF(180/PI()*IMARGUMENT(M35)&gt;0,180/PI()*IMARGUMENT(M35),360+180/PI()*IMARGUMENT(M35))</f>
        <v>126.08556253690257</v>
      </c>
      <c r="E35" s="248">
        <f t="shared" ref="E35:F98" si="14">S35</f>
        <v>19.7375102030426</v>
      </c>
      <c r="F35" s="261">
        <f t="shared" si="14"/>
        <v>-2.6150008343349946</v>
      </c>
      <c r="G35" s="250">
        <f t="shared" ref="G35:H98" si="15">C35+E35</f>
        <v>62.491356091223608</v>
      </c>
      <c r="H35" s="250">
        <f t="shared" si="15"/>
        <v>123.47056170256758</v>
      </c>
      <c r="I35" s="240" t="str">
        <f t="shared" si="0"/>
        <v>-966773.710646764i</v>
      </c>
      <c r="J35" s="240" t="str">
        <f t="shared" si="1"/>
        <v>-27887703.1917336i</v>
      </c>
      <c r="K35" s="240" t="str">
        <f t="shared" si="2"/>
        <v>444800.150788909-610296.229585574i</v>
      </c>
      <c r="L35" s="240">
        <f t="shared" si="3"/>
        <v>4750</v>
      </c>
      <c r="M35" s="240" t="str">
        <f t="shared" si="4"/>
        <v>-80.8727546888924+110.962950833741i</v>
      </c>
      <c r="N35" s="240" t="str">
        <f t="shared" si="5"/>
        <v>1+0.045542645734464i</v>
      </c>
      <c r="O35" s="239" t="str">
        <f t="shared" si="6"/>
        <v>1+0.000017584259700884i</v>
      </c>
      <c r="P35" s="239" t="str">
        <f t="shared" si="7"/>
        <v>9.69227954551671-0.441241268779355i</v>
      </c>
      <c r="Q35" s="240" t="str">
        <f t="shared" si="8"/>
        <v>0.999999990506226-0.000146761061044531i</v>
      </c>
      <c r="R35" s="239" t="str">
        <f t="shared" ref="R35:R98" si="16">IMPRODUCT(P35,Q35)</f>
        <v>9.69221469646362-0.44266371382035i</v>
      </c>
      <c r="S35" s="249">
        <f t="shared" ref="S35:S98" si="17">20*LOG(IMABS(R35))</f>
        <v>19.7375102030426</v>
      </c>
      <c r="T35" s="249">
        <f t="shared" ref="T35:T98" si="18">180/PI()*IMARGUMENT(R35)</f>
        <v>-2.6150008343349946</v>
      </c>
      <c r="V35" s="239">
        <v>120.2264435</v>
      </c>
      <c r="W35" s="239">
        <v>31.206110370000001</v>
      </c>
      <c r="X35" s="239">
        <v>111.5357657</v>
      </c>
      <c r="Y35" s="239">
        <v>23.37467728</v>
      </c>
      <c r="Z35" s="239">
        <v>-6.5061040700000001</v>
      </c>
      <c r="AA35" s="251">
        <f t="shared" si="9"/>
        <v>54.580787650000005</v>
      </c>
      <c r="AB35" s="251">
        <f t="shared" si="10"/>
        <v>105.02966162999999</v>
      </c>
    </row>
    <row r="36" spans="1:28" s="239" customFormat="1" x14ac:dyDescent="0.3">
      <c r="A36" s="239">
        <f t="shared" si="11"/>
        <v>61.93774551623585</v>
      </c>
      <c r="B36" s="248">
        <v>120.450354025878</v>
      </c>
      <c r="C36" s="249">
        <f t="shared" si="12"/>
        <v>42.202073244619655</v>
      </c>
      <c r="D36" s="249">
        <f t="shared" si="13"/>
        <v>123.66188255525508</v>
      </c>
      <c r="E36" s="248">
        <f t="shared" si="14"/>
        <v>19.735672271616199</v>
      </c>
      <c r="F36" s="261">
        <f t="shared" si="14"/>
        <v>-2.8695563832473261</v>
      </c>
      <c r="G36" s="250">
        <f t="shared" si="15"/>
        <v>61.93774551623585</v>
      </c>
      <c r="H36" s="250">
        <f t="shared" si="15"/>
        <v>120.79232617200775</v>
      </c>
      <c r="I36" s="240" t="str">
        <f t="shared" si="0"/>
        <v>-880888.198732913i</v>
      </c>
      <c r="J36" s="240" t="str">
        <f t="shared" si="1"/>
        <v>-25410236.5019108i</v>
      </c>
      <c r="K36" s="240" t="str">
        <f t="shared" si="2"/>
        <v>392829.453516844-589872.676929883i</v>
      </c>
      <c r="L36" s="240">
        <f t="shared" si="3"/>
        <v>4750</v>
      </c>
      <c r="M36" s="240" t="str">
        <f t="shared" si="4"/>
        <v>-71.4235370030624+107.249577623615i</v>
      </c>
      <c r="N36" s="240" t="str">
        <f t="shared" si="5"/>
        <v>1+0.0499829974708616i</v>
      </c>
      <c r="O36" s="239" t="str">
        <f t="shared" si="6"/>
        <v>1+0.0000192987033138294i</v>
      </c>
      <c r="P36" s="239" t="str">
        <f t="shared" si="7"/>
        <v>9.68818022791545-0.484056851588633i</v>
      </c>
      <c r="Q36" s="240" t="str">
        <f t="shared" si="8"/>
        <v>0.999999988564716-0.00016107008340286i</v>
      </c>
      <c r="R36" s="239" t="str">
        <f t="shared" si="16"/>
        <v>9.6881021500509-0.485617322050638i</v>
      </c>
      <c r="S36" s="249">
        <f t="shared" si="17"/>
        <v>19.735672271616199</v>
      </c>
      <c r="T36" s="249">
        <f t="shared" si="18"/>
        <v>-2.8695563832473261</v>
      </c>
      <c r="V36" s="239">
        <v>131.8256739</v>
      </c>
      <c r="W36" s="239">
        <v>30.497589049999998</v>
      </c>
      <c r="X36" s="239">
        <v>109.95111660000001</v>
      </c>
      <c r="Y36" s="239">
        <v>23.36352737</v>
      </c>
      <c r="Z36" s="239">
        <v>-7.12771869</v>
      </c>
      <c r="AA36" s="251">
        <f t="shared" si="9"/>
        <v>53.861116420000002</v>
      </c>
      <c r="AB36" s="251">
        <f t="shared" si="10"/>
        <v>102.82339791000001</v>
      </c>
    </row>
    <row r="37" spans="1:28" s="239" customFormat="1" x14ac:dyDescent="0.3">
      <c r="A37" s="239">
        <f t="shared" si="11"/>
        <v>61.352399395191576</v>
      </c>
      <c r="B37" s="248">
        <v>132.19411484660299</v>
      </c>
      <c r="C37" s="249">
        <f t="shared" si="12"/>
        <v>41.618939886304872</v>
      </c>
      <c r="D37" s="249">
        <f t="shared" si="13"/>
        <v>121.3353226286419</v>
      </c>
      <c r="E37" s="248">
        <f t="shared" si="14"/>
        <v>19.733459508886703</v>
      </c>
      <c r="F37" s="261">
        <f t="shared" si="14"/>
        <v>-3.1488010814325538</v>
      </c>
      <c r="G37" s="250">
        <f t="shared" si="15"/>
        <v>61.352399395191576</v>
      </c>
      <c r="H37" s="250">
        <f t="shared" si="15"/>
        <v>118.18652154720935</v>
      </c>
      <c r="I37" s="240" t="str">
        <f t="shared" si="0"/>
        <v>-802632.518987084i</v>
      </c>
      <c r="J37" s="240" t="str">
        <f t="shared" si="1"/>
        <v>-23152861.1246274i</v>
      </c>
      <c r="K37" s="240" t="str">
        <f t="shared" si="2"/>
        <v>344628.558492577-566028.01141371i</v>
      </c>
      <c r="L37" s="240">
        <f t="shared" si="3"/>
        <v>4750</v>
      </c>
      <c r="M37" s="240" t="str">
        <f t="shared" si="4"/>
        <v>-62.6597379077412+102.914183893402i</v>
      </c>
      <c r="N37" s="240" t="str">
        <f t="shared" si="5"/>
        <v>1+0.0548562780199133i</v>
      </c>
      <c r="O37" s="239" t="str">
        <f t="shared" si="6"/>
        <v>1+0.0000211803030625446i</v>
      </c>
      <c r="P37" s="239" t="str">
        <f t="shared" si="7"/>
        <v>9.68324718858416-0.530981188869942i</v>
      </c>
      <c r="Q37" s="240" t="str">
        <f t="shared" si="8"/>
        <v>0.99999998622616-0.000176774217803595i</v>
      </c>
      <c r="R37" s="239" t="str">
        <f t="shared" si="16"/>
        <v>9.68315319142433-0.532692930003853i</v>
      </c>
      <c r="S37" s="249">
        <f t="shared" si="17"/>
        <v>19.733459508886703</v>
      </c>
      <c r="T37" s="249">
        <f t="shared" si="18"/>
        <v>-3.1488010814325538</v>
      </c>
      <c r="V37" s="239">
        <v>144.54397710000001</v>
      </c>
      <c r="W37" s="239">
        <v>29.775256200000001</v>
      </c>
      <c r="X37" s="239">
        <v>108.492949</v>
      </c>
      <c r="Y37" s="239">
        <v>23.350160020000001</v>
      </c>
      <c r="Z37" s="239">
        <v>-7.8073968799999998</v>
      </c>
      <c r="AA37" s="251">
        <f t="shared" si="9"/>
        <v>53.125416220000005</v>
      </c>
      <c r="AB37" s="251">
        <f t="shared" si="10"/>
        <v>100.68555212</v>
      </c>
    </row>
    <row r="38" spans="1:28" s="239" customFormat="1" x14ac:dyDescent="0.3">
      <c r="A38" s="239">
        <f t="shared" si="11"/>
        <v>60.737723008259508</v>
      </c>
      <c r="B38" s="248">
        <v>145.08287784959401</v>
      </c>
      <c r="C38" s="249">
        <f t="shared" si="12"/>
        <v>41.006927283940009</v>
      </c>
      <c r="D38" s="249">
        <f t="shared" si="13"/>
        <v>119.11893269649646</v>
      </c>
      <c r="E38" s="248">
        <f t="shared" si="14"/>
        <v>19.730795724319496</v>
      </c>
      <c r="F38" s="261">
        <f t="shared" si="14"/>
        <v>-3.4551005102805985</v>
      </c>
      <c r="G38" s="250">
        <f t="shared" si="15"/>
        <v>60.737723008259508</v>
      </c>
      <c r="H38" s="250">
        <f t="shared" si="15"/>
        <v>115.66383218621586</v>
      </c>
      <c r="I38" s="240" t="str">
        <f t="shared" si="0"/>
        <v>-731328.85814819i</v>
      </c>
      <c r="J38" s="240" t="str">
        <f t="shared" si="1"/>
        <v>-21096024.7542747i</v>
      </c>
      <c r="K38" s="240" t="str">
        <f t="shared" si="2"/>
        <v>300540.254976819-539544.639353566i</v>
      </c>
      <c r="L38" s="240">
        <f t="shared" si="3"/>
        <v>4750</v>
      </c>
      <c r="M38" s="240" t="str">
        <f t="shared" si="4"/>
        <v>-54.6436827230579+98.0990253370118i</v>
      </c>
      <c r="N38" s="240" t="str">
        <f t="shared" si="5"/>
        <v>1+0.0602046974063987i</v>
      </c>
      <c r="O38" s="239" t="str">
        <f t="shared" si="6"/>
        <v>1+0.0000232453564639114i</v>
      </c>
      <c r="P38" s="239" t="str">
        <f t="shared" si="7"/>
        <v>9.67731199342953-0.582393872656464i</v>
      </c>
      <c r="Q38" s="240" t="str">
        <f t="shared" si="8"/>
        <v>0.99999998340936-0.000194009485957302i</v>
      </c>
      <c r="R38" s="239" t="str">
        <f t="shared" si="16"/>
        <v>9.67719884294087-0.584271353319471i</v>
      </c>
      <c r="S38" s="249">
        <f t="shared" si="17"/>
        <v>19.730795724319496</v>
      </c>
      <c r="T38" s="249">
        <f t="shared" si="18"/>
        <v>-3.4551005102805985</v>
      </c>
      <c r="V38" s="239">
        <v>158.48931920000001</v>
      </c>
      <c r="W38" s="239">
        <v>29.041032900000001</v>
      </c>
      <c r="X38" s="239">
        <v>107.15817010000001</v>
      </c>
      <c r="Y38" s="239">
        <v>23.334143210000001</v>
      </c>
      <c r="Z38" s="239">
        <v>-8.5501486599999996</v>
      </c>
      <c r="AA38" s="251">
        <f t="shared" si="9"/>
        <v>52.375176109999998</v>
      </c>
      <c r="AB38" s="251">
        <f t="shared" si="10"/>
        <v>98.608021440000002</v>
      </c>
    </row>
    <row r="39" spans="1:28" s="239" customFormat="1" x14ac:dyDescent="0.3">
      <c r="A39" s="239">
        <f t="shared" si="11"/>
        <v>60.09626297760213</v>
      </c>
      <c r="B39" s="248">
        <v>159.228279334109</v>
      </c>
      <c r="C39" s="249">
        <f t="shared" si="12"/>
        <v>40.368673623513196</v>
      </c>
      <c r="D39" s="249">
        <f t="shared" si="13"/>
        <v>117.0225786801585</v>
      </c>
      <c r="E39" s="248">
        <f t="shared" si="14"/>
        <v>19.727589354088934</v>
      </c>
      <c r="F39" s="261">
        <f t="shared" si="14"/>
        <v>-3.7910376100637984</v>
      </c>
      <c r="G39" s="250">
        <f t="shared" si="15"/>
        <v>60.09626297760213</v>
      </c>
      <c r="H39" s="250">
        <f t="shared" si="15"/>
        <v>113.23154107009471</v>
      </c>
      <c r="I39" s="240" t="str">
        <f t="shared" si="0"/>
        <v>-666359.6180171i</v>
      </c>
      <c r="J39" s="240" t="str">
        <f t="shared" si="1"/>
        <v>-19221912.0581855i</v>
      </c>
      <c r="K39" s="240" t="str">
        <f t="shared" si="2"/>
        <v>260722.708962164-511199.017342665i</v>
      </c>
      <c r="L39" s="240">
        <f t="shared" si="3"/>
        <v>4750</v>
      </c>
      <c r="M39" s="240" t="str">
        <f t="shared" si="4"/>
        <v>-47.4041289022116+92.9452758804844i</v>
      </c>
      <c r="N39" s="240" t="str">
        <f t="shared" si="5"/>
        <v>1+0.0660745810804054i</v>
      </c>
      <c r="O39" s="239" t="str">
        <f t="shared" si="6"/>
        <v>1+0.0000255117500225888i</v>
      </c>
      <c r="P39" s="239" t="str">
        <f t="shared" si="7"/>
        <v>9.67017268625823-0.63870482954064i</v>
      </c>
      <c r="Q39" s="240" t="str">
        <f t="shared" si="8"/>
        <v>0.999999980016516-0.000212925171526218i</v>
      </c>
      <c r="R39" s="239" t="str">
        <f t="shared" si="16"/>
        <v>9.6700364966791-0.640763839955002i</v>
      </c>
      <c r="S39" s="249">
        <f t="shared" si="17"/>
        <v>19.727589354088934</v>
      </c>
      <c r="T39" s="249">
        <f t="shared" si="18"/>
        <v>-3.7910376100637984</v>
      </c>
      <c r="V39" s="239">
        <v>173.7800829</v>
      </c>
      <c r="W39" s="239">
        <v>28.296635569999999</v>
      </c>
      <c r="X39" s="239">
        <v>105.9428513</v>
      </c>
      <c r="Y39" s="239">
        <v>23.314964629999999</v>
      </c>
      <c r="Z39" s="239">
        <v>-9.3612878899999998</v>
      </c>
      <c r="AA39" s="251">
        <f t="shared" si="9"/>
        <v>51.611600199999998</v>
      </c>
      <c r="AB39" s="251">
        <f t="shared" si="10"/>
        <v>96.581563410000001</v>
      </c>
    </row>
    <row r="40" spans="1:28" s="239" customFormat="1" x14ac:dyDescent="0.3">
      <c r="A40" s="239">
        <f t="shared" si="11"/>
        <v>59.430595507074152</v>
      </c>
      <c r="B40" s="248">
        <v>174.752840000768</v>
      </c>
      <c r="C40" s="249">
        <f t="shared" si="12"/>
        <v>39.706865096995216</v>
      </c>
      <c r="D40" s="249">
        <f t="shared" si="13"/>
        <v>115.05306404269388</v>
      </c>
      <c r="E40" s="248">
        <f t="shared" si="14"/>
        <v>19.723730410078936</v>
      </c>
      <c r="F40" s="261">
        <f t="shared" si="14"/>
        <v>-4.1594296571670055</v>
      </c>
      <c r="G40" s="250">
        <f t="shared" si="15"/>
        <v>59.430595507074152</v>
      </c>
      <c r="H40" s="250">
        <f t="shared" si="15"/>
        <v>110.89363438552687</v>
      </c>
      <c r="I40" s="240" t="str">
        <f t="shared" si="0"/>
        <v>-607162.066116524i</v>
      </c>
      <c r="J40" s="240" t="str">
        <f t="shared" si="1"/>
        <v>-17514290.3687459i</v>
      </c>
      <c r="K40" s="240" t="str">
        <f t="shared" si="2"/>
        <v>225172.693366654-481719.105734057i</v>
      </c>
      <c r="L40" s="240">
        <f t="shared" si="3"/>
        <v>4750</v>
      </c>
      <c r="M40" s="240" t="str">
        <f t="shared" si="4"/>
        <v>-40.9404897030279+87.5852919516466i</v>
      </c>
      <c r="N40" s="240" t="str">
        <f t="shared" si="5"/>
        <v>1+0.0725167711662158i</v>
      </c>
      <c r="O40" s="239" t="str">
        <f t="shared" si="6"/>
        <v>1+0.0000279991141553586i</v>
      </c>
      <c r="P40" s="239" t="str">
        <f t="shared" si="7"/>
        <v>9.66158734393529-0.700355180630689i</v>
      </c>
      <c r="Q40" s="240" t="str">
        <f t="shared" si="8"/>
        <v>0.999999975929822-0.000233685113149059i</v>
      </c>
      <c r="R40" s="239" t="str">
        <f t="shared" si="16"/>
        <v>9.66142344879953-0.702612932904682i</v>
      </c>
      <c r="S40" s="249">
        <f t="shared" si="17"/>
        <v>19.723730410078936</v>
      </c>
      <c r="T40" s="249">
        <f t="shared" si="18"/>
        <v>-4.1594296571670055</v>
      </c>
      <c r="V40" s="239">
        <v>190.54607179999999</v>
      </c>
      <c r="W40" s="239">
        <v>27.543581490000001</v>
      </c>
      <c r="X40" s="239">
        <v>104.8425302</v>
      </c>
      <c r="Y40" s="239">
        <v>23.292018460000001</v>
      </c>
      <c r="Z40" s="239">
        <v>-10.246409399999999</v>
      </c>
      <c r="AA40" s="251">
        <f t="shared" si="9"/>
        <v>50.835599950000002</v>
      </c>
      <c r="AB40" s="251">
        <f t="shared" si="10"/>
        <v>94.596120799999994</v>
      </c>
    </row>
    <row r="41" spans="1:28" s="239" customFormat="1" x14ac:dyDescent="0.3">
      <c r="A41" s="239">
        <f t="shared" si="11"/>
        <v>58.743231375692304</v>
      </c>
      <c r="B41" s="248">
        <v>191.79102616724899</v>
      </c>
      <c r="C41" s="249">
        <f t="shared" si="12"/>
        <v>39.024144529502266</v>
      </c>
      <c r="D41" s="249">
        <f t="shared" si="13"/>
        <v>113.21440151599273</v>
      </c>
      <c r="E41" s="248">
        <f t="shared" si="14"/>
        <v>19.719086846190041</v>
      </c>
      <c r="F41" s="261">
        <f t="shared" si="14"/>
        <v>-4.5633455754176291</v>
      </c>
      <c r="G41" s="250">
        <f t="shared" si="15"/>
        <v>58.743231375692304</v>
      </c>
      <c r="H41" s="250">
        <f t="shared" si="15"/>
        <v>108.65105594057511</v>
      </c>
      <c r="I41" s="240" t="str">
        <f t="shared" si="0"/>
        <v>-553223.461571507i</v>
      </c>
      <c r="J41" s="240" t="str">
        <f t="shared" si="1"/>
        <v>-15958369.0837935i</v>
      </c>
      <c r="K41" s="240" t="str">
        <f t="shared" si="2"/>
        <v>193756.689903019-451754.593633638i</v>
      </c>
      <c r="L41" s="240">
        <f t="shared" si="3"/>
        <v>4750</v>
      </c>
      <c r="M41" s="240" t="str">
        <f t="shared" si="4"/>
        <v>-35.2284890732761+82.1371988424795i</v>
      </c>
      <c r="N41" s="240" t="str">
        <f t="shared" si="5"/>
        <v>1+0.0795870668324645i</v>
      </c>
      <c r="O41" s="239" t="str">
        <f t="shared" si="6"/>
        <v>1+0.0000307289932204053i</v>
      </c>
      <c r="P41" s="239" t="str">
        <f t="shared" si="7"/>
        <v>9.65126649443227-0.767817540009685i</v>
      </c>
      <c r="Q41" s="240" t="str">
        <f t="shared" si="8"/>
        <v>0.999999971007386-0.000256469123534456i</v>
      </c>
      <c r="R41" s="239" t="str">
        <f t="shared" si="16"/>
        <v>9.65106929312531-0.770292769607472i</v>
      </c>
      <c r="S41" s="249">
        <f t="shared" si="17"/>
        <v>19.719086846190041</v>
      </c>
      <c r="T41" s="249">
        <f t="shared" si="18"/>
        <v>-4.5633455754176291</v>
      </c>
      <c r="V41" s="239">
        <v>208.92961310000001</v>
      </c>
      <c r="W41" s="239">
        <v>26.783200560000001</v>
      </c>
      <c r="X41" s="239">
        <v>103.8524656</v>
      </c>
      <c r="Y41" s="239">
        <v>23.264590640000002</v>
      </c>
      <c r="Z41" s="239">
        <v>-11.2113502</v>
      </c>
      <c r="AA41" s="251">
        <f t="shared" si="9"/>
        <v>50.047791200000006</v>
      </c>
      <c r="AB41" s="251">
        <f t="shared" si="10"/>
        <v>92.641115400000004</v>
      </c>
    </row>
    <row r="42" spans="1:28" s="239" customFormat="1" x14ac:dyDescent="0.3">
      <c r="A42" s="239">
        <f t="shared" si="11"/>
        <v>58.036540826060339</v>
      </c>
      <c r="B42" s="248">
        <v>210.49041445120201</v>
      </c>
      <c r="C42" s="249">
        <f t="shared" si="12"/>
        <v>38.323040585142429</v>
      </c>
      <c r="D42" s="249">
        <f t="shared" si="13"/>
        <v>111.5081816774245</v>
      </c>
      <c r="E42" s="248">
        <f t="shared" si="14"/>
        <v>19.713500240917909</v>
      </c>
      <c r="F42" s="261">
        <f t="shared" si="14"/>
        <v>-5.0061232096077593</v>
      </c>
      <c r="G42" s="250">
        <f t="shared" si="15"/>
        <v>58.036540826060339</v>
      </c>
      <c r="H42" s="250">
        <f t="shared" si="15"/>
        <v>106.50205846781674</v>
      </c>
      <c r="I42" s="240" t="str">
        <f t="shared" si="0"/>
        <v>-504076.613993246i</v>
      </c>
      <c r="J42" s="240" t="str">
        <f t="shared" si="1"/>
        <v>-14540671.5574975i</v>
      </c>
      <c r="K42" s="240" t="str">
        <f t="shared" si="2"/>
        <v>166244.603047826-421859.843240376i</v>
      </c>
      <c r="L42" s="240">
        <f t="shared" si="3"/>
        <v>4750</v>
      </c>
      <c r="M42" s="240" t="str">
        <f t="shared" si="4"/>
        <v>-30.226291463241+76.7017896800682i</v>
      </c>
      <c r="N42" s="240" t="str">
        <f t="shared" si="5"/>
        <v>1+0.087346707597843i</v>
      </c>
      <c r="O42" s="239" t="str">
        <f t="shared" si="6"/>
        <v>1+0.0000337250321242393i</v>
      </c>
      <c r="P42" s="239" t="str">
        <f t="shared" si="7"/>
        <v>9.63886424368097-0.841595506514613i</v>
      </c>
      <c r="Q42" s="240" t="str">
        <f t="shared" si="8"/>
        <v>0.999999965078294-0.000281474546914632i</v>
      </c>
      <c r="R42" s="239" t="str">
        <f t="shared" si="16"/>
        <v>9.63862701936151-0.844308572070424i</v>
      </c>
      <c r="S42" s="249">
        <f t="shared" si="17"/>
        <v>19.713500240917909</v>
      </c>
      <c r="T42" s="249">
        <f t="shared" si="18"/>
        <v>-5.0061232096077593</v>
      </c>
      <c r="V42" s="239">
        <v>229.0867653</v>
      </c>
      <c r="W42" s="239">
        <v>26.01665083</v>
      </c>
      <c r="X42" s="239">
        <v>102.96784390000001</v>
      </c>
      <c r="Y42" s="239">
        <v>23.231842820000001</v>
      </c>
      <c r="Z42" s="239">
        <v>-12.2621296</v>
      </c>
      <c r="AA42" s="251">
        <f t="shared" si="9"/>
        <v>49.24849365</v>
      </c>
      <c r="AB42" s="251">
        <f t="shared" si="10"/>
        <v>90.705714300000011</v>
      </c>
    </row>
    <row r="43" spans="1:28" s="239" customFormat="1" x14ac:dyDescent="0.3">
      <c r="A43" s="239">
        <f t="shared" si="11"/>
        <v>57.312698527425937</v>
      </c>
      <c r="B43" s="248">
        <v>231.01297000831599</v>
      </c>
      <c r="C43" s="249">
        <f t="shared" si="12"/>
        <v>37.605917845088221</v>
      </c>
      <c r="D43" s="249">
        <f t="shared" si="13"/>
        <v>109.93398903492678</v>
      </c>
      <c r="E43" s="248">
        <f t="shared" si="14"/>
        <v>19.706780682337715</v>
      </c>
      <c r="F43" s="261">
        <f t="shared" si="14"/>
        <v>-5.4913860348439503</v>
      </c>
      <c r="G43" s="250">
        <f t="shared" si="15"/>
        <v>57.312698527425937</v>
      </c>
      <c r="H43" s="250">
        <f t="shared" si="15"/>
        <v>104.44260300008283</v>
      </c>
      <c r="I43" s="240" t="str">
        <f t="shared" si="0"/>
        <v>-459295.83689945i</v>
      </c>
      <c r="J43" s="240" t="str">
        <f t="shared" si="1"/>
        <v>-13248918.3720995i</v>
      </c>
      <c r="K43" s="240" t="str">
        <f t="shared" si="2"/>
        <v>142342.006883378-392487.821879762i</v>
      </c>
      <c r="L43" s="240">
        <f t="shared" si="3"/>
        <v>4750</v>
      </c>
      <c r="M43" s="240" t="str">
        <f t="shared" si="4"/>
        <v>-25.8803648878869+71.3614221599566i</v>
      </c>
      <c r="N43" s="240" t="str">
        <f t="shared" si="5"/>
        <v>1+0.0958629037585157i</v>
      </c>
      <c r="O43" s="239" t="str">
        <f t="shared" si="6"/>
        <v>1+0.0000370131811225663i</v>
      </c>
      <c r="P43" s="239" t="str">
        <f t="shared" si="7"/>
        <v>9.62396795875966-0.922222028316522i</v>
      </c>
      <c r="Q43" s="240" t="str">
        <f t="shared" si="8"/>
        <v>0.99999995793668-0.00030891796834939i</v>
      </c>
      <c r="R43" s="239" t="str">
        <f t="shared" si="16"/>
        <v>9.62368266298826-0.925195006154081i</v>
      </c>
      <c r="S43" s="249">
        <f t="shared" si="17"/>
        <v>19.706780682337715</v>
      </c>
      <c r="T43" s="249">
        <f t="shared" si="18"/>
        <v>-5.4913860348439503</v>
      </c>
      <c r="V43" s="239">
        <v>251.1886432</v>
      </c>
      <c r="W43" s="239">
        <v>25.244936030000002</v>
      </c>
      <c r="X43" s="239">
        <v>102.1839449</v>
      </c>
      <c r="Y43" s="239">
        <v>23.192795400000001</v>
      </c>
      <c r="Z43" s="239">
        <v>-13.404864099999999</v>
      </c>
      <c r="AA43" s="251">
        <f t="shared" si="9"/>
        <v>48.437731429999999</v>
      </c>
      <c r="AB43" s="251">
        <f t="shared" si="10"/>
        <v>88.779080800000003</v>
      </c>
    </row>
    <row r="44" spans="1:28" s="239" customFormat="1" x14ac:dyDescent="0.3">
      <c r="A44" s="239">
        <f t="shared" si="11"/>
        <v>56.57364668066041</v>
      </c>
      <c r="B44" s="248">
        <v>253.53644939701101</v>
      </c>
      <c r="C44" s="249">
        <f t="shared" si="12"/>
        <v>36.874945951205831</v>
      </c>
      <c r="D44" s="249">
        <f t="shared" si="13"/>
        <v>108.48982545267754</v>
      </c>
      <c r="E44" s="248">
        <f t="shared" si="14"/>
        <v>19.698700729454579</v>
      </c>
      <c r="F44" s="261">
        <f t="shared" si="14"/>
        <v>-6.0230585746183607</v>
      </c>
      <c r="G44" s="250">
        <f t="shared" si="15"/>
        <v>56.57364668066041</v>
      </c>
      <c r="H44" s="250">
        <f t="shared" si="15"/>
        <v>102.46676687805918</v>
      </c>
      <c r="I44" s="240" t="str">
        <f t="shared" si="0"/>
        <v>-418493.260621673i</v>
      </c>
      <c r="J44" s="240" t="str">
        <f t="shared" si="1"/>
        <v>-12071920.9794713i</v>
      </c>
      <c r="K44" s="240" t="str">
        <f t="shared" si="2"/>
        <v>121718.298246053-363992.443566405i</v>
      </c>
      <c r="L44" s="240">
        <f t="shared" si="3"/>
        <v>4750</v>
      </c>
      <c r="M44" s="240" t="str">
        <f t="shared" si="4"/>
        <v>-22.1305996811005+66.1804442848008i</v>
      </c>
      <c r="N44" s="240" t="str">
        <f t="shared" si="5"/>
        <v>1+0.105209418531551i</v>
      </c>
      <c r="O44" s="239" t="str">
        <f t="shared" si="6"/>
        <v>1+0.0000406219205889874i</v>
      </c>
      <c r="P44" s="239" t="str">
        <f t="shared" si="7"/>
        <v>9.6060863701933-1.01025622605241i</v>
      </c>
      <c r="Q44" s="240" t="str">
        <f t="shared" si="8"/>
        <v>0.999999949334581-0.00033903708968581i</v>
      </c>
      <c r="R44" s="239" t="str">
        <f t="shared" si="16"/>
        <v>9.60574336916619-1.01351299443358i</v>
      </c>
      <c r="S44" s="249">
        <f t="shared" si="17"/>
        <v>19.698700729454579</v>
      </c>
      <c r="T44" s="249">
        <f t="shared" si="18"/>
        <v>-6.0230585746183607</v>
      </c>
      <c r="V44" s="239">
        <v>275.4228703</v>
      </c>
      <c r="W44" s="239">
        <v>24.468923759999999</v>
      </c>
      <c r="X44" s="239">
        <v>101.4962694</v>
      </c>
      <c r="Y44" s="239">
        <v>23.14631013</v>
      </c>
      <c r="Z44" s="239">
        <v>-14.6456497</v>
      </c>
      <c r="AA44" s="251">
        <f t="shared" si="9"/>
        <v>47.615233889999999</v>
      </c>
      <c r="AB44" s="251">
        <f t="shared" si="10"/>
        <v>86.85061970000001</v>
      </c>
    </row>
    <row r="45" spans="1:28" s="239" customFormat="1" x14ac:dyDescent="0.3">
      <c r="A45" s="239">
        <f t="shared" si="11"/>
        <v>55.821073114133419</v>
      </c>
      <c r="B45" s="248">
        <v>278.255940220713</v>
      </c>
      <c r="C45" s="249">
        <f t="shared" si="12"/>
        <v>36.132084800333743</v>
      </c>
      <c r="D45" s="249">
        <f t="shared" si="13"/>
        <v>107.17251192093498</v>
      </c>
      <c r="E45" s="248">
        <f t="shared" si="14"/>
        <v>19.688988313799676</v>
      </c>
      <c r="F45" s="261">
        <f t="shared" si="14"/>
        <v>-6.6053795426856716</v>
      </c>
      <c r="G45" s="250">
        <f t="shared" si="15"/>
        <v>55.821073114133419</v>
      </c>
      <c r="H45" s="250">
        <f t="shared" si="15"/>
        <v>100.56713237824931</v>
      </c>
      <c r="I45" s="240" t="str">
        <f t="shared" si="0"/>
        <v>-381315.4727638i</v>
      </c>
      <c r="J45" s="240" t="str">
        <f t="shared" si="1"/>
        <v>-10999484.7912635i</v>
      </c>
      <c r="K45" s="240" t="str">
        <f t="shared" si="2"/>
        <v>104029.477029421-336636.584963183i</v>
      </c>
      <c r="L45" s="240">
        <f t="shared" si="3"/>
        <v>4750</v>
      </c>
      <c r="M45" s="240" t="str">
        <f t="shared" si="4"/>
        <v>-18.9144503689856+61.2066518114877i</v>
      </c>
      <c r="N45" s="240" t="str">
        <f t="shared" si="5"/>
        <v>1+0.115467206956619i</v>
      </c>
      <c r="O45" s="239" t="str">
        <f t="shared" si="6"/>
        <v>1+0.0000445825076983707i</v>
      </c>
      <c r="P45" s="239" t="str">
        <f t="shared" si="7"/>
        <v>9.58463599269766-1.10627814574659i</v>
      </c>
      <c r="Q45" s="240" t="str">
        <f t="shared" si="8"/>
        <v>0.999999938973322-0.000372092788422584i</v>
      </c>
      <c r="R45" s="239" t="str">
        <f t="shared" si="16"/>
        <v>9.58422376965914-1.10984445216665i</v>
      </c>
      <c r="S45" s="249">
        <f t="shared" si="17"/>
        <v>19.688988313799676</v>
      </c>
      <c r="T45" s="249">
        <f t="shared" si="18"/>
        <v>-6.6053795426856716</v>
      </c>
      <c r="V45" s="239">
        <v>301.99517200000003</v>
      </c>
      <c r="W45" s="239">
        <v>23.689363539999999</v>
      </c>
      <c r="X45" s="239">
        <v>100.90063619999999</v>
      </c>
      <c r="Y45" s="239">
        <v>23.091073309999999</v>
      </c>
      <c r="Z45" s="239">
        <v>-15.9904077</v>
      </c>
      <c r="AA45" s="251">
        <f t="shared" si="9"/>
        <v>46.780436850000001</v>
      </c>
      <c r="AB45" s="251">
        <f t="shared" si="10"/>
        <v>84.910228499999988</v>
      </c>
    </row>
    <row r="46" spans="1:28" s="239" customFormat="1" x14ac:dyDescent="0.3">
      <c r="A46" s="239">
        <f t="shared" si="11"/>
        <v>55.056400759276926</v>
      </c>
      <c r="B46" s="248">
        <v>305.38555088334198</v>
      </c>
      <c r="C46" s="249">
        <f t="shared" si="12"/>
        <v>35.379082319920087</v>
      </c>
      <c r="D46" s="249">
        <f t="shared" si="13"/>
        <v>105.97805047403304</v>
      </c>
      <c r="E46" s="248">
        <f t="shared" si="14"/>
        <v>19.677318439356839</v>
      </c>
      <c r="F46" s="261">
        <f t="shared" si="14"/>
        <v>-7.2429113971108512</v>
      </c>
      <c r="G46" s="250">
        <f t="shared" si="15"/>
        <v>55.056400759276926</v>
      </c>
      <c r="H46" s="250">
        <f t="shared" si="15"/>
        <v>98.735139076922195</v>
      </c>
      <c r="I46" s="240" t="str">
        <f t="shared" si="0"/>
        <v>-347440.457112945i</v>
      </c>
      <c r="J46" s="240" t="str">
        <f t="shared" si="1"/>
        <v>-10022320.878258i</v>
      </c>
      <c r="K46" s="240" t="str">
        <f t="shared" si="2"/>
        <v>88935.3142222023-310603.335460755i</v>
      </c>
      <c r="L46" s="240">
        <f t="shared" si="3"/>
        <v>4750</v>
      </c>
      <c r="M46" s="240" t="str">
        <f t="shared" si="4"/>
        <v>-16.1700571313095+56.4733337201372i</v>
      </c>
      <c r="N46" s="240" t="str">
        <f t="shared" si="5"/>
        <v>1+0.126725117089821i</v>
      </c>
      <c r="O46" s="239" t="str">
        <f t="shared" si="6"/>
        <v>1+0.0000489292471615465i</v>
      </c>
      <c r="P46" s="239" t="str">
        <f t="shared" si="7"/>
        <v>9.55892583216537-1.21088077614498i</v>
      </c>
      <c r="Q46" s="240" t="str">
        <f t="shared" si="8"/>
        <v>0.99999992649315-0.000408371377312248i</v>
      </c>
      <c r="R46" s="239" t="str">
        <f t="shared" si="16"/>
        <v>9.55843064046853-1.21478427884466i</v>
      </c>
      <c r="S46" s="249">
        <f t="shared" si="17"/>
        <v>19.677318439356839</v>
      </c>
      <c r="T46" s="249">
        <f t="shared" si="18"/>
        <v>-7.2429113971108512</v>
      </c>
      <c r="V46" s="239">
        <v>331.13112150000001</v>
      </c>
      <c r="W46" s="239">
        <v>22.906904010000002</v>
      </c>
      <c r="X46" s="239">
        <v>100.39325479999999</v>
      </c>
      <c r="Y46" s="239">
        <v>23.025580850000001</v>
      </c>
      <c r="Z46" s="239">
        <v>-17.4446862</v>
      </c>
      <c r="AA46" s="251">
        <f t="shared" si="9"/>
        <v>45.932484860000002</v>
      </c>
      <c r="AB46" s="251">
        <f t="shared" si="10"/>
        <v>82.948568599999987</v>
      </c>
    </row>
    <row r="47" spans="1:28" s="239" customFormat="1" x14ac:dyDescent="0.3">
      <c r="A47" s="239">
        <f t="shared" si="11"/>
        <v>54.280784980122178</v>
      </c>
      <c r="B47" s="248">
        <v>335.16026509388399</v>
      </c>
      <c r="C47" s="249">
        <f t="shared" si="12"/>
        <v>34.617481439504218</v>
      </c>
      <c r="D47" s="249">
        <f t="shared" si="13"/>
        <v>104.90193711567018</v>
      </c>
      <c r="E47" s="248">
        <f t="shared" si="14"/>
        <v>19.663303540617964</v>
      </c>
      <c r="F47" s="261">
        <f t="shared" si="14"/>
        <v>-7.9405445871997449</v>
      </c>
      <c r="G47" s="250">
        <f t="shared" si="15"/>
        <v>54.280784980122178</v>
      </c>
      <c r="H47" s="250">
        <f t="shared" si="15"/>
        <v>96.961392528470441</v>
      </c>
      <c r="I47" s="240" t="str">
        <f t="shared" si="0"/>
        <v>-316574.804489057i</v>
      </c>
      <c r="J47" s="240" t="str">
        <f t="shared" si="1"/>
        <v>-9131965.51410742i</v>
      </c>
      <c r="K47" s="240" t="str">
        <f t="shared" si="2"/>
        <v>76111.3470358094-286008.556226704i</v>
      </c>
      <c r="L47" s="240">
        <f t="shared" si="3"/>
        <v>4750</v>
      </c>
      <c r="M47" s="240" t="str">
        <f t="shared" si="4"/>
        <v>-13.8384267337835+52.0015556775824i</v>
      </c>
      <c r="N47" s="240" t="str">
        <f t="shared" si="5"/>
        <v>1+0.139080659563041i</v>
      </c>
      <c r="O47" s="239" t="str">
        <f t="shared" si="6"/>
        <v>1+0.0000536997883563018i</v>
      </c>
      <c r="P47" s="239" t="str">
        <f t="shared" si="7"/>
        <v>9.52814046141182-1.32465850730909i</v>
      </c>
      <c r="Q47" s="240" t="str">
        <f t="shared" si="8"/>
        <v>0.999999911460736-0.000448187084273411i</v>
      </c>
      <c r="R47" s="239" t="str">
        <f t="shared" si="16"/>
        <v>9.52754592296323-1.32892877951675i</v>
      </c>
      <c r="S47" s="249">
        <f t="shared" si="17"/>
        <v>19.663303540617964</v>
      </c>
      <c r="T47" s="249">
        <f t="shared" si="18"/>
        <v>-7.9405445871997449</v>
      </c>
      <c r="V47" s="239">
        <v>363.07805480000002</v>
      </c>
      <c r="W47" s="239">
        <v>22.12210906</v>
      </c>
      <c r="X47" s="239">
        <v>99.97077736</v>
      </c>
      <c r="Y47" s="239">
        <v>22.948127039999999</v>
      </c>
      <c r="Z47" s="239">
        <v>-19.0134145</v>
      </c>
      <c r="AA47" s="251">
        <f t="shared" si="9"/>
        <v>45.070236100000002</v>
      </c>
      <c r="AB47" s="251">
        <f t="shared" si="10"/>
        <v>80.957362860000003</v>
      </c>
    </row>
    <row r="48" spans="1:28" s="239" customFormat="1" x14ac:dyDescent="0.3">
      <c r="A48" s="239">
        <f t="shared" si="11"/>
        <v>53.495115650289932</v>
      </c>
      <c r="B48" s="248">
        <v>367.83797718286303</v>
      </c>
      <c r="C48" s="249">
        <f t="shared" si="12"/>
        <v>33.848633277904526</v>
      </c>
      <c r="D48" s="249">
        <f t="shared" si="13"/>
        <v>103.93942339306693</v>
      </c>
      <c r="E48" s="248">
        <f t="shared" si="14"/>
        <v>19.646482372385403</v>
      </c>
      <c r="F48" s="261">
        <f t="shared" si="14"/>
        <v>-8.7034942749873192</v>
      </c>
      <c r="G48" s="250">
        <f t="shared" si="15"/>
        <v>53.495115650289932</v>
      </c>
      <c r="H48" s="250">
        <f t="shared" si="15"/>
        <v>95.235929118079611</v>
      </c>
      <c r="I48" s="240" t="str">
        <f t="shared" si="0"/>
        <v>-288451.171374971i</v>
      </c>
      <c r="J48" s="240" t="str">
        <f t="shared" si="1"/>
        <v>-8320706.86658574i</v>
      </c>
      <c r="K48" s="240" t="str">
        <f t="shared" si="2"/>
        <v>65256.4989604679-262913.384709279i</v>
      </c>
      <c r="L48" s="240">
        <f t="shared" si="3"/>
        <v>4750</v>
      </c>
      <c r="M48" s="240" t="str">
        <f t="shared" si="4"/>
        <v>-11.8648179928123+47.8024335835052i</v>
      </c>
      <c r="N48" s="240" t="str">
        <f t="shared" si="5"/>
        <v>1+0.152640852174398i</v>
      </c>
      <c r="O48" s="239" t="str">
        <f t="shared" si="6"/>
        <v>1+0.0000589354514282796i</v>
      </c>
      <c r="P48" s="239" t="str">
        <f t="shared" si="7"/>
        <v>9.49132172684678-1.44819103345161i</v>
      </c>
      <c r="Q48" s="240" t="str">
        <f t="shared" si="8"/>
        <v>0.999999893354139-0.000491884774093404i</v>
      </c>
      <c r="R48" s="239" t="str">
        <f t="shared" si="16"/>
        <v>9.49060837151727-1.45285951565149i</v>
      </c>
      <c r="S48" s="249">
        <f t="shared" si="17"/>
        <v>19.646482372385403</v>
      </c>
      <c r="T48" s="249">
        <f t="shared" si="18"/>
        <v>-8.7034942749873192</v>
      </c>
      <c r="V48" s="239">
        <v>398.10717060000002</v>
      </c>
      <c r="W48" s="239">
        <v>21.33547287</v>
      </c>
      <c r="X48" s="239">
        <v>99.630335840000001</v>
      </c>
      <c r="Y48" s="239">
        <v>22.856799479999999</v>
      </c>
      <c r="Z48" s="239">
        <v>-20.700608599999999</v>
      </c>
      <c r="AA48" s="251">
        <f t="shared" si="9"/>
        <v>44.192272349999996</v>
      </c>
      <c r="AB48" s="251">
        <f t="shared" si="10"/>
        <v>78.929727240000005</v>
      </c>
    </row>
    <row r="49" spans="1:28" s="239" customFormat="1" x14ac:dyDescent="0.3">
      <c r="A49" s="239">
        <f t="shared" si="11"/>
        <v>52.700021454257275</v>
      </c>
      <c r="B49" s="248">
        <v>403.70172585965503</v>
      </c>
      <c r="C49" s="249">
        <f t="shared" si="12"/>
        <v>33.073714117052013</v>
      </c>
      <c r="D49" s="249">
        <f t="shared" si="13"/>
        <v>103.08572881714565</v>
      </c>
      <c r="E49" s="248">
        <f t="shared" si="14"/>
        <v>19.626307337205262</v>
      </c>
      <c r="F49" s="261">
        <f t="shared" si="14"/>
        <v>-9.5372867165748314</v>
      </c>
      <c r="G49" s="250">
        <f t="shared" si="15"/>
        <v>52.700021454257275</v>
      </c>
      <c r="H49" s="250">
        <f t="shared" si="15"/>
        <v>93.548442100570824</v>
      </c>
      <c r="I49" s="240" t="str">
        <f t="shared" si="0"/>
        <v>-262825.96431476i</v>
      </c>
      <c r="J49" s="240" t="str">
        <f t="shared" si="1"/>
        <v>-7581518.20138733i</v>
      </c>
      <c r="K49" s="240" t="str">
        <f t="shared" si="2"/>
        <v>56097.2423797616-241335.824690301i</v>
      </c>
      <c r="L49" s="240">
        <f t="shared" si="3"/>
        <v>4750</v>
      </c>
      <c r="M49" s="240" t="str">
        <f t="shared" si="4"/>
        <v>-10.1994986145021+43.8792408527819i</v>
      </c>
      <c r="N49" s="240" t="str">
        <f t="shared" si="5"/>
        <v>1+0.167523146825209i</v>
      </c>
      <c r="O49" s="239" t="str">
        <f t="shared" si="6"/>
        <v>1+0.0000646815851863128i</v>
      </c>
      <c r="P49" s="239" t="str">
        <f t="shared" si="7"/>
        <v>9.44734961608363-1.58202152504367i</v>
      </c>
      <c r="Q49" s="240" t="str">
        <f t="shared" si="8"/>
        <v>0.999999871544677-0.000539842935496277i</v>
      </c>
      <c r="R49" s="239" t="str">
        <f t="shared" si="16"/>
        <v>9.44649435937718-1.58712140677399i</v>
      </c>
      <c r="S49" s="249">
        <f t="shared" si="17"/>
        <v>19.626307337205262</v>
      </c>
      <c r="T49" s="249">
        <f t="shared" si="18"/>
        <v>-9.5372867165748314</v>
      </c>
      <c r="V49" s="239">
        <v>436.51583219999998</v>
      </c>
      <c r="W49" s="239">
        <v>20.54743363</v>
      </c>
      <c r="X49" s="239">
        <v>99.369567849999996</v>
      </c>
      <c r="Y49" s="239">
        <v>22.74948281</v>
      </c>
      <c r="Z49" s="239">
        <v>-22.509030500000001</v>
      </c>
      <c r="AA49" s="251">
        <f t="shared" si="9"/>
        <v>43.296916440000004</v>
      </c>
      <c r="AB49" s="251">
        <f t="shared" si="10"/>
        <v>76.860537349999987</v>
      </c>
    </row>
    <row r="50" spans="1:28" s="239" customFormat="1" x14ac:dyDescent="0.3">
      <c r="A50" s="239">
        <f t="shared" si="11"/>
        <v>51.895874523633211</v>
      </c>
      <c r="B50" s="248">
        <v>443.062145758388</v>
      </c>
      <c r="C50" s="249">
        <f t="shared" si="12"/>
        <v>32.293744308154132</v>
      </c>
      <c r="D50" s="249">
        <f t="shared" si="13"/>
        <v>102.33620900649562</v>
      </c>
      <c r="E50" s="248">
        <f t="shared" si="14"/>
        <v>19.602130215479082</v>
      </c>
      <c r="F50" s="261">
        <f t="shared" si="14"/>
        <v>-10.447731798341303</v>
      </c>
      <c r="G50" s="250">
        <f t="shared" si="15"/>
        <v>51.895874523633211</v>
      </c>
      <c r="H50" s="250">
        <f t="shared" si="15"/>
        <v>91.888477208154313</v>
      </c>
      <c r="I50" s="240" t="str">
        <f t="shared" si="0"/>
        <v>-239477.230023748i</v>
      </c>
      <c r="J50" s="240" t="str">
        <f t="shared" si="1"/>
        <v>-6907997.01991583i</v>
      </c>
      <c r="K50" s="240" t="str">
        <f t="shared" si="2"/>
        <v>48389.1883325922-221260.96089356i</v>
      </c>
      <c r="L50" s="240">
        <f t="shared" si="3"/>
        <v>4750</v>
      </c>
      <c r="M50" s="240" t="str">
        <f t="shared" si="4"/>
        <v>-8.79803424228948+40.2292656170108i</v>
      </c>
      <c r="N50" s="240" t="str">
        <f t="shared" si="5"/>
        <v>1+0.183856446832179i</v>
      </c>
      <c r="O50" s="239" t="str">
        <f t="shared" si="6"/>
        <v>1+0.0000709879598921124i</v>
      </c>
      <c r="P50" s="239" t="str">
        <f t="shared" si="7"/>
        <v>9.39492319974465-1.72662773609064i</v>
      </c>
      <c r="Q50" s="240" t="str">
        <f t="shared" si="8"/>
        <v>0.999999845275102-0.000592476959449849i</v>
      </c>
      <c r="R50" s="239" t="str">
        <f t="shared" si="16"/>
        <v>9.39389875896494-1.73219374446999i</v>
      </c>
      <c r="S50" s="249">
        <f t="shared" si="17"/>
        <v>19.602130215479082</v>
      </c>
      <c r="T50" s="249">
        <f t="shared" si="18"/>
        <v>-10.447731798341303</v>
      </c>
      <c r="V50" s="239">
        <v>478.6300923</v>
      </c>
      <c r="W50" s="239">
        <v>19.758386380000001</v>
      </c>
      <c r="X50" s="239">
        <v>99.186633670000006</v>
      </c>
      <c r="Y50" s="239">
        <v>22.623874749999999</v>
      </c>
      <c r="Z50" s="239">
        <v>-24.439810600000001</v>
      </c>
      <c r="AA50" s="251">
        <f t="shared" si="9"/>
        <v>42.382261130000003</v>
      </c>
      <c r="AB50" s="251">
        <f t="shared" si="10"/>
        <v>74.746823070000005</v>
      </c>
    </row>
    <row r="51" spans="1:28" s="239" customFormat="1" x14ac:dyDescent="0.3">
      <c r="A51" s="239">
        <f t="shared" si="11"/>
        <v>51.082794142155763</v>
      </c>
      <c r="B51" s="248">
        <v>486.26015800653499</v>
      </c>
      <c r="C51" s="249">
        <f t="shared" si="12"/>
        <v>31.509607781988311</v>
      </c>
      <c r="D51" s="249">
        <f t="shared" si="13"/>
        <v>101.68648569603093</v>
      </c>
      <c r="E51" s="248">
        <f t="shared" si="14"/>
        <v>19.573186360167448</v>
      </c>
      <c r="F51" s="261">
        <f t="shared" si="14"/>
        <v>-11.440877459062678</v>
      </c>
      <c r="G51" s="250">
        <f t="shared" si="15"/>
        <v>51.082794142155763</v>
      </c>
      <c r="H51" s="250">
        <f t="shared" si="15"/>
        <v>90.245608236968252</v>
      </c>
      <c r="I51" s="240" t="str">
        <f t="shared" si="0"/>
        <v>-218202.732935341i</v>
      </c>
      <c r="J51" s="240" t="str">
        <f t="shared" si="1"/>
        <v>-6294309.60390409i</v>
      </c>
      <c r="K51" s="240" t="str">
        <f t="shared" si="2"/>
        <v>41916.8732749311-202649.623518786i</v>
      </c>
      <c r="L51" s="240">
        <f t="shared" si="3"/>
        <v>4750</v>
      </c>
      <c r="M51" s="240" t="str">
        <f t="shared" si="4"/>
        <v>-7.6212496863511+36.8453860943247i</v>
      </c>
      <c r="N51" s="240" t="str">
        <f t="shared" si="5"/>
        <v>1+0.201782223426256i</v>
      </c>
      <c r="O51" s="239" t="str">
        <f t="shared" si="6"/>
        <v>1+0.0000779091983464639i</v>
      </c>
      <c r="P51" s="239" t="str">
        <f t="shared" si="7"/>
        <v>9.33254308811229-1.88238461120278i</v>
      </c>
      <c r="Q51" s="240" t="str">
        <f t="shared" si="8"/>
        <v>0.999999813633301-0.000650242737108354i</v>
      </c>
      <c r="R51" s="239" t="str">
        <f t="shared" si="16"/>
        <v>9.33131734191516-1.88845267875077i</v>
      </c>
      <c r="S51" s="249">
        <f t="shared" si="17"/>
        <v>19.573186360167448</v>
      </c>
      <c r="T51" s="249">
        <f t="shared" si="18"/>
        <v>-11.440877459062678</v>
      </c>
      <c r="V51" s="239">
        <v>524.80746020000004</v>
      </c>
      <c r="W51" s="239">
        <v>18.968694769999999</v>
      </c>
      <c r="X51" s="239">
        <v>99.080227350000001</v>
      </c>
      <c r="Y51" s="239">
        <v>22.477517370000001</v>
      </c>
      <c r="Z51" s="239">
        <v>-26.492051700000001</v>
      </c>
      <c r="AA51" s="251">
        <f t="shared" si="9"/>
        <v>41.44621214</v>
      </c>
      <c r="AB51" s="251">
        <f t="shared" si="10"/>
        <v>72.588175649999997</v>
      </c>
    </row>
    <row r="52" spans="1:28" s="239" customFormat="1" x14ac:dyDescent="0.3">
      <c r="A52" s="239">
        <f t="shared" si="11"/>
        <v>50.260648844113263</v>
      </c>
      <c r="B52" s="248">
        <v>533.66992312063098</v>
      </c>
      <c r="C52" s="249">
        <f t="shared" si="12"/>
        <v>30.722071278458735</v>
      </c>
      <c r="D52" s="249">
        <f t="shared" si="13"/>
        <v>101.13254503754116</v>
      </c>
      <c r="E52" s="248">
        <f t="shared" si="14"/>
        <v>19.538577565654531</v>
      </c>
      <c r="F52" s="261">
        <f t="shared" si="14"/>
        <v>-12.522940938734882</v>
      </c>
      <c r="G52" s="250">
        <f t="shared" si="15"/>
        <v>50.260648844113263</v>
      </c>
      <c r="H52" s="250">
        <f t="shared" si="15"/>
        <v>88.609604098806287</v>
      </c>
      <c r="I52" s="240" t="str">
        <f t="shared" si="0"/>
        <v>-198818.203533298i</v>
      </c>
      <c r="J52" s="240" t="str">
        <f t="shared" si="1"/>
        <v>-5735140.48653742i</v>
      </c>
      <c r="K52" s="240" t="str">
        <f t="shared" si="2"/>
        <v>36492.3667310818-185445.515136398i</v>
      </c>
      <c r="L52" s="240">
        <f t="shared" si="3"/>
        <v>4750</v>
      </c>
      <c r="M52" s="240" t="str">
        <f t="shared" si="4"/>
        <v>-6.63497576928759+33.7173663884359i</v>
      </c>
      <c r="N52" s="240" t="str">
        <f t="shared" si="5"/>
        <v>1+0.221455741108761i</v>
      </c>
      <c r="O52" s="239" t="str">
        <f t="shared" si="6"/>
        <v>1+0.0000855052490057978i</v>
      </c>
      <c r="P52" s="239" t="str">
        <f t="shared" si="7"/>
        <v>9.25849753965326-2.04951697516839i</v>
      </c>
      <c r="Q52" s="240" t="str">
        <f t="shared" si="8"/>
        <v>0.999999775520636-0.000713640608556342i</v>
      </c>
      <c r="R52" s="239" t="str">
        <f t="shared" si="16"/>
        <v>9.25703284277022-2.05612375491264i</v>
      </c>
      <c r="S52" s="249">
        <f t="shared" si="17"/>
        <v>19.538577565654531</v>
      </c>
      <c r="T52" s="249">
        <f t="shared" si="18"/>
        <v>-12.522940938734882</v>
      </c>
      <c r="V52" s="239">
        <v>575.4399373</v>
      </c>
      <c r="W52" s="239">
        <v>18.178702309999998</v>
      </c>
      <c r="X52" s="239">
        <v>99.049583389999995</v>
      </c>
      <c r="Y52" s="239">
        <v>22.30784658</v>
      </c>
      <c r="Z52" s="239">
        <v>-28.6624427</v>
      </c>
      <c r="AA52" s="251">
        <f t="shared" si="9"/>
        <v>40.486548889999995</v>
      </c>
      <c r="AB52" s="251">
        <f t="shared" si="10"/>
        <v>70.387140689999995</v>
      </c>
    </row>
    <row r="53" spans="1:28" s="239" customFormat="1" x14ac:dyDescent="0.3">
      <c r="A53" s="239">
        <f t="shared" si="11"/>
        <v>49.42905679578179</v>
      </c>
      <c r="B53" s="248">
        <v>585.70208180566704</v>
      </c>
      <c r="C53" s="249">
        <f t="shared" si="12"/>
        <v>29.93180276233673</v>
      </c>
      <c r="D53" s="249">
        <f t="shared" si="13"/>
        <v>100.67081029372312</v>
      </c>
      <c r="E53" s="248">
        <f t="shared" si="14"/>
        <v>19.49725403344506</v>
      </c>
      <c r="F53" s="261">
        <f t="shared" si="14"/>
        <v>-13.700211067290834</v>
      </c>
      <c r="G53" s="250">
        <f t="shared" si="15"/>
        <v>49.42905679578179</v>
      </c>
      <c r="H53" s="250">
        <f t="shared" si="15"/>
        <v>86.970599226432284</v>
      </c>
      <c r="I53" s="240" t="str">
        <f t="shared" si="0"/>
        <v>-181155.74229733i</v>
      </c>
      <c r="J53" s="240" t="str">
        <f t="shared" si="1"/>
        <v>-5225646.41242297i</v>
      </c>
      <c r="K53" s="240" t="str">
        <f t="shared" si="2"/>
        <v>31953.1777847376-169580.92165799i</v>
      </c>
      <c r="L53" s="240">
        <f t="shared" si="3"/>
        <v>4750</v>
      </c>
      <c r="M53" s="240" t="str">
        <f t="shared" si="4"/>
        <v>-5.8096686881341+30.8328948469072i</v>
      </c>
      <c r="N53" s="240" t="str">
        <f t="shared" si="5"/>
        <v>1+0.243047402478215i</v>
      </c>
      <c r="O53" s="239" t="str">
        <f t="shared" si="6"/>
        <v>1+0.0000938419052270395i</v>
      </c>
      <c r="P53" s="239" t="str">
        <f t="shared" si="7"/>
        <v>9.17085523456584-2.22804111550568i</v>
      </c>
      <c r="Q53" s="240" t="str">
        <f t="shared" si="8"/>
        <v>0.999999729613788-0.000783219696558489i</v>
      </c>
      <c r="R53" s="239" t="str">
        <f t="shared" si="16"/>
        <v>9.16910770920663-2.23522330752808i</v>
      </c>
      <c r="S53" s="249">
        <f t="shared" si="17"/>
        <v>19.49725403344506</v>
      </c>
      <c r="T53" s="249">
        <f t="shared" si="18"/>
        <v>-13.700211067290834</v>
      </c>
      <c r="V53" s="239">
        <v>630.95734449999998</v>
      </c>
      <c r="W53" s="239">
        <v>17.388743059999999</v>
      </c>
      <c r="X53" s="239">
        <v>99.094480200000007</v>
      </c>
      <c r="Y53" s="239">
        <v>22.112261220000001</v>
      </c>
      <c r="Z53" s="239">
        <v>-30.9449194</v>
      </c>
      <c r="AA53" s="251">
        <f t="shared" si="9"/>
        <v>39.501004280000004</v>
      </c>
      <c r="AB53" s="251">
        <f t="shared" si="10"/>
        <v>68.149560800000003</v>
      </c>
    </row>
    <row r="54" spans="1:28" s="239" customFormat="1" x14ac:dyDescent="0.3">
      <c r="A54" s="239">
        <f t="shared" si="11"/>
        <v>48.587384908567586</v>
      </c>
      <c r="B54" s="248">
        <v>642.80731172843196</v>
      </c>
      <c r="C54" s="249">
        <f t="shared" si="12"/>
        <v>29.139388758239022</v>
      </c>
      <c r="D54" s="249">
        <f t="shared" si="13"/>
        <v>100.29819436216995</v>
      </c>
      <c r="E54" s="248">
        <f t="shared" si="14"/>
        <v>19.447996150328567</v>
      </c>
      <c r="F54" s="261">
        <f t="shared" si="14"/>
        <v>-14.978915288900335</v>
      </c>
      <c r="G54" s="250">
        <f t="shared" si="15"/>
        <v>48.587384908567586</v>
      </c>
      <c r="H54" s="250">
        <f t="shared" si="15"/>
        <v>85.319279073269612</v>
      </c>
      <c r="I54" s="240" t="str">
        <f t="shared" si="0"/>
        <v>-165062.365437782i</v>
      </c>
      <c r="J54" s="240" t="str">
        <f t="shared" si="1"/>
        <v>-4761414.38762834i</v>
      </c>
      <c r="K54" s="240" t="str">
        <f t="shared" si="2"/>
        <v>28159.8089193393-154981.1826683i</v>
      </c>
      <c r="L54" s="240">
        <f t="shared" si="3"/>
        <v>4750</v>
      </c>
      <c r="M54" s="240" t="str">
        <f t="shared" si="4"/>
        <v>-5.11996525806168+28.1783968487818i</v>
      </c>
      <c r="N54" s="240" t="str">
        <f t="shared" si="5"/>
        <v>1+0.266744224176134i</v>
      </c>
      <c r="O54" s="239" t="str">
        <f t="shared" si="6"/>
        <v>1+0.000102991375138192i</v>
      </c>
      <c r="P54" s="239" t="str">
        <f t="shared" si="7"/>
        <v>9.0674687621039-2.41769462934807i</v>
      </c>
      <c r="Q54" s="240" t="str">
        <f t="shared" si="8"/>
        <v>0.999999674318816-0.000859582662855626i</v>
      </c>
      <c r="R54" s="239" t="str">
        <f t="shared" si="16"/>
        <v>9.06538760061247-2.42548808089431i</v>
      </c>
      <c r="S54" s="249">
        <f t="shared" si="17"/>
        <v>19.447996150328567</v>
      </c>
      <c r="T54" s="249">
        <f t="shared" si="18"/>
        <v>-14.978915288900335</v>
      </c>
      <c r="V54" s="239">
        <v>691.83097090000001</v>
      </c>
      <c r="W54" s="239">
        <v>16.599152109999999</v>
      </c>
      <c r="X54" s="239">
        <v>99.21524101</v>
      </c>
      <c r="Y54" s="239">
        <v>21.888211439999999</v>
      </c>
      <c r="Z54" s="239">
        <v>-33.330420699999998</v>
      </c>
      <c r="AA54" s="251">
        <f t="shared" si="9"/>
        <v>38.487363549999998</v>
      </c>
      <c r="AB54" s="251">
        <f t="shared" si="10"/>
        <v>65.884820310000009</v>
      </c>
    </row>
    <row r="55" spans="1:28" s="239" customFormat="1" x14ac:dyDescent="0.3">
      <c r="A55" s="239">
        <f t="shared" si="11"/>
        <v>47.734747709263161</v>
      </c>
      <c r="B55" s="248">
        <v>705.48023107186498</v>
      </c>
      <c r="C55" s="249">
        <f t="shared" si="12"/>
        <v>28.345350531215768</v>
      </c>
      <c r="D55" s="249">
        <f t="shared" si="13"/>
        <v>100.01213674755756</v>
      </c>
      <c r="E55" s="248">
        <f t="shared" si="14"/>
        <v>19.389397178047396</v>
      </c>
      <c r="F55" s="261">
        <f t="shared" si="14"/>
        <v>-16.365045034174152</v>
      </c>
      <c r="G55" s="250">
        <f t="shared" si="15"/>
        <v>47.734747709263161</v>
      </c>
      <c r="H55" s="250">
        <f t="shared" si="15"/>
        <v>83.647091713383418</v>
      </c>
      <c r="I55" s="240" t="str">
        <f t="shared" si="0"/>
        <v>-150398.679823232i</v>
      </c>
      <c r="J55" s="240" t="str">
        <f t="shared" si="1"/>
        <v>-4338423.45643937i</v>
      </c>
      <c r="K55" s="240" t="str">
        <f t="shared" si="2"/>
        <v>24993.1993090085-141568.113167747i</v>
      </c>
      <c r="L55" s="240">
        <f t="shared" si="3"/>
        <v>4750</v>
      </c>
      <c r="M55" s="240" t="str">
        <f t="shared" si="4"/>
        <v>-4.54421805618336+25.7396569395903i</v>
      </c>
      <c r="N55" s="240" t="str">
        <f t="shared" si="5"/>
        <v>1+0.292751456735711i</v>
      </c>
      <c r="O55" s="239" t="str">
        <f t="shared" si="6"/>
        <v>1+0.000113032907070598i</v>
      </c>
      <c r="P55" s="239" t="str">
        <f t="shared" si="7"/>
        <v>8.94599398892633-2.61785495424433i</v>
      </c>
      <c r="Q55" s="240" t="str">
        <f t="shared" si="8"/>
        <v>0.999999607715811-0.000943390928208214i</v>
      </c>
      <c r="R55" s="239" t="str">
        <f t="shared" si="16"/>
        <v>8.94352081893913-2.62629349687418i</v>
      </c>
      <c r="S55" s="249">
        <f t="shared" si="17"/>
        <v>19.389397178047396</v>
      </c>
      <c r="T55" s="249">
        <f t="shared" si="18"/>
        <v>-16.365045034174152</v>
      </c>
      <c r="V55" s="239">
        <v>758.57757500000002</v>
      </c>
      <c r="W55" s="239">
        <v>15.81027613</v>
      </c>
      <c r="X55" s="239">
        <v>99.412732410000004</v>
      </c>
      <c r="Y55" s="239">
        <v>21.633303080000001</v>
      </c>
      <c r="Z55" s="239">
        <v>-35.8067882</v>
      </c>
      <c r="AA55" s="251">
        <f t="shared" si="9"/>
        <v>37.443579210000003</v>
      </c>
      <c r="AB55" s="251">
        <f t="shared" si="10"/>
        <v>63.605944210000004</v>
      </c>
    </row>
    <row r="56" spans="1:28" s="239" customFormat="1" x14ac:dyDescent="0.3">
      <c r="A56" s="239">
        <f t="shared" si="11"/>
        <v>46.870007602710459</v>
      </c>
      <c r="B56" s="248">
        <v>774.26368268112697</v>
      </c>
      <c r="C56" s="249">
        <f t="shared" si="12"/>
        <v>27.550159174628863</v>
      </c>
      <c r="D56" s="249">
        <f t="shared" si="13"/>
        <v>99.810628745192616</v>
      </c>
      <c r="E56" s="248">
        <f t="shared" si="14"/>
        <v>19.319848428081599</v>
      </c>
      <c r="F56" s="261">
        <f t="shared" si="14"/>
        <v>-17.8641337173575</v>
      </c>
      <c r="G56" s="250">
        <f t="shared" si="15"/>
        <v>46.870007602710459</v>
      </c>
      <c r="H56" s="250">
        <f t="shared" si="15"/>
        <v>81.946495027835113</v>
      </c>
      <c r="I56" s="240" t="str">
        <f t="shared" si="0"/>
        <v>-137037.675623867i</v>
      </c>
      <c r="J56" s="240" t="str">
        <f t="shared" si="1"/>
        <v>-3953009.8737654i</v>
      </c>
      <c r="K56" s="240" t="str">
        <f t="shared" si="2"/>
        <v>22352.2168945861-129262.563250091i</v>
      </c>
      <c r="L56" s="240">
        <f t="shared" si="3"/>
        <v>4750</v>
      </c>
      <c r="M56" s="240" t="str">
        <f t="shared" si="4"/>
        <v>-4.06403943537928+23.5022842272892i</v>
      </c>
      <c r="N56" s="240" t="str">
        <f t="shared" si="5"/>
        <v>1+0.321294362363736i</v>
      </c>
      <c r="O56" s="239" t="str">
        <f t="shared" si="6"/>
        <v>1+0.000124053475970073i</v>
      </c>
      <c r="P56" s="239" t="str">
        <f t="shared" si="7"/>
        <v>8.80393151080809-2.82744870720022i</v>
      </c>
      <c r="Q56" s="240" t="str">
        <f t="shared" si="8"/>
        <v>0.999999527492235-0.00103537040140673i</v>
      </c>
      <c r="R56" s="239" t="str">
        <f t="shared" si="16"/>
        <v>8.80099989417916-2.83656270131105i</v>
      </c>
      <c r="S56" s="249">
        <f t="shared" si="17"/>
        <v>19.319848428081599</v>
      </c>
      <c r="T56" s="249">
        <f t="shared" si="18"/>
        <v>-17.8641337173575</v>
      </c>
      <c r="V56" s="239">
        <v>831.76377109999999</v>
      </c>
      <c r="W56" s="239">
        <v>15.02248413</v>
      </c>
      <c r="X56" s="239">
        <v>99.688360270000004</v>
      </c>
      <c r="Y56" s="239">
        <v>21.345411540000001</v>
      </c>
      <c r="Z56" s="239">
        <v>-38.358855599999998</v>
      </c>
      <c r="AA56" s="251">
        <f t="shared" si="9"/>
        <v>36.367895670000003</v>
      </c>
      <c r="AB56" s="251">
        <f t="shared" si="10"/>
        <v>61.329504670000006</v>
      </c>
    </row>
    <row r="57" spans="1:28" s="239" customFormat="1" x14ac:dyDescent="0.3">
      <c r="A57" s="239">
        <f t="shared" si="11"/>
        <v>45.991778801114563</v>
      </c>
      <c r="B57" s="248">
        <v>849.75343590864497</v>
      </c>
      <c r="C57" s="249">
        <f t="shared" si="12"/>
        <v>26.754249758335263</v>
      </c>
      <c r="D57" s="249">
        <f t="shared" si="13"/>
        <v>99.692229771376347</v>
      </c>
      <c r="E57" s="248">
        <f t="shared" si="14"/>
        <v>19.2375290427793</v>
      </c>
      <c r="F57" s="261">
        <f t="shared" si="14"/>
        <v>-19.480983451156593</v>
      </c>
      <c r="G57" s="250">
        <f t="shared" si="15"/>
        <v>45.991778801114563</v>
      </c>
      <c r="H57" s="250">
        <f t="shared" si="15"/>
        <v>80.211246320219757</v>
      </c>
      <c r="I57" s="240" t="str">
        <f t="shared" si="0"/>
        <v>-124863.626213103i</v>
      </c>
      <c r="J57" s="240" t="str">
        <f t="shared" si="1"/>
        <v>-3601835.37153181i</v>
      </c>
      <c r="K57" s="240" t="str">
        <f t="shared" si="2"/>
        <v>20151.2970159772-117986.284722214i</v>
      </c>
      <c r="L57" s="240">
        <f t="shared" si="3"/>
        <v>4750</v>
      </c>
      <c r="M57" s="240" t="str">
        <f t="shared" si="4"/>
        <v>-3.66387218472312+21.4520517676752i</v>
      </c>
      <c r="N57" s="240" t="str">
        <f t="shared" si="5"/>
        <v>1+0.352620166054079i</v>
      </c>
      <c r="O57" s="239" t="str">
        <f t="shared" si="6"/>
        <v>1+0.000136148536732277i</v>
      </c>
      <c r="P57" s="239" t="str">
        <f t="shared" si="7"/>
        <v>8.63869704896605-3.04485646227459i</v>
      </c>
      <c r="Q57" s="240" t="str">
        <f t="shared" si="8"/>
        <v>0.999999430862621-0.00113631776687877i</v>
      </c>
      <c r="R57" s="239" t="str">
        <f t="shared" si="16"/>
        <v>8.63523220786498-3.05467103427239i</v>
      </c>
      <c r="S57" s="249">
        <f t="shared" si="17"/>
        <v>19.2375290427793</v>
      </c>
      <c r="T57" s="249">
        <f t="shared" si="18"/>
        <v>-19.480983451156593</v>
      </c>
      <c r="V57" s="239">
        <v>912.01083940000001</v>
      </c>
      <c r="W57" s="239">
        <v>14.23617876</v>
      </c>
      <c r="X57" s="239">
        <v>100.0440622</v>
      </c>
      <c r="Y57" s="239">
        <v>21.022795760000001</v>
      </c>
      <c r="Z57" s="239">
        <v>-40.9687567</v>
      </c>
      <c r="AA57" s="251">
        <f t="shared" si="9"/>
        <v>35.258974520000002</v>
      </c>
      <c r="AB57" s="251">
        <f t="shared" si="10"/>
        <v>59.075305499999999</v>
      </c>
    </row>
    <row r="58" spans="1:28" s="239" customFormat="1" x14ac:dyDescent="0.3">
      <c r="A58" s="239">
        <f t="shared" si="11"/>
        <v>45.098437825351525</v>
      </c>
      <c r="B58" s="248">
        <v>932.60334688321996</v>
      </c>
      <c r="C58" s="249">
        <f t="shared" si="12"/>
        <v>25.958034749411361</v>
      </c>
      <c r="D58" s="249">
        <f t="shared" si="13"/>
        <v>99.656077003582169</v>
      </c>
      <c r="E58" s="248">
        <f t="shared" si="14"/>
        <v>19.14040307594016</v>
      </c>
      <c r="F58" s="261">
        <f t="shared" si="14"/>
        <v>-21.219339997678137</v>
      </c>
      <c r="G58" s="250">
        <f t="shared" si="15"/>
        <v>45.098437825351525</v>
      </c>
      <c r="H58" s="250">
        <f t="shared" si="15"/>
        <v>78.436737005904035</v>
      </c>
      <c r="I58" s="240" t="str">
        <f t="shared" si="0"/>
        <v>-113771.085798905i</v>
      </c>
      <c r="J58" s="240" t="str">
        <f t="shared" si="1"/>
        <v>-3281858.24419919i</v>
      </c>
      <c r="K58" s="240" t="str">
        <f t="shared" si="2"/>
        <v>18318.2813675076-107663.25096884i</v>
      </c>
      <c r="L58" s="240">
        <f t="shared" si="3"/>
        <v>4750</v>
      </c>
      <c r="M58" s="240" t="str">
        <f t="shared" si="4"/>
        <v>-3.3305966122741+19.5751365397891i</v>
      </c>
      <c r="N58" s="240" t="str">
        <f t="shared" si="5"/>
        <v>1+0.387000196932308i</v>
      </c>
      <c r="O58" s="239" t="str">
        <f t="shared" si="6"/>
        <v>1+0.00014942285098736i</v>
      </c>
      <c r="P58" s="239" t="str">
        <f t="shared" si="7"/>
        <v>8.44772748871769-3.26782095102571i</v>
      </c>
      <c r="Q58" s="240" t="str">
        <f t="shared" si="8"/>
        <v>0.999999314471863-0.00124710738536354i</v>
      </c>
      <c r="R58" s="239" t="str">
        <f t="shared" si="16"/>
        <v>8.44364637392073-3.27835393418322i</v>
      </c>
      <c r="S58" s="249">
        <f t="shared" si="17"/>
        <v>19.14040307594016</v>
      </c>
      <c r="T58" s="249">
        <f t="shared" si="18"/>
        <v>-21.219339997678137</v>
      </c>
      <c r="V58" s="239">
        <v>1000</v>
      </c>
      <c r="W58" s="239">
        <v>13.45180837</v>
      </c>
      <c r="X58" s="239">
        <v>100.48229550000001</v>
      </c>
      <c r="Y58" s="239">
        <v>20.664200600000001</v>
      </c>
      <c r="Z58" s="239">
        <v>-43.616458799999997</v>
      </c>
      <c r="AA58" s="251">
        <f t="shared" si="9"/>
        <v>34.116008970000003</v>
      </c>
      <c r="AB58" s="251">
        <f t="shared" si="10"/>
        <v>56.86583670000001</v>
      </c>
    </row>
    <row r="59" spans="1:28" s="239" customFormat="1" x14ac:dyDescent="0.3">
      <c r="A59" s="239">
        <f t="shared" si="11"/>
        <v>44.188144023874216</v>
      </c>
      <c r="B59" s="248">
        <v>1023.53102189903</v>
      </c>
      <c r="C59" s="249">
        <f t="shared" si="12"/>
        <v>25.16191695401583</v>
      </c>
      <c r="D59" s="249">
        <f t="shared" si="13"/>
        <v>99.70188978031706</v>
      </c>
      <c r="E59" s="248">
        <f t="shared" si="14"/>
        <v>19.026227069858383</v>
      </c>
      <c r="F59" s="261">
        <f t="shared" si="14"/>
        <v>-23.081520943303495</v>
      </c>
      <c r="G59" s="250">
        <f t="shared" si="15"/>
        <v>44.188144023874216</v>
      </c>
      <c r="H59" s="250">
        <f t="shared" si="15"/>
        <v>76.620368837013558</v>
      </c>
      <c r="I59" s="240" t="str">
        <f t="shared" si="0"/>
        <v>-103663.976102782i</v>
      </c>
      <c r="J59" s="240" t="str">
        <f t="shared" si="1"/>
        <v>-2990307.00296486i</v>
      </c>
      <c r="K59" s="240" t="str">
        <f t="shared" si="2"/>
        <v>16792.4808024466-98220.5526631215i</v>
      </c>
      <c r="L59" s="240">
        <f t="shared" si="3"/>
        <v>4750</v>
      </c>
      <c r="M59" s="240" t="str">
        <f t="shared" si="4"/>
        <v>-3.05317832771756+17.8582823023857i</v>
      </c>
      <c r="N59" s="240" t="str">
        <f t="shared" si="5"/>
        <v>1+0.42473223837878i</v>
      </c>
      <c r="O59" s="239" t="str">
        <f t="shared" si="6"/>
        <v>1+0.000163991394495082i</v>
      </c>
      <c r="P59" s="239" t="str">
        <f t="shared" si="7"/>
        <v>8.22862768021655-3.49337070751004i</v>
      </c>
      <c r="Q59" s="240" t="str">
        <f t="shared" si="8"/>
        <v>0.999999174278714-0.00136869886743767i</v>
      </c>
      <c r="R59" s="239" t="str">
        <f t="shared" si="16"/>
        <v>8.22383951313261-3.50463033634597i</v>
      </c>
      <c r="S59" s="249">
        <f t="shared" si="17"/>
        <v>19.026227069858383</v>
      </c>
      <c r="T59" s="249">
        <f t="shared" si="18"/>
        <v>-23.081520943303495</v>
      </c>
      <c r="V59" s="239">
        <v>1096.478196</v>
      </c>
      <c r="W59" s="239">
        <v>12.669879890000001</v>
      </c>
      <c r="X59" s="239">
        <v>101.00601829999999</v>
      </c>
      <c r="Y59" s="239">
        <v>20.268935580000001</v>
      </c>
      <c r="Z59" s="239">
        <v>-46.280493900000003</v>
      </c>
      <c r="AA59" s="251">
        <f t="shared" si="9"/>
        <v>32.938815470000002</v>
      </c>
      <c r="AB59" s="251">
        <f t="shared" si="10"/>
        <v>54.725524399999991</v>
      </c>
    </row>
    <row r="60" spans="1:28" s="239" customFormat="1" x14ac:dyDescent="0.3">
      <c r="A60" s="239">
        <f t="shared" si="11"/>
        <v>43.25887386570669</v>
      </c>
      <c r="B60" s="248">
        <v>1123.3240329780299</v>
      </c>
      <c r="C60" s="249">
        <f t="shared" si="12"/>
        <v>24.366302249078803</v>
      </c>
      <c r="D60" s="249">
        <f t="shared" si="13"/>
        <v>99.829969546008485</v>
      </c>
      <c r="E60" s="248">
        <f t="shared" si="14"/>
        <v>18.89257161662789</v>
      </c>
      <c r="F60" s="261">
        <f t="shared" si="14"/>
        <v>-25.068009850535024</v>
      </c>
      <c r="G60" s="250">
        <f t="shared" si="15"/>
        <v>43.25887386570669</v>
      </c>
      <c r="H60" s="250">
        <f t="shared" si="15"/>
        <v>74.761959695473465</v>
      </c>
      <c r="I60" s="240" t="str">
        <f t="shared" si="0"/>
        <v>-94454.7541757011i</v>
      </c>
      <c r="J60" s="240" t="str">
        <f t="shared" si="1"/>
        <v>-2724656.37045292i</v>
      </c>
      <c r="K60" s="240" t="str">
        <f t="shared" si="2"/>
        <v>15522.965618136-89588.9695818601i</v>
      </c>
      <c r="L60" s="240">
        <f t="shared" si="3"/>
        <v>4750</v>
      </c>
      <c r="M60" s="240" t="str">
        <f t="shared" si="4"/>
        <v>-2.82235738511563+16.2889035603382i</v>
      </c>
      <c r="N60" s="240" t="str">
        <f t="shared" si="5"/>
        <v>1+0.466143107285812i</v>
      </c>
      <c r="O60" s="239" t="str">
        <f t="shared" si="6"/>
        <v>1+0.000179980353009836i</v>
      </c>
      <c r="P60" s="239" t="str">
        <f t="shared" si="7"/>
        <v>7.97935947171436-3.71777538164308i</v>
      </c>
      <c r="Q60" s="240" t="str">
        <f t="shared" si="8"/>
        <v>0.999999005415472-0.0015021453855089i</v>
      </c>
      <c r="R60" s="239" t="str">
        <f t="shared" si="16"/>
        <v>7.97376689643299-3.72975784201096i</v>
      </c>
      <c r="S60" s="249">
        <f t="shared" si="17"/>
        <v>18.89257161662789</v>
      </c>
      <c r="T60" s="249">
        <f t="shared" si="18"/>
        <v>-25.068009850535024</v>
      </c>
      <c r="V60" s="239">
        <v>1202.264435</v>
      </c>
      <c r="W60" s="239">
        <v>11.89097289</v>
      </c>
      <c r="X60" s="239">
        <v>101.6186616</v>
      </c>
      <c r="Y60" s="239">
        <v>19.83692005</v>
      </c>
      <c r="Z60" s="239">
        <v>-48.938830299999999</v>
      </c>
      <c r="AA60" s="251">
        <f t="shared" si="9"/>
        <v>31.72789294</v>
      </c>
      <c r="AB60" s="251">
        <f t="shared" si="10"/>
        <v>52.679831299999996</v>
      </c>
    </row>
    <row r="61" spans="1:28" s="239" customFormat="1" x14ac:dyDescent="0.3">
      <c r="A61" s="239">
        <f t="shared" si="11"/>
        <v>42.30847265342932</v>
      </c>
      <c r="B61" s="248">
        <v>1232.84673944207</v>
      </c>
      <c r="C61" s="249">
        <f t="shared" si="12"/>
        <v>23.571612380395372</v>
      </c>
      <c r="D61" s="249">
        <f t="shared" si="13"/>
        <v>100.04119549114571</v>
      </c>
      <c r="E61" s="248">
        <f t="shared" si="14"/>
        <v>18.736860273033948</v>
      </c>
      <c r="F61" s="261">
        <f t="shared" si="14"/>
        <v>-27.177039040281219</v>
      </c>
      <c r="G61" s="250">
        <f t="shared" si="15"/>
        <v>42.30847265342932</v>
      </c>
      <c r="H61" s="250">
        <f t="shared" si="15"/>
        <v>72.864156450864499</v>
      </c>
      <c r="I61" s="240" t="str">
        <f t="shared" si="0"/>
        <v>-86063.6541429428i</v>
      </c>
      <c r="J61" s="240" t="str">
        <f t="shared" si="1"/>
        <v>-2482605.4079695i</v>
      </c>
      <c r="K61" s="240" t="str">
        <f t="shared" si="2"/>
        <v>14467.074567121-81703.2989535475i</v>
      </c>
      <c r="L61" s="240">
        <f t="shared" si="3"/>
        <v>4750</v>
      </c>
      <c r="M61" s="240" t="str">
        <f t="shared" si="4"/>
        <v>-2.630377194022+14.8551452642813i</v>
      </c>
      <c r="N61" s="240" t="str">
        <f t="shared" si="5"/>
        <v>1+0.511591484789277i</v>
      </c>
      <c r="O61" s="239" t="str">
        <f t="shared" si="6"/>
        <v>1+0.0001975282152413i</v>
      </c>
      <c r="P61" s="239" t="str">
        <f t="shared" si="7"/>
        <v>7.6984681996877-3.9365523088133i</v>
      </c>
      <c r="Q61" s="240" t="str">
        <f t="shared" si="8"/>
        <v>0.999998802018957-0.00164860279629615i</v>
      </c>
      <c r="R61" s="239" t="str">
        <f t="shared" si="16"/>
        <v>7.69196916592466-3.94923930909946i</v>
      </c>
      <c r="S61" s="249">
        <f t="shared" si="17"/>
        <v>18.736860273033948</v>
      </c>
      <c r="T61" s="249">
        <f t="shared" si="18"/>
        <v>-27.177039040281219</v>
      </c>
      <c r="V61" s="239">
        <v>1318.2567389999999</v>
      </c>
      <c r="W61" s="239">
        <v>11.115754819999999</v>
      </c>
      <c r="X61" s="239">
        <v>102.32409010000001</v>
      </c>
      <c r="Y61" s="239">
        <v>19.3686884</v>
      </c>
      <c r="Z61" s="239">
        <v>-51.569803800000003</v>
      </c>
      <c r="AA61" s="251">
        <f t="shared" si="9"/>
        <v>30.484443219999999</v>
      </c>
      <c r="AB61" s="251">
        <f t="shared" si="10"/>
        <v>50.754286300000004</v>
      </c>
    </row>
    <row r="62" spans="1:28" s="239" customFormat="1" x14ac:dyDescent="0.3">
      <c r="A62" s="239">
        <f t="shared" si="11"/>
        <v>41.334726548415176</v>
      </c>
      <c r="B62" s="248">
        <v>1353.04777457981</v>
      </c>
      <c r="C62" s="249">
        <f t="shared" si="12"/>
        <v>22.778298101129298</v>
      </c>
      <c r="D62" s="249">
        <f t="shared" si="13"/>
        <v>100.33701540889354</v>
      </c>
      <c r="E62" s="248">
        <f t="shared" si="14"/>
        <v>18.556428447285874</v>
      </c>
      <c r="F62" s="261">
        <f t="shared" si="14"/>
        <v>-29.40419483882533</v>
      </c>
      <c r="G62" s="250">
        <f t="shared" si="15"/>
        <v>41.334726548415176</v>
      </c>
      <c r="H62" s="250">
        <f t="shared" si="15"/>
        <v>70.932820570068202</v>
      </c>
      <c r="I62" s="240" t="str">
        <f t="shared" si="0"/>
        <v>-78417.9963102543i</v>
      </c>
      <c r="J62" s="240" t="str">
        <f t="shared" si="1"/>
        <v>-2262057.58587271i</v>
      </c>
      <c r="K62" s="240" t="str">
        <f t="shared" si="2"/>
        <v>13589.1267314924-74502.5038532597i</v>
      </c>
      <c r="L62" s="240">
        <f t="shared" si="3"/>
        <v>4750</v>
      </c>
      <c r="M62" s="240" t="str">
        <f t="shared" si="4"/>
        <v>-2.4707503148168+13.5459097915017i</v>
      </c>
      <c r="N62" s="240" t="str">
        <f t="shared" si="5"/>
        <v>1+0.56147102299299i</v>
      </c>
      <c r="O62" s="239" t="str">
        <f t="shared" si="6"/>
        <v>1+0.000216786972377373i</v>
      </c>
      <c r="P62" s="239" t="str">
        <f t="shared" si="7"/>
        <v>7.38533295644713-4.14454493386399i</v>
      </c>
      <c r="Q62" s="240" t="str">
        <f t="shared" si="8"/>
        <v>0.999998557026928-0.00180933965284196i</v>
      </c>
      <c r="R62" s="239" t="str">
        <f t="shared" si="16"/>
        <v>7.37782341011872-4.1579015291648i</v>
      </c>
      <c r="S62" s="249">
        <f t="shared" si="17"/>
        <v>18.556428447285874</v>
      </c>
      <c r="T62" s="249">
        <f t="shared" si="18"/>
        <v>-29.40419483882533</v>
      </c>
      <c r="V62" s="239">
        <v>1445.4397710000001</v>
      </c>
      <c r="W62" s="239">
        <v>10.344997340000001</v>
      </c>
      <c r="X62" s="239">
        <v>103.1265453</v>
      </c>
      <c r="Y62" s="239">
        <v>18.865354880000002</v>
      </c>
      <c r="Z62" s="239">
        <v>-54.153013199999997</v>
      </c>
      <c r="AA62" s="251">
        <f t="shared" si="9"/>
        <v>29.210352220000004</v>
      </c>
      <c r="AB62" s="251">
        <f t="shared" si="10"/>
        <v>48.973532100000007</v>
      </c>
    </row>
    <row r="63" spans="1:28" s="239" customFormat="1" x14ac:dyDescent="0.3">
      <c r="A63" s="239">
        <f t="shared" si="11"/>
        <v>40.335456208959762</v>
      </c>
      <c r="B63" s="248">
        <v>1484.9682622544599</v>
      </c>
      <c r="C63" s="249">
        <f t="shared" si="12"/>
        <v>21.986852911103956</v>
      </c>
      <c r="D63" s="249">
        <f t="shared" si="13"/>
        <v>100.71943064242004</v>
      </c>
      <c r="E63" s="248">
        <f t="shared" si="14"/>
        <v>18.348603297855806</v>
      </c>
      <c r="F63" s="261">
        <f t="shared" si="14"/>
        <v>-31.742089795323743</v>
      </c>
      <c r="G63" s="250">
        <f t="shared" si="15"/>
        <v>40.335456208959762</v>
      </c>
      <c r="H63" s="250">
        <f t="shared" si="15"/>
        <v>68.977340847096286</v>
      </c>
      <c r="I63" s="240" t="str">
        <f t="shared" si="0"/>
        <v>-71451.5576471059i</v>
      </c>
      <c r="J63" s="240" t="str">
        <f t="shared" si="1"/>
        <v>-2061102.62443574i</v>
      </c>
      <c r="K63" s="240" t="str">
        <f t="shared" si="2"/>
        <v>12859.3168816668-67929.7311340698i</v>
      </c>
      <c r="L63" s="240">
        <f t="shared" si="3"/>
        <v>4750</v>
      </c>
      <c r="M63" s="240" t="str">
        <f t="shared" si="4"/>
        <v>-2.33805761484851+12.3508602061945i</v>
      </c>
      <c r="N63" s="240" t="str">
        <f t="shared" si="5"/>
        <v>1+0.616213754594927i</v>
      </c>
      <c r="O63" s="239" t="str">
        <f t="shared" si="6"/>
        <v>1+0.000237923434559143i</v>
      </c>
      <c r="P63" s="239" t="str">
        <f t="shared" si="7"/>
        <v>7.04041622442028-4.33609051398133i</v>
      </c>
      <c r="Q63" s="240" t="str">
        <f t="shared" si="8"/>
        <v>0.999998261932864-0.00198574819281888i</v>
      </c>
      <c r="R63" s="239" t="str">
        <f t="shared" si="16"/>
        <v>7.03179360380218-4.35006347135924i</v>
      </c>
      <c r="S63" s="249">
        <f t="shared" si="17"/>
        <v>18.348603297855806</v>
      </c>
      <c r="T63" s="249">
        <f t="shared" si="18"/>
        <v>-31.742089795323743</v>
      </c>
      <c r="V63" s="239">
        <v>1584.893192</v>
      </c>
      <c r="W63" s="239">
        <v>9.5795937850000001</v>
      </c>
      <c r="X63" s="239">
        <v>104.0305692</v>
      </c>
      <c r="Y63" s="239">
        <v>18.328542580000001</v>
      </c>
      <c r="Z63" s="239">
        <v>-56.670095600000003</v>
      </c>
      <c r="AA63" s="251">
        <f t="shared" si="9"/>
        <v>27.908136365000001</v>
      </c>
      <c r="AB63" s="251">
        <f t="shared" si="10"/>
        <v>47.360473599999999</v>
      </c>
    </row>
    <row r="64" spans="1:28" s="239" customFormat="1" x14ac:dyDescent="0.3">
      <c r="A64" s="239">
        <f t="shared" si="11"/>
        <v>39.308630834599654</v>
      </c>
      <c r="B64" s="248">
        <v>1629.75083462064</v>
      </c>
      <c r="C64" s="249">
        <f t="shared" si="12"/>
        <v>21.197827629759761</v>
      </c>
      <c r="D64" s="249">
        <f t="shared" si="13"/>
        <v>101.19097331047035</v>
      </c>
      <c r="E64" s="248">
        <f t="shared" si="14"/>
        <v>18.110803204839893</v>
      </c>
      <c r="F64" s="261">
        <f t="shared" si="14"/>
        <v>-34.180153773218173</v>
      </c>
      <c r="G64" s="250">
        <f t="shared" si="15"/>
        <v>39.308630834599654</v>
      </c>
      <c r="H64" s="250">
        <f t="shared" si="15"/>
        <v>67.010819537252189</v>
      </c>
      <c r="I64" s="240" t="str">
        <f t="shared" si="0"/>
        <v>-65103.9981944816i</v>
      </c>
      <c r="J64" s="240" t="str">
        <f t="shared" si="1"/>
        <v>-1877999.94791774i</v>
      </c>
      <c r="K64" s="240" t="str">
        <f t="shared" si="2"/>
        <v>12252.7737834714-61932.2370000207i</v>
      </c>
      <c r="L64" s="240">
        <f t="shared" si="3"/>
        <v>4750</v>
      </c>
      <c r="M64" s="240" t="str">
        <f t="shared" si="4"/>
        <v>-2.22777705154025+11.2604067272765i</v>
      </c>
      <c r="N64" s="240" t="str">
        <f t="shared" si="5"/>
        <v>1+0.676293834947774i</v>
      </c>
      <c r="O64" s="239" t="str">
        <f t="shared" si="6"/>
        <v>1+0.000261120675710528i</v>
      </c>
      <c r="P64" s="239" t="str">
        <f t="shared" si="7"/>
        <v>6.66547798644053-4.50528556732877i</v>
      </c>
      <c r="Q64" s="240" t="str">
        <f t="shared" si="8"/>
        <v>0.999997906490583-0.00217935639836039i</v>
      </c>
      <c r="R64" s="239" t="str">
        <f t="shared" si="16"/>
        <v>6.655645409272-4.51980258756889i</v>
      </c>
      <c r="S64" s="249">
        <f t="shared" si="17"/>
        <v>18.110803204839893</v>
      </c>
      <c r="T64" s="249">
        <f t="shared" si="18"/>
        <v>-34.180153773218173</v>
      </c>
      <c r="V64" s="239">
        <v>1737.800829</v>
      </c>
      <c r="W64" s="239">
        <v>8.8205772190000005</v>
      </c>
      <c r="X64" s="239">
        <v>105.0409015</v>
      </c>
      <c r="Y64" s="239">
        <v>17.76028599</v>
      </c>
      <c r="Z64" s="239">
        <v>-59.105315099999999</v>
      </c>
      <c r="AA64" s="251">
        <f t="shared" si="9"/>
        <v>26.580863209</v>
      </c>
      <c r="AB64" s="251">
        <f t="shared" si="10"/>
        <v>45.935586400000005</v>
      </c>
    </row>
    <row r="65" spans="1:28" s="239" customFormat="1" x14ac:dyDescent="0.3">
      <c r="A65" s="239">
        <f t="shared" si="11"/>
        <v>38.252498133767901</v>
      </c>
      <c r="B65" s="248">
        <v>1788.6495290574401</v>
      </c>
      <c r="C65" s="249">
        <f t="shared" si="12"/>
        <v>20.411845988954035</v>
      </c>
      <c r="D65" s="249">
        <f t="shared" si="13"/>
        <v>101.75467325660273</v>
      </c>
      <c r="E65" s="248">
        <f t="shared" si="14"/>
        <v>17.84065214481387</v>
      </c>
      <c r="F65" s="261">
        <f t="shared" si="14"/>
        <v>-36.704596559403896</v>
      </c>
      <c r="G65" s="250">
        <f t="shared" si="15"/>
        <v>38.252498133767901</v>
      </c>
      <c r="H65" s="250">
        <f t="shared" si="15"/>
        <v>65.050076697198833</v>
      </c>
      <c r="I65" s="240" t="str">
        <f t="shared" si="0"/>
        <v>-59320.3384290213i</v>
      </c>
      <c r="J65" s="240" t="str">
        <f t="shared" si="1"/>
        <v>-1711163.60852946i</v>
      </c>
      <c r="K65" s="240" t="str">
        <f t="shared" si="2"/>
        <v>11748.7612402567-56461.2492341491i</v>
      </c>
      <c r="L65" s="240">
        <f t="shared" si="3"/>
        <v>4750</v>
      </c>
      <c r="M65" s="240" t="str">
        <f t="shared" si="4"/>
        <v>-2.1361384073194+10.2656816789362i</v>
      </c>
      <c r="N65" s="240" t="str">
        <f t="shared" si="5"/>
        <v>1+0.74223164896575i</v>
      </c>
      <c r="O65" s="239" t="str">
        <f t="shared" si="6"/>
        <v>1+0.000286579619237019i</v>
      </c>
      <c r="P65" s="239" t="str">
        <f t="shared" si="7"/>
        <v>6.26371252682305-4.64634230874767i</v>
      </c>
      <c r="Q65" s="240" t="str">
        <f t="shared" si="8"/>
        <v>0.999997478358468-0.00239184123194609i</v>
      </c>
      <c r="R65" s="239" t="str">
        <f t="shared" si="16"/>
        <v>6.2525834188736-4.66131239822464i</v>
      </c>
      <c r="S65" s="249">
        <f t="shared" si="17"/>
        <v>17.84065214481387</v>
      </c>
      <c r="T65" s="249">
        <f t="shared" si="18"/>
        <v>-36.704596559403896</v>
      </c>
      <c r="V65" s="239">
        <v>1905.460718</v>
      </c>
      <c r="W65" s="239">
        <v>8.0691386250000008</v>
      </c>
      <c r="X65" s="239">
        <v>106.1623441</v>
      </c>
      <c r="Y65" s="239">
        <v>17.16291884</v>
      </c>
      <c r="Z65" s="239">
        <v>-61.445931799999997</v>
      </c>
      <c r="AA65" s="251">
        <f t="shared" si="9"/>
        <v>25.232057465</v>
      </c>
      <c r="AB65" s="251">
        <f t="shared" si="10"/>
        <v>44.716412300000002</v>
      </c>
    </row>
    <row r="66" spans="1:28" s="239" customFormat="1" x14ac:dyDescent="0.3">
      <c r="A66" s="239">
        <f t="shared" si="11"/>
        <v>37.165722140818531</v>
      </c>
      <c r="B66" s="248">
        <v>1963.0406500402701</v>
      </c>
      <c r="C66" s="249">
        <f t="shared" si="12"/>
        <v>19.629621358019026</v>
      </c>
      <c r="D66" s="249">
        <f t="shared" si="13"/>
        <v>102.41401136554765</v>
      </c>
      <c r="E66" s="248">
        <f t="shared" si="14"/>
        <v>17.536100782799501</v>
      </c>
      <c r="F66" s="261">
        <f t="shared" si="14"/>
        <v>-39.298585604939255</v>
      </c>
      <c r="G66" s="250">
        <f t="shared" si="15"/>
        <v>37.165722140818531</v>
      </c>
      <c r="H66" s="250">
        <f t="shared" si="15"/>
        <v>63.115425760608396</v>
      </c>
      <c r="I66" s="240" t="str">
        <f t="shared" ref="I66:I97" si="19">IMDIV(1,COMPLEX(0,2*PI()*$B66*Cz_adj*10^-9))</f>
        <v>-54050.4830566909i</v>
      </c>
      <c r="J66" s="240" t="str">
        <f t="shared" ref="J66:J97" si="20">IMDIV(1,COMPLEX(0,2*PI()*$B66*Cp_Cstray_adj*10^-12))</f>
        <v>-1559148.54971223i</v>
      </c>
      <c r="K66" s="240" t="str">
        <f t="shared" ref="K66:K97" si="21">IMDIV(IMPRODUCT(IMDIV(IMPRODUCT(J66,IMSUM(Rz_adj*10^3,I66)),IMSUM(J66,IMSUM(Rz_adj*10^3,I66))),Ro_adj*10^3),IMSUM(IMDIV(IMPRODUCT(J66,IMSUM(Rz_adj*10^3,I66)),IMSUM(J66,IMSUM(Rz_adj*10^3,I66))),Ro_adj*10^3))</f>
        <v>11330.0028505415-51471.7879301812i</v>
      </c>
      <c r="L66" s="240">
        <f t="shared" ref="L66:L97" si="22">IF($E$1="Feedforward RC",IMDIV(IMPRODUCT(IMSUM(Rz_2_adj*10^3,IMDIV(1,COMPLEX(0,2*PI()*$B66*Cz_2_adj*10^-12))),RFB1_adj*10^3),IMSUM(IMSUM(Rz_2_adj*10^3,IMDIV(1,COMPLEX(0,2*PI()*$B66*Cz_2_adj*10^-12))),RFB1_adj*10^3)),RFB1_adj*10^3)</f>
        <v>4750</v>
      </c>
      <c r="M66" s="240" t="str">
        <f t="shared" ref="M66:M97" si="23">IMPRODUCT(-gm_EA2*10^-6,K66,IMDIV(RFB2_adj*10^3,IMSUM(L66,RFB2_adj*10^3)))</f>
        <v>-2.06000051828027+9.35850689639657i</v>
      </c>
      <c r="N66" s="240" t="str">
        <f t="shared" ref="N66:N97" si="24">COMPLEX(1,2*PI()*B66*1/(1/(Vout_sync_buck/Iout_sync_buck*Number_Cout2*Co_2*10^-6)+(mc_adj*(1-Vout_sync_buck/Vreg)-0.5)/(fsw*10^3*L_buck2*10^-6*Number_Cout2*Co_2*10^-6)))</f>
        <v>1+0.814598318449784i</v>
      </c>
      <c r="O66" s="239" t="str">
        <f t="shared" ref="O66:O97" si="25">COMPLEX(1,2*PI()*B66*(ESR_2*10^-3*Co_2*10^-6))</f>
        <v>1+0.000314520778328097i</v>
      </c>
      <c r="P66" s="239" t="str">
        <f t="shared" ref="P66:P97" si="26">IMPRODUCT(K_adj,IMDIV(O66,N66))</f>
        <v>5.83976675115499-4.75400943193562i</v>
      </c>
      <c r="Q66" s="240" t="str">
        <f t="shared" ref="Q66:Q97" si="27">IMDIV(1,IMSUM(COMPLEX(1,2*PI()*B66/(wn_adj*Qp_adj)),IMPRODUCT(COMPLEX(0,2*PI()*B66/wn_adj),COMPLEX(0,2*PI()*B66/wn_adj))))</f>
        <v>0.999996962670906-0.00262504316308094i</v>
      </c>
      <c r="R66" s="239" t="str">
        <f t="shared" si="16"/>
        <v>5.82726953390501-4.76932463222857i</v>
      </c>
      <c r="S66" s="249">
        <f t="shared" si="17"/>
        <v>17.536100782799501</v>
      </c>
      <c r="T66" s="249">
        <f t="shared" si="18"/>
        <v>-39.298585604939255</v>
      </c>
      <c r="V66" s="239">
        <v>2089.2961310000001</v>
      </c>
      <c r="W66" s="239">
        <v>7.3266441499999999</v>
      </c>
      <c r="X66" s="239">
        <v>107.3995884</v>
      </c>
      <c r="Y66" s="239">
        <v>16.538959030000001</v>
      </c>
      <c r="Z66" s="239">
        <v>-63.682347100000001</v>
      </c>
      <c r="AA66" s="251">
        <f t="shared" si="9"/>
        <v>23.865603180000001</v>
      </c>
      <c r="AB66" s="251">
        <f t="shared" si="10"/>
        <v>43.717241299999998</v>
      </c>
    </row>
    <row r="67" spans="1:28" s="239" customFormat="1" x14ac:dyDescent="0.3">
      <c r="A67" s="239">
        <f t="shared" si="11"/>
        <v>36.047517656392941</v>
      </c>
      <c r="B67" s="248">
        <v>2154.4346900318801</v>
      </c>
      <c r="C67" s="249">
        <f t="shared" si="12"/>
        <v>18.851974602097695</v>
      </c>
      <c r="D67" s="249">
        <f t="shared" si="13"/>
        <v>103.17285504276521</v>
      </c>
      <c r="E67" s="248">
        <f t="shared" si="14"/>
        <v>17.19554305429525</v>
      </c>
      <c r="F67" s="261">
        <f t="shared" si="14"/>
        <v>-41.942662196825296</v>
      </c>
      <c r="G67" s="250">
        <f t="shared" si="15"/>
        <v>36.047517656392941</v>
      </c>
      <c r="H67" s="250">
        <f t="shared" si="15"/>
        <v>61.230192845939911</v>
      </c>
      <c r="I67" s="240" t="str">
        <f t="shared" si="19"/>
        <v>-49248.7871113079i</v>
      </c>
      <c r="J67" s="240" t="str">
        <f t="shared" si="20"/>
        <v>-1420638.08974927i</v>
      </c>
      <c r="K67" s="240" t="str">
        <f t="shared" si="21"/>
        <v>10982.1131147693-46922.4609915265i</v>
      </c>
      <c r="L67" s="240">
        <f t="shared" si="22"/>
        <v>4750</v>
      </c>
      <c r="M67" s="240" t="str">
        <f t="shared" si="23"/>
        <v>-1.99674783904896+8.53135654391389i</v>
      </c>
      <c r="N67" s="240" t="str">
        <f t="shared" si="24"/>
        <v>1+0.894020648871356i</v>
      </c>
      <c r="O67" s="239" t="str">
        <f t="shared" si="25"/>
        <v>1+0.000345186165937001i</v>
      </c>
      <c r="P67" s="239" t="str">
        <f t="shared" si="26"/>
        <v>5.39961003274118-4.8240102876903i</v>
      </c>
      <c r="Q67" s="240" t="str">
        <f t="shared" si="27"/>
        <v>0.999996341522085-0.00288098211171974i</v>
      </c>
      <c r="R67" s="239" t="str">
        <f t="shared" si="16"/>
        <v>5.38569239104154-4.83954881906979i</v>
      </c>
      <c r="S67" s="249">
        <f t="shared" si="17"/>
        <v>17.19554305429525</v>
      </c>
      <c r="T67" s="249">
        <f t="shared" si="18"/>
        <v>-41.942662196825296</v>
      </c>
      <c r="V67" s="239">
        <v>2290.8676529999998</v>
      </c>
      <c r="W67" s="239">
        <v>6.5946500370000001</v>
      </c>
      <c r="X67" s="239">
        <v>108.7569986</v>
      </c>
      <c r="Y67" s="239">
        <v>15.891001040000001</v>
      </c>
      <c r="Z67" s="239">
        <v>-65.808050699999995</v>
      </c>
      <c r="AA67" s="251">
        <f t="shared" si="9"/>
        <v>22.485651077</v>
      </c>
      <c r="AB67" s="251">
        <f t="shared" si="10"/>
        <v>42.948947900000007</v>
      </c>
    </row>
    <row r="68" spans="1:28" s="239" customFormat="1" x14ac:dyDescent="0.3">
      <c r="A68" s="239">
        <f t="shared" si="11"/>
        <v>34.897768277300806</v>
      </c>
      <c r="B68" s="248">
        <v>2364.4894126454101</v>
      </c>
      <c r="C68" s="249">
        <f t="shared" si="12"/>
        <v>18.079852912725205</v>
      </c>
      <c r="D68" s="249">
        <f t="shared" si="13"/>
        <v>104.03537080435675</v>
      </c>
      <c r="E68" s="248">
        <f t="shared" si="14"/>
        <v>16.817915364575601</v>
      </c>
      <c r="F68" s="261">
        <f t="shared" si="14"/>
        <v>-44.615389185835106</v>
      </c>
      <c r="G68" s="250">
        <f t="shared" si="15"/>
        <v>34.897768277300806</v>
      </c>
      <c r="H68" s="250">
        <f t="shared" si="15"/>
        <v>59.419981618521639</v>
      </c>
      <c r="I68" s="240" t="str">
        <f t="shared" si="19"/>
        <v>-44873.6605996842i</v>
      </c>
      <c r="J68" s="240" t="str">
        <f t="shared" si="20"/>
        <v>-1294432.51729858i</v>
      </c>
      <c r="K68" s="240" t="str">
        <f t="shared" si="21"/>
        <v>10693.119367395-42775.246348785i</v>
      </c>
      <c r="L68" s="240">
        <f t="shared" si="22"/>
        <v>4750</v>
      </c>
      <c r="M68" s="240" t="str">
        <f t="shared" si="23"/>
        <v>-1.94420352134454+7.77731751796089i</v>
      </c>
      <c r="N68" s="240" t="str">
        <f t="shared" si="24"/>
        <v>1+0.981186558461617i</v>
      </c>
      <c r="O68" s="239" t="str">
        <f t="shared" si="25"/>
        <v>1+0.000378841390981141i</v>
      </c>
      <c r="P68" s="239" t="str">
        <f t="shared" si="26"/>
        <v>4.95024766937511-4.85343702465258i</v>
      </c>
      <c r="Q68" s="240" t="str">
        <f t="shared" si="27"/>
        <v>0.999995593344205-0.00316187494670006i</v>
      </c>
      <c r="R68" s="239" t="str">
        <f t="shared" si="16"/>
        <v>4.9348798944039-4.86906770131195i</v>
      </c>
      <c r="S68" s="249">
        <f t="shared" si="17"/>
        <v>16.817915364575601</v>
      </c>
      <c r="T68" s="249">
        <f t="shared" si="18"/>
        <v>-44.615389185835106</v>
      </c>
      <c r="V68" s="239">
        <v>2511.8864319999998</v>
      </c>
      <c r="W68" s="239">
        <v>5.87491333</v>
      </c>
      <c r="X68" s="239">
        <v>110.238348</v>
      </c>
      <c r="Y68" s="239">
        <v>15.22162284</v>
      </c>
      <c r="Z68" s="239">
        <v>-67.819411500000001</v>
      </c>
      <c r="AA68" s="251">
        <f t="shared" si="9"/>
        <v>21.09653617</v>
      </c>
      <c r="AB68" s="251">
        <f t="shared" si="10"/>
        <v>42.418936500000001</v>
      </c>
    </row>
    <row r="69" spans="1:28" s="239" customFormat="1" x14ac:dyDescent="0.3">
      <c r="A69" s="239">
        <f t="shared" si="11"/>
        <v>33.717115284750307</v>
      </c>
      <c r="B69" s="248">
        <v>2595.0242113997401</v>
      </c>
      <c r="C69" s="249">
        <f t="shared" si="12"/>
        <v>17.314349222238338</v>
      </c>
      <c r="D69" s="249">
        <f t="shared" si="13"/>
        <v>105.00590816158811</v>
      </c>
      <c r="E69" s="248">
        <f t="shared" si="14"/>
        <v>16.402766062511965</v>
      </c>
      <c r="F69" s="261">
        <f t="shared" si="14"/>
        <v>-47.294188344879132</v>
      </c>
      <c r="G69" s="250">
        <f t="shared" si="15"/>
        <v>33.717115284750307</v>
      </c>
      <c r="H69" s="250">
        <f t="shared" si="15"/>
        <v>57.711719816708978</v>
      </c>
      <c r="I69" s="240" t="str">
        <f t="shared" si="19"/>
        <v>-40887.2082689993i</v>
      </c>
      <c r="J69" s="240" t="str">
        <f t="shared" si="20"/>
        <v>-1179438.70006729i</v>
      </c>
      <c r="K69" s="240" t="str">
        <f t="shared" si="21"/>
        <v>10453.0608724645-38995.2695452247i</v>
      </c>
      <c r="L69" s="240">
        <f t="shared" si="22"/>
        <v>4750</v>
      </c>
      <c r="M69" s="240" t="str">
        <f t="shared" si="23"/>
        <v>-1.90055652226627+7.09004900822266i</v>
      </c>
      <c r="N69" s="240" t="str">
        <f t="shared" si="24"/>
        <v>1+1.07685103663001i</v>
      </c>
      <c r="O69" s="239" t="str">
        <f t="shared" si="25"/>
        <v>1+0.000415777958919475i</v>
      </c>
      <c r="P69" s="239" t="str">
        <f t="shared" si="26"/>
        <v>4.4992992585156-4.8410368792538i</v>
      </c>
      <c r="Q69" s="240" t="str">
        <f t="shared" si="27"/>
        <v>0.999994692158511-0.00347015469097045i</v>
      </c>
      <c r="R69" s="239" t="str">
        <f t="shared" si="16"/>
        <v>4.48247623011262-4.85662444822542i</v>
      </c>
      <c r="S69" s="249">
        <f t="shared" si="17"/>
        <v>16.402766062511965</v>
      </c>
      <c r="T69" s="249">
        <f t="shared" si="18"/>
        <v>-47.294188344879132</v>
      </c>
      <c r="V69" s="239">
        <v>2754.2287030000002</v>
      </c>
      <c r="W69" s="239">
        <v>5.1693958950000001</v>
      </c>
      <c r="X69" s="239">
        <v>111.8465063</v>
      </c>
      <c r="Y69" s="239">
        <v>14.533311579999999</v>
      </c>
      <c r="Z69" s="239">
        <v>-69.715361700000003</v>
      </c>
      <c r="AA69" s="251">
        <f t="shared" si="9"/>
        <v>19.702707475</v>
      </c>
      <c r="AB69" s="251">
        <f t="shared" si="10"/>
        <v>42.131144599999999</v>
      </c>
    </row>
    <row r="70" spans="1:28" s="239" customFormat="1" x14ac:dyDescent="0.3">
      <c r="A70" s="239">
        <f t="shared" si="11"/>
        <v>32.507007360557054</v>
      </c>
      <c r="B70" s="248">
        <v>2848.0358684357998</v>
      </c>
      <c r="C70" s="249">
        <f t="shared" si="12"/>
        <v>16.556721506583369</v>
      </c>
      <c r="D70" s="249">
        <f t="shared" si="13"/>
        <v>106.0888484557543</v>
      </c>
      <c r="E70" s="248">
        <f t="shared" si="14"/>
        <v>15.950285853973686</v>
      </c>
      <c r="F70" s="261">
        <f t="shared" si="14"/>
        <v>-49.956293288368975</v>
      </c>
      <c r="G70" s="250">
        <f t="shared" si="15"/>
        <v>32.507007360557054</v>
      </c>
      <c r="H70" s="250">
        <f t="shared" si="15"/>
        <v>56.132555167385327</v>
      </c>
      <c r="I70" s="240" t="str">
        <f t="shared" si="19"/>
        <v>-37254.9013762495i</v>
      </c>
      <c r="J70" s="240" t="str">
        <f t="shared" si="20"/>
        <v>-1074660.61662258i</v>
      </c>
      <c r="K70" s="240" t="str">
        <f t="shared" si="21"/>
        <v>10253.6532002775-35550.5828319248i</v>
      </c>
      <c r="L70" s="240">
        <f t="shared" si="22"/>
        <v>4750</v>
      </c>
      <c r="M70" s="240" t="str">
        <f t="shared" si="23"/>
        <v>-1.86430058186863+6.46374233307723i</v>
      </c>
      <c r="N70" s="240" t="str">
        <f t="shared" si="24"/>
        <v>1+1.18184268332135i</v>
      </c>
      <c r="O70" s="239" t="str">
        <f t="shared" si="25"/>
        <v>1+0.000456315796633345i</v>
      </c>
      <c r="P70" s="239" t="str">
        <f t="shared" si="26"/>
        <v>4.05449213824469-4.78733995810596i</v>
      </c>
      <c r="Q70" s="240" t="str">
        <f t="shared" si="27"/>
        <v>0.999993606673099-0.00380849160025585i</v>
      </c>
      <c r="R70" s="239" t="str">
        <f t="shared" si="16"/>
        <v>4.03623367253302-4.80275085032843i</v>
      </c>
      <c r="S70" s="249">
        <f t="shared" si="17"/>
        <v>15.950285853973686</v>
      </c>
      <c r="T70" s="249">
        <f t="shared" si="18"/>
        <v>-49.956293288368975</v>
      </c>
      <c r="V70" s="239">
        <v>3019.95172</v>
      </c>
      <c r="W70" s="239">
        <v>4.4802588419999996</v>
      </c>
      <c r="X70" s="239">
        <v>113.58308340000001</v>
      </c>
      <c r="Y70" s="239">
        <v>13.82840901</v>
      </c>
      <c r="Z70" s="239">
        <v>-71.497022200000004</v>
      </c>
      <c r="AA70" s="251">
        <f t="shared" si="9"/>
        <v>18.308667851999999</v>
      </c>
      <c r="AB70" s="251">
        <f t="shared" si="10"/>
        <v>42.086061200000003</v>
      </c>
    </row>
    <row r="71" spans="1:28" s="239" customFormat="1" x14ac:dyDescent="0.3">
      <c r="A71" s="239">
        <f t="shared" si="11"/>
        <v>31.269705783797221</v>
      </c>
      <c r="B71" s="248">
        <v>3125.7158496882398</v>
      </c>
      <c r="C71" s="249">
        <f t="shared" si="12"/>
        <v>15.808410884210303</v>
      </c>
      <c r="D71" s="249">
        <f t="shared" si="13"/>
        <v>107.28841223183592</v>
      </c>
      <c r="E71" s="248">
        <f t="shared" si="14"/>
        <v>15.461294899586917</v>
      </c>
      <c r="F71" s="261">
        <f t="shared" si="14"/>
        <v>-52.579722969075732</v>
      </c>
      <c r="G71" s="250">
        <f t="shared" si="15"/>
        <v>31.269705783797221</v>
      </c>
      <c r="H71" s="250">
        <f t="shared" si="15"/>
        <v>54.708689262760188</v>
      </c>
      <c r="I71" s="240" t="str">
        <f t="shared" si="19"/>
        <v>-33945.2786167941i</v>
      </c>
      <c r="J71" s="240" t="str">
        <f t="shared" si="20"/>
        <v>-979190.729330606i</v>
      </c>
      <c r="K71" s="240" t="str">
        <f t="shared" si="21"/>
        <v>10088.0076436784-32411.9500243965i</v>
      </c>
      <c r="L71" s="240">
        <f t="shared" si="22"/>
        <v>4750</v>
      </c>
      <c r="M71" s="240" t="str">
        <f t="shared" si="23"/>
        <v>-1.83418320794152+5.89308182261754i</v>
      </c>
      <c r="N71" s="240" t="str">
        <f t="shared" si="24"/>
        <v>1+1.29707088595218i</v>
      </c>
      <c r="O71" s="239" t="str">
        <f t="shared" si="25"/>
        <v>1+0.000500806023480077i</v>
      </c>
      <c r="P71" s="239" t="str">
        <f t="shared" si="26"/>
        <v>3.62313957606286-4.69460484402993i</v>
      </c>
      <c r="Q71" s="240" t="str">
        <f t="shared" si="27"/>
        <v>0.999992299196202-0.00417981629812422i</v>
      </c>
      <c r="R71" s="239" t="str">
        <f t="shared" si="16"/>
        <v>3.60348908913552-4.70971274964952i</v>
      </c>
      <c r="S71" s="249">
        <f t="shared" si="17"/>
        <v>15.461294899586917</v>
      </c>
      <c r="T71" s="249">
        <f t="shared" si="18"/>
        <v>-52.579722969075732</v>
      </c>
      <c r="V71" s="239">
        <v>3311.3112150000002</v>
      </c>
      <c r="W71" s="239">
        <v>3.8098441030000001</v>
      </c>
      <c r="X71" s="239">
        <v>115.44803949999999</v>
      </c>
      <c r="Y71" s="239">
        <v>13.10907551</v>
      </c>
      <c r="Z71" s="239">
        <v>-73.167309399999994</v>
      </c>
      <c r="AA71" s="251">
        <f t="shared" si="9"/>
        <v>16.918919613</v>
      </c>
      <c r="AB71" s="251">
        <f t="shared" si="10"/>
        <v>42.2807301</v>
      </c>
    </row>
    <row r="72" spans="1:28" s="239" customFormat="1" x14ac:dyDescent="0.3">
      <c r="A72" s="239">
        <f t="shared" si="11"/>
        <v>30.008245346753654</v>
      </c>
      <c r="B72" s="248">
        <v>3430.4692863149198</v>
      </c>
      <c r="C72" s="249">
        <f t="shared" si="12"/>
        <v>15.071056932122499</v>
      </c>
      <c r="D72" s="249">
        <f t="shared" si="13"/>
        <v>108.60841945133883</v>
      </c>
      <c r="E72" s="248">
        <f t="shared" si="14"/>
        <v>14.937188414631155</v>
      </c>
      <c r="F72" s="261">
        <f t="shared" si="14"/>
        <v>-55.144176963126881</v>
      </c>
      <c r="G72" s="250">
        <f t="shared" si="15"/>
        <v>30.008245346753654</v>
      </c>
      <c r="H72" s="250">
        <f t="shared" si="15"/>
        <v>53.464242488211951</v>
      </c>
      <c r="I72" s="240" t="str">
        <f t="shared" si="19"/>
        <v>-30929.6736215864i</v>
      </c>
      <c r="J72" s="240" t="str">
        <f t="shared" si="20"/>
        <v>-892202.123699605i</v>
      </c>
      <c r="K72" s="240" t="str">
        <f t="shared" si="21"/>
        <v>9950.39690914619-29552.6399599518i</v>
      </c>
      <c r="L72" s="240">
        <f t="shared" si="22"/>
        <v>4750</v>
      </c>
      <c r="M72" s="240" t="str">
        <f t="shared" si="23"/>
        <v>-1.80916307439021+5.37320726544577i</v>
      </c>
      <c r="N72" s="240" t="str">
        <f t="shared" si="24"/>
        <v>1+1.4235336960895i</v>
      </c>
      <c r="O72" s="239" t="str">
        <f t="shared" si="25"/>
        <v>1+0.000549633992520871i</v>
      </c>
      <c r="P72" s="239" t="str">
        <f t="shared" si="26"/>
        <v>3.21167699902963-4.56659217771394i</v>
      </c>
      <c r="Q72" s="240" t="str">
        <f t="shared" si="27"/>
        <v>0.999990724327124-0.00458734516835516i</v>
      </c>
      <c r="R72" s="239" t="str">
        <f t="shared" si="16"/>
        <v>3.19069867400212-4.58128289046256i</v>
      </c>
      <c r="S72" s="249">
        <f t="shared" si="17"/>
        <v>14.937188414631155</v>
      </c>
      <c r="T72" s="249">
        <f t="shared" si="18"/>
        <v>-55.144176963126881</v>
      </c>
      <c r="V72" s="239">
        <v>3630.7805480000002</v>
      </c>
      <c r="W72" s="239">
        <v>3.1606400149999998</v>
      </c>
      <c r="X72" s="239">
        <v>117.4392813</v>
      </c>
      <c r="Y72" s="239">
        <v>12.37727026</v>
      </c>
      <c r="Z72" s="239">
        <v>-74.730555899999999</v>
      </c>
      <c r="AA72" s="251">
        <f t="shared" si="9"/>
        <v>15.537910275</v>
      </c>
      <c r="AB72" s="251">
        <f t="shared" si="10"/>
        <v>42.708725400000006</v>
      </c>
    </row>
    <row r="73" spans="1:28" s="239" customFormat="1" x14ac:dyDescent="0.3">
      <c r="A73" s="239">
        <f t="shared" si="11"/>
        <v>28.72635631749673</v>
      </c>
      <c r="B73" s="248">
        <v>3764.93580679247</v>
      </c>
      <c r="C73" s="249">
        <f t="shared" si="12"/>
        <v>14.346508083469891</v>
      </c>
      <c r="D73" s="249">
        <f t="shared" si="13"/>
        <v>110.05199874211519</v>
      </c>
      <c r="E73" s="248">
        <f t="shared" si="14"/>
        <v>14.379848234026841</v>
      </c>
      <c r="F73" s="261">
        <f t="shared" si="14"/>
        <v>-57.63176816005894</v>
      </c>
      <c r="G73" s="250">
        <f t="shared" si="15"/>
        <v>28.72635631749673</v>
      </c>
      <c r="H73" s="250">
        <f t="shared" si="15"/>
        <v>52.420230582056249</v>
      </c>
      <c r="I73" s="240" t="str">
        <f t="shared" si="19"/>
        <v>-28181.9666627972i</v>
      </c>
      <c r="J73" s="240" t="str">
        <f t="shared" si="20"/>
        <v>-812941.34604223i</v>
      </c>
      <c r="K73" s="240" t="str">
        <f t="shared" si="21"/>
        <v>9836.05962334159-26948.230348736i</v>
      </c>
      <c r="L73" s="240">
        <f t="shared" si="22"/>
        <v>4750</v>
      </c>
      <c r="M73" s="240" t="str">
        <f t="shared" si="23"/>
        <v>-1.7883744769712+4.89967824522472i</v>
      </c>
      <c r="N73" s="240" t="str">
        <f t="shared" si="24"/>
        <v>1+1.562326474096i</v>
      </c>
      <c r="O73" s="239" t="str">
        <f t="shared" si="25"/>
        <v>1+0.000603222628264676i</v>
      </c>
      <c r="P73" s="239" t="str">
        <f t="shared" si="26"/>
        <v>2.82531598092839-4.40820723041308i</v>
      </c>
      <c r="Q73" s="240" t="str">
        <f t="shared" si="27"/>
        <v>0.999988827379375-0.00503460822522991i</v>
      </c>
      <c r="R73" s="239" t="str">
        <f t="shared" si="16"/>
        <v>2.80309081836403-4.42238233826251i</v>
      </c>
      <c r="S73" s="249">
        <f t="shared" si="17"/>
        <v>14.379848234026841</v>
      </c>
      <c r="T73" s="249">
        <f t="shared" si="18"/>
        <v>-57.63176816005894</v>
      </c>
      <c r="V73" s="239">
        <v>3981.0717060000002</v>
      </c>
      <c r="W73" s="239">
        <v>2.5352283149999999</v>
      </c>
      <c r="X73" s="239">
        <v>119.5522754</v>
      </c>
      <c r="Y73" s="239">
        <v>11.634744420000001</v>
      </c>
      <c r="Z73" s="239">
        <v>-76.192163800000003</v>
      </c>
      <c r="AA73" s="251">
        <f t="shared" si="9"/>
        <v>14.169972735</v>
      </c>
      <c r="AB73" s="251">
        <f t="shared" si="10"/>
        <v>43.360111599999996</v>
      </c>
    </row>
    <row r="74" spans="1:28" s="239" customFormat="1" x14ac:dyDescent="0.3">
      <c r="A74" s="239">
        <f t="shared" si="11"/>
        <v>27.428356146069238</v>
      </c>
      <c r="B74" s="248">
        <v>4132.0124001153399</v>
      </c>
      <c r="C74" s="249">
        <f t="shared" si="12"/>
        <v>13.636824395522599</v>
      </c>
      <c r="D74" s="249">
        <f t="shared" si="13"/>
        <v>111.6212454255061</v>
      </c>
      <c r="E74" s="248">
        <f t="shared" si="14"/>
        <v>13.791531750546639</v>
      </c>
      <c r="F74" s="261">
        <f t="shared" si="14"/>
        <v>-60.027536969686452</v>
      </c>
      <c r="G74" s="250">
        <f t="shared" si="15"/>
        <v>27.428356146069238</v>
      </c>
      <c r="H74" s="250">
        <f t="shared" si="15"/>
        <v>51.593708455819652</v>
      </c>
      <c r="I74" s="240" t="str">
        <f t="shared" si="19"/>
        <v>-25678.3584172292i</v>
      </c>
      <c r="J74" s="240" t="str">
        <f t="shared" si="20"/>
        <v>-740721.877420069i</v>
      </c>
      <c r="K74" s="240" t="str">
        <f t="shared" si="21"/>
        <v>9741.03733481356-24576.4230442434i</v>
      </c>
      <c r="L74" s="240">
        <f t="shared" si="22"/>
        <v>4750</v>
      </c>
      <c r="M74" s="240" t="str">
        <f t="shared" si="23"/>
        <v>-1.77109769723883+4.46844055349879i</v>
      </c>
      <c r="N74" s="240" t="str">
        <f t="shared" si="24"/>
        <v>1+1.71465137661747i</v>
      </c>
      <c r="O74" s="239" t="str">
        <f t="shared" si="25"/>
        <v>1+0.000662036089837958i</v>
      </c>
      <c r="P74" s="239" t="str">
        <f t="shared" si="26"/>
        <v>2.46784962827421-4.22507181974296i</v>
      </c>
      <c r="Q74" s="240" t="str">
        <f t="shared" si="27"/>
        <v>0.999986542481149-0.00552547970404281i</v>
      </c>
      <c r="R74" s="239" t="str">
        <f t="shared" si="16"/>
        <v>2.4444708685532-4.23865101379296i</v>
      </c>
      <c r="S74" s="249">
        <f t="shared" si="17"/>
        <v>13.791531750546639</v>
      </c>
      <c r="T74" s="249">
        <f t="shared" si="18"/>
        <v>-60.027536969686452</v>
      </c>
      <c r="V74" s="239">
        <v>4365.1583220000002</v>
      </c>
      <c r="W74" s="239">
        <v>1.936211334</v>
      </c>
      <c r="X74" s="239">
        <v>121.77971770000001</v>
      </c>
      <c r="Y74" s="239">
        <v>10.88304391</v>
      </c>
      <c r="Z74" s="239">
        <v>-77.558302999999995</v>
      </c>
      <c r="AA74" s="251">
        <f t="shared" si="9"/>
        <v>12.819255243999999</v>
      </c>
      <c r="AB74" s="251">
        <f t="shared" si="10"/>
        <v>44.221414700000011</v>
      </c>
    </row>
    <row r="75" spans="1:28" s="239" customFormat="1" x14ac:dyDescent="0.3">
      <c r="A75" s="239">
        <f t="shared" si="11"/>
        <v>26.11902065483385</v>
      </c>
      <c r="B75" s="248">
        <v>4534.8785081285796</v>
      </c>
      <c r="C75" s="249">
        <f t="shared" si="12"/>
        <v>12.944269477907209</v>
      </c>
      <c r="D75" s="249">
        <f t="shared" si="13"/>
        <v>113.31683367465226</v>
      </c>
      <c r="E75" s="248">
        <f t="shared" si="14"/>
        <v>13.174751176926641</v>
      </c>
      <c r="F75" s="261">
        <f t="shared" si="14"/>
        <v>-62.319726058523223</v>
      </c>
      <c r="G75" s="250">
        <f t="shared" si="15"/>
        <v>26.11902065483385</v>
      </c>
      <c r="H75" s="250">
        <f t="shared" si="15"/>
        <v>50.997107616129036</v>
      </c>
      <c r="I75" s="240" t="str">
        <f t="shared" si="19"/>
        <v>-23397.1638279639i</v>
      </c>
      <c r="J75" s="240" t="str">
        <f t="shared" si="20"/>
        <v>-674918.187345115i</v>
      </c>
      <c r="K75" s="240" t="str">
        <f t="shared" si="21"/>
        <v>9662.03867443421-22416.8712037712i</v>
      </c>
      <c r="L75" s="240">
        <f t="shared" si="22"/>
        <v>4750</v>
      </c>
      <c r="M75" s="240" t="str">
        <f t="shared" si="23"/>
        <v>-1.75673430444258+4.07579476432203i</v>
      </c>
      <c r="N75" s="240" t="str">
        <f t="shared" si="24"/>
        <v>1+1.88182776908864i</v>
      </c>
      <c r="O75" s="239" t="str">
        <f t="shared" si="25"/>
        <v>1+0.000726583791309008i</v>
      </c>
      <c r="P75" s="239" t="str">
        <f t="shared" si="26"/>
        <v>2.14161287585189-4.02308972628178i</v>
      </c>
      <c r="Q75" s="240" t="str">
        <f t="shared" si="27"/>
        <v>0.999983790287109-0.00606421163798682i</v>
      </c>
      <c r="R75" s="239" t="str">
        <f t="shared" si="16"/>
        <v>2.11718129338327-4.03601170687819i</v>
      </c>
      <c r="S75" s="249">
        <f t="shared" si="17"/>
        <v>13.174751176926641</v>
      </c>
      <c r="T75" s="249">
        <f t="shared" si="18"/>
        <v>-62.319726058523223</v>
      </c>
      <c r="V75" s="239">
        <v>4786.3009229999998</v>
      </c>
      <c r="W75" s="239">
        <v>1.366120317</v>
      </c>
      <c r="X75" s="239">
        <v>124.1113076</v>
      </c>
      <c r="Y75" s="239">
        <v>10.123519010000001</v>
      </c>
      <c r="Z75" s="239">
        <v>-78.835659500000006</v>
      </c>
      <c r="AA75" s="251">
        <f t="shared" si="9"/>
        <v>11.489639327000001</v>
      </c>
      <c r="AB75" s="251">
        <f t="shared" si="10"/>
        <v>45.275648099999998</v>
      </c>
    </row>
    <row r="76" spans="1:28" s="239" customFormat="1" x14ac:dyDescent="0.3">
      <c r="A76" s="239">
        <f t="shared" si="11"/>
        <v>24.803443348005132</v>
      </c>
      <c r="B76" s="248">
        <v>4977.0235643321103</v>
      </c>
      <c r="C76" s="249">
        <f t="shared" si="12"/>
        <v>12.271288097321483</v>
      </c>
      <c r="D76" s="249">
        <f t="shared" si="13"/>
        <v>115.13759607416939</v>
      </c>
      <c r="E76" s="248">
        <f t="shared" si="14"/>
        <v>12.532155250683651</v>
      </c>
      <c r="F76" s="261">
        <f t="shared" si="14"/>
        <v>-64.499827591441743</v>
      </c>
      <c r="G76" s="250">
        <f t="shared" si="15"/>
        <v>24.803443348005132</v>
      </c>
      <c r="H76" s="250">
        <f t="shared" si="15"/>
        <v>50.637768482727651</v>
      </c>
      <c r="I76" s="240" t="str">
        <f t="shared" si="19"/>
        <v>-21318.6242787732i</v>
      </c>
      <c r="J76" s="240" t="str">
        <f t="shared" si="20"/>
        <v>-614960.315733843i</v>
      </c>
      <c r="K76" s="240" t="str">
        <f t="shared" si="21"/>
        <v>9596.32618124698-20451.0184135203i</v>
      </c>
      <c r="L76" s="240">
        <f t="shared" si="22"/>
        <v>4750</v>
      </c>
      <c r="M76" s="240" t="str">
        <f t="shared" si="23"/>
        <v>-1.74478657840854+3.71836698427641i</v>
      </c>
      <c r="N76" s="240" t="str">
        <f t="shared" si="24"/>
        <v>1+2.06530365344534i</v>
      </c>
      <c r="O76" s="239" t="str">
        <f t="shared" si="25"/>
        <v>1+0.000797424813988901i</v>
      </c>
      <c r="P76" s="239" t="str">
        <f t="shared" si="26"/>
        <v>1.84757551078301-3.80805956373586i</v>
      </c>
      <c r="Q76" s="240" t="str">
        <f t="shared" si="27"/>
        <v>0.999980475221871-0.00665547071381422i</v>
      </c>
      <c r="R76" s="239" t="str">
        <f t="shared" si="16"/>
        <v>1.82219500837818-3.82028169692135i</v>
      </c>
      <c r="S76" s="249">
        <f t="shared" si="17"/>
        <v>12.532155250683651</v>
      </c>
      <c r="T76" s="249">
        <f t="shared" si="18"/>
        <v>-64.499827591441743</v>
      </c>
      <c r="V76" s="239">
        <v>5248.0746019999997</v>
      </c>
      <c r="W76" s="239">
        <v>0.82730871100000003</v>
      </c>
      <c r="X76" s="239">
        <v>126.53367609999999</v>
      </c>
      <c r="Y76" s="239">
        <v>9.3573381070000003</v>
      </c>
      <c r="Z76" s="239">
        <v>-80.031232099999997</v>
      </c>
      <c r="AA76" s="251">
        <f t="shared" si="9"/>
        <v>10.184646818000001</v>
      </c>
      <c r="AB76" s="251">
        <f t="shared" si="10"/>
        <v>46.502443999999997</v>
      </c>
    </row>
    <row r="77" spans="1:28" s="239" customFormat="1" x14ac:dyDescent="0.3">
      <c r="A77" s="239">
        <f t="shared" si="11"/>
        <v>23.486889043959362</v>
      </c>
      <c r="B77" s="248">
        <v>5462.27721768434</v>
      </c>
      <c r="C77" s="249">
        <f t="shared" si="12"/>
        <v>11.620466125516163</v>
      </c>
      <c r="D77" s="249">
        <f t="shared" si="13"/>
        <v>117.08009387165903</v>
      </c>
      <c r="E77" s="248">
        <f t="shared" si="14"/>
        <v>11.866422918443199</v>
      </c>
      <c r="F77" s="261">
        <f t="shared" si="14"/>
        <v>-66.562439669027668</v>
      </c>
      <c r="G77" s="250">
        <f t="shared" si="15"/>
        <v>23.486889043959362</v>
      </c>
      <c r="H77" s="250">
        <f t="shared" si="15"/>
        <v>50.517654202631363</v>
      </c>
      <c r="I77" s="240" t="str">
        <f t="shared" si="19"/>
        <v>-19424.7364544376i</v>
      </c>
      <c r="J77" s="240" t="str">
        <f t="shared" si="20"/>
        <v>-560328.936185701i</v>
      </c>
      <c r="K77" s="240" t="str">
        <f t="shared" si="21"/>
        <v>9541.62201838162-18661.9495768888i</v>
      </c>
      <c r="L77" s="240">
        <f t="shared" si="22"/>
        <v>4750</v>
      </c>
      <c r="M77" s="240" t="str">
        <f t="shared" si="23"/>
        <v>-1.73484036697847+3.3930817412525i</v>
      </c>
      <c r="N77" s="240" t="str">
        <f t="shared" si="24"/>
        <v>1+2.26666821002456i</v>
      </c>
      <c r="O77" s="239" t="str">
        <f t="shared" si="25"/>
        <v>1+0.000875172748926349i</v>
      </c>
      <c r="P77" s="239" t="str">
        <f t="shared" si="26"/>
        <v>1.58552994133959-3.58537030828897i</v>
      </c>
      <c r="Q77" s="240" t="str">
        <f t="shared" si="27"/>
        <v>0.999976482159249-0.00730437872757893i</v>
      </c>
      <c r="R77" s="239" t="str">
        <f t="shared" si="16"/>
        <v>1.55930375048856-3.59686729929649i</v>
      </c>
      <c r="S77" s="249">
        <f t="shared" si="17"/>
        <v>11.866422918443199</v>
      </c>
      <c r="T77" s="249">
        <f t="shared" si="18"/>
        <v>-66.562439669027668</v>
      </c>
      <c r="V77" s="239">
        <v>5754.3993730000002</v>
      </c>
      <c r="W77" s="239">
        <v>0.321837496</v>
      </c>
      <c r="X77" s="239">
        <v>129.03051020000001</v>
      </c>
      <c r="Y77" s="239">
        <v>8.5855037430000003</v>
      </c>
      <c r="Z77" s="239">
        <v>-81.152174000000002</v>
      </c>
      <c r="AA77" s="251">
        <f t="shared" si="9"/>
        <v>8.9073412390000009</v>
      </c>
      <c r="AB77" s="251">
        <f t="shared" si="10"/>
        <v>47.878336200000007</v>
      </c>
    </row>
    <row r="78" spans="1:28" s="239" customFormat="1" x14ac:dyDescent="0.3">
      <c r="A78" s="239">
        <f t="shared" si="11"/>
        <v>22.174645403294349</v>
      </c>
      <c r="B78" s="248">
        <v>5994.8425031894103</v>
      </c>
      <c r="C78" s="249">
        <f t="shared" si="12"/>
        <v>10.994470295584568</v>
      </c>
      <c r="D78" s="249">
        <f t="shared" si="13"/>
        <v>119.13821242386778</v>
      </c>
      <c r="E78" s="248">
        <f t="shared" si="14"/>
        <v>11.180175107709779</v>
      </c>
      <c r="F78" s="261">
        <f t="shared" si="14"/>
        <v>-68.504982248167906</v>
      </c>
      <c r="G78" s="250">
        <f t="shared" si="15"/>
        <v>22.174645403294349</v>
      </c>
      <c r="H78" s="250">
        <f t="shared" si="15"/>
        <v>50.633230175699879</v>
      </c>
      <c r="I78" s="240" t="str">
        <f t="shared" si="19"/>
        <v>-17699.0964046424i</v>
      </c>
      <c r="J78" s="240" t="str">
        <f t="shared" si="20"/>
        <v>-510550.857826222i</v>
      </c>
      <c r="K78" s="240" t="str">
        <f t="shared" si="21"/>
        <v>9496.02941194321-17034.2531773795i</v>
      </c>
      <c r="L78" s="240">
        <f t="shared" si="22"/>
        <v>4750</v>
      </c>
      <c r="M78" s="240" t="str">
        <f t="shared" si="23"/>
        <v>-1.72655080217149+3.09713694134172i</v>
      </c>
      <c r="N78" s="240" t="str">
        <f t="shared" si="24"/>
        <v>1+2.48766556228431i</v>
      </c>
      <c r="O78" s="239" t="str">
        <f t="shared" si="25"/>
        <v>1+0.000960501011539833i</v>
      </c>
      <c r="P78" s="239" t="str">
        <f t="shared" si="26"/>
        <v>1.35433105581941-3.35979398163552i</v>
      </c>
      <c r="Q78" s="240" t="str">
        <f t="shared" si="27"/>
        <v>0.999971672421674-0.0080165569936178i</v>
      </c>
      <c r="R78" s="239" t="str">
        <f t="shared" si="16"/>
        <v>1.32735871095975-3.37055587890555i</v>
      </c>
      <c r="S78" s="249">
        <f t="shared" si="17"/>
        <v>11.180175107709779</v>
      </c>
      <c r="T78" s="249">
        <f t="shared" si="18"/>
        <v>-68.504982248167906</v>
      </c>
      <c r="V78" s="239">
        <v>6309.573445</v>
      </c>
      <c r="W78" s="239">
        <v>-0.14863741</v>
      </c>
      <c r="X78" s="239">
        <v>131.58290020000001</v>
      </c>
      <c r="Y78" s="239">
        <v>7.8088693920000001</v>
      </c>
      <c r="Z78" s="239">
        <v>-82.205674900000005</v>
      </c>
      <c r="AA78" s="251">
        <f t="shared" si="9"/>
        <v>7.660231982</v>
      </c>
      <c r="AB78" s="251">
        <f t="shared" si="10"/>
        <v>49.377225300000006</v>
      </c>
    </row>
    <row r="79" spans="1:28" s="239" customFormat="1" x14ac:dyDescent="0.3">
      <c r="A79" s="239">
        <f t="shared" si="11"/>
        <v>20.871874139463532</v>
      </c>
      <c r="B79" s="248">
        <v>6579.3322465756801</v>
      </c>
      <c r="C79" s="249">
        <f t="shared" si="12"/>
        <v>10.395966866887477</v>
      </c>
      <c r="D79" s="249">
        <f t="shared" si="13"/>
        <v>121.30282688711425</v>
      </c>
      <c r="E79" s="248">
        <f t="shared" si="14"/>
        <v>10.475907272576055</v>
      </c>
      <c r="F79" s="261">
        <f t="shared" si="14"/>
        <v>-70.327325766181417</v>
      </c>
      <c r="G79" s="250">
        <f t="shared" si="15"/>
        <v>20.871874139463532</v>
      </c>
      <c r="H79" s="250">
        <f t="shared" si="15"/>
        <v>50.975501120932833</v>
      </c>
      <c r="I79" s="240" t="str">
        <f t="shared" si="19"/>
        <v>-16126.7574608077i</v>
      </c>
      <c r="J79" s="240" t="str">
        <f t="shared" si="20"/>
        <v>-465194.926754068i</v>
      </c>
      <c r="K79" s="240" t="str">
        <f t="shared" si="21"/>
        <v>9457.96715886-15553.8944061414i</v>
      </c>
      <c r="L79" s="240">
        <f t="shared" si="22"/>
        <v>4750</v>
      </c>
      <c r="M79" s="240" t="str">
        <f t="shared" si="23"/>
        <v>-1.71963039252+2.82798080111661i</v>
      </c>
      <c r="N79" s="240" t="str">
        <f t="shared" si="24"/>
        <v>1+2.73020988356662i</v>
      </c>
      <c r="O79" s="239" t="str">
        <f t="shared" si="25"/>
        <v>1+0.0010541486744198i</v>
      </c>
      <c r="P79" s="239" t="str">
        <f t="shared" si="26"/>
        <v>1.15214981125533-3.13537251497535i</v>
      </c>
      <c r="Q79" s="240" t="str">
        <f t="shared" si="27"/>
        <v>0.999965878960379-0.00879817509505088i</v>
      </c>
      <c r="R79" s="239" t="str">
        <f t="shared" si="16"/>
        <v>1.12452494233101-3.14540234858069i</v>
      </c>
      <c r="S79" s="249">
        <f t="shared" si="17"/>
        <v>10.475907272576055</v>
      </c>
      <c r="T79" s="249">
        <f t="shared" si="18"/>
        <v>-70.327325766181417</v>
      </c>
      <c r="V79" s="239">
        <v>6918.3097090000001</v>
      </c>
      <c r="W79" s="239">
        <v>-0.58296382000000002</v>
      </c>
      <c r="X79" s="239">
        <v>134.1699093</v>
      </c>
      <c r="Y79" s="239">
        <v>7.028155988</v>
      </c>
      <c r="Z79" s="239">
        <v>-83.198876999999996</v>
      </c>
      <c r="AA79" s="251">
        <f t="shared" si="9"/>
        <v>6.4451921680000002</v>
      </c>
      <c r="AB79" s="251">
        <f t="shared" si="10"/>
        <v>50.971032300000005</v>
      </c>
    </row>
    <row r="80" spans="1:28" s="239" customFormat="1" x14ac:dyDescent="0.3">
      <c r="A80" s="239">
        <f t="shared" si="11"/>
        <v>19.583463413466841</v>
      </c>
      <c r="B80" s="248">
        <v>7220.8090183854702</v>
      </c>
      <c r="C80" s="249">
        <f t="shared" si="12"/>
        <v>9.8275208342022182</v>
      </c>
      <c r="D80" s="249">
        <f t="shared" si="13"/>
        <v>123.56159025957194</v>
      </c>
      <c r="E80" s="248">
        <f t="shared" si="14"/>
        <v>9.755942579264623</v>
      </c>
      <c r="F80" s="261">
        <f t="shared" si="14"/>
        <v>-72.031380592450702</v>
      </c>
      <c r="G80" s="250">
        <f t="shared" si="15"/>
        <v>19.583463413466841</v>
      </c>
      <c r="H80" s="250">
        <f t="shared" si="15"/>
        <v>51.530209667121241</v>
      </c>
      <c r="I80" s="240" t="str">
        <f t="shared" si="19"/>
        <v>-14694.1007751955i</v>
      </c>
      <c r="J80" s="240" t="str">
        <f t="shared" si="20"/>
        <v>-423868.291592179i</v>
      </c>
      <c r="K80" s="240" t="str">
        <f t="shared" si="21"/>
        <v>9426.11498085537-14208.0985708318i</v>
      </c>
      <c r="L80" s="240">
        <f t="shared" si="22"/>
        <v>4750</v>
      </c>
      <c r="M80" s="240" t="str">
        <f t="shared" si="23"/>
        <v>-1.71383908742825+2.58329064924214i</v>
      </c>
      <c r="N80" s="240" t="str">
        <f t="shared" si="24"/>
        <v>1+2.99640197675131i</v>
      </c>
      <c r="O80" s="239" t="str">
        <f t="shared" si="25"/>
        <v>1+0.00115692686882187i</v>
      </c>
      <c r="P80" s="239" t="str">
        <f t="shared" si="26"/>
        <v>0.976711667676722-2.91538426432978i</v>
      </c>
      <c r="Q80" s="240" t="str">
        <f t="shared" si="27"/>
        <v>0.999958900548377-0.00965600440285043i</v>
      </c>
      <c r="R80" s="239" t="str">
        <f t="shared" si="16"/>
        <v>0.948520562070417-2.92469557579865i</v>
      </c>
      <c r="S80" s="249">
        <f t="shared" si="17"/>
        <v>9.755942579264623</v>
      </c>
      <c r="T80" s="249">
        <f t="shared" si="18"/>
        <v>-72.031380592450702</v>
      </c>
      <c r="V80" s="239">
        <v>7585.7757499999998</v>
      </c>
      <c r="W80" s="239">
        <v>-0.98056619</v>
      </c>
      <c r="X80" s="239">
        <v>136.76933270000001</v>
      </c>
      <c r="Y80" s="239">
        <v>6.2439674729999997</v>
      </c>
      <c r="Z80" s="239">
        <v>-84.138818799999996</v>
      </c>
      <c r="AA80" s="251">
        <f t="shared" si="9"/>
        <v>5.2634012829999994</v>
      </c>
      <c r="AB80" s="251">
        <f t="shared" si="10"/>
        <v>52.630513900000011</v>
      </c>
    </row>
    <row r="81" spans="1:28" s="239" customFormat="1" x14ac:dyDescent="0.3">
      <c r="A81" s="239">
        <f t="shared" si="11"/>
        <v>18.313884230495745</v>
      </c>
      <c r="B81" s="248">
        <v>7924.8289835391797</v>
      </c>
      <c r="C81" s="249">
        <f t="shared" si="12"/>
        <v>9.2914805806850662</v>
      </c>
      <c r="D81" s="249">
        <f t="shared" si="13"/>
        <v>125.89889605318143</v>
      </c>
      <c r="E81" s="248">
        <f t="shared" si="14"/>
        <v>9.0224036498106788</v>
      </c>
      <c r="F81" s="261">
        <f t="shared" si="14"/>
        <v>-73.620685716815416</v>
      </c>
      <c r="G81" s="250">
        <f t="shared" si="15"/>
        <v>18.313884230495745</v>
      </c>
      <c r="H81" s="250">
        <f t="shared" si="15"/>
        <v>52.278210336366016</v>
      </c>
      <c r="I81" s="240" t="str">
        <f t="shared" si="19"/>
        <v>-13388.7173609659i</v>
      </c>
      <c r="J81" s="240" t="str">
        <f t="shared" si="20"/>
        <v>-386213.000797094i</v>
      </c>
      <c r="K81" s="240" t="str">
        <f t="shared" si="21"/>
        <v>9399.36786283053-12985.2441638851i</v>
      </c>
      <c r="L81" s="240">
        <f t="shared" si="22"/>
        <v>4750</v>
      </c>
      <c r="M81" s="240" t="str">
        <f t="shared" si="23"/>
        <v>-1.70897597506009+2.36095348434274i</v>
      </c>
      <c r="N81" s="240" t="str">
        <f t="shared" si="24"/>
        <v>1+3.28854747040551i</v>
      </c>
      <c r="O81" s="239" t="str">
        <f t="shared" si="25"/>
        <v>1+0.00126972581029775i</v>
      </c>
      <c r="P81" s="239" t="str">
        <f t="shared" si="26"/>
        <v>0.825501940497976-2.70237026522544i</v>
      </c>
      <c r="Q81" s="240" t="str">
        <f t="shared" si="27"/>
        <v>0.999950494783604-0.0105974768333685i</v>
      </c>
      <c r="R81" s="239" t="str">
        <f t="shared" si="16"/>
        <v>0.796822767564866-2.71098472149101i</v>
      </c>
      <c r="S81" s="249">
        <f t="shared" si="17"/>
        <v>9.0224036498106788</v>
      </c>
      <c r="T81" s="249">
        <f t="shared" si="18"/>
        <v>-73.620685716815416</v>
      </c>
      <c r="V81" s="239">
        <v>8317.6377109999994</v>
      </c>
      <c r="W81" s="239">
        <v>-1.3414833500000001</v>
      </c>
      <c r="X81" s="239">
        <v>139.35858350000001</v>
      </c>
      <c r="Y81" s="239">
        <v>5.456804956</v>
      </c>
      <c r="Z81" s="239">
        <v>-85.032402000000005</v>
      </c>
      <c r="AA81" s="251">
        <f t="shared" si="9"/>
        <v>4.1153216060000002</v>
      </c>
      <c r="AB81" s="251">
        <f t="shared" si="10"/>
        <v>54.326181500000004</v>
      </c>
    </row>
    <row r="82" spans="1:28" s="239" customFormat="1" x14ac:dyDescent="0.3">
      <c r="A82" s="239">
        <f t="shared" si="11"/>
        <v>17.067056095808606</v>
      </c>
      <c r="B82" s="248">
        <v>8697.4900261778293</v>
      </c>
      <c r="C82" s="249">
        <f t="shared" si="12"/>
        <v>8.7898563831937384</v>
      </c>
      <c r="D82" s="249">
        <f t="shared" si="13"/>
        <v>128.29605810480945</v>
      </c>
      <c r="E82" s="248">
        <f t="shared" si="14"/>
        <v>8.277199712614868</v>
      </c>
      <c r="F82" s="261">
        <f t="shared" si="14"/>
        <v>-75.100023840033941</v>
      </c>
      <c r="G82" s="250">
        <f t="shared" si="15"/>
        <v>17.067056095808606</v>
      </c>
      <c r="H82" s="250">
        <f t="shared" si="15"/>
        <v>53.196034264775506</v>
      </c>
      <c r="I82" s="240" t="str">
        <f t="shared" si="19"/>
        <v>-12199.300611469i</v>
      </c>
      <c r="J82" s="240" t="str">
        <f t="shared" si="20"/>
        <v>-351902.902253914i</v>
      </c>
      <c r="K82" s="240" t="str">
        <f t="shared" si="21"/>
        <v>9376.79781538598-11874.7649542601i</v>
      </c>
      <c r="L82" s="240">
        <f t="shared" si="22"/>
        <v>4750</v>
      </c>
      <c r="M82" s="240" t="str">
        <f t="shared" si="23"/>
        <v>-1.70487233007018+2.15904817350183i</v>
      </c>
      <c r="N82" s="240" t="str">
        <f t="shared" si="24"/>
        <v>1+3.60917678903536i</v>
      </c>
      <c r="O82" s="239" t="str">
        <f t="shared" si="25"/>
        <v>1+0.00139352250931645i</v>
      </c>
      <c r="P82" s="239" t="str">
        <f t="shared" si="26"/>
        <v>0.695929958835848-2.49819984126579i</v>
      </c>
      <c r="Q82" s="240" t="str">
        <f t="shared" si="27"/>
        <v>0.999940369657907-0.0116307493616156i</v>
      </c>
      <c r="R82" s="239" t="str">
        <f t="shared" si="16"/>
        <v>0.66683252408534-2.5061450596791i</v>
      </c>
      <c r="S82" s="249">
        <f t="shared" si="17"/>
        <v>8.277199712614868</v>
      </c>
      <c r="T82" s="249">
        <f t="shared" si="18"/>
        <v>-75.100023840033941</v>
      </c>
      <c r="V82" s="239">
        <v>9120.1083940000008</v>
      </c>
      <c r="W82" s="239">
        <v>-1.6663657999999999</v>
      </c>
      <c r="X82" s="239">
        <v>141.91561870000001</v>
      </c>
      <c r="Y82" s="239">
        <v>4.6670792490000004</v>
      </c>
      <c r="Z82" s="239">
        <v>-85.886377100000004</v>
      </c>
      <c r="AA82" s="251">
        <f t="shared" si="9"/>
        <v>3.0007134490000005</v>
      </c>
      <c r="AB82" s="251">
        <f t="shared" si="10"/>
        <v>56.029241600000006</v>
      </c>
    </row>
    <row r="83" spans="1:28" s="239" customFormat="1" x14ac:dyDescent="0.3">
      <c r="A83" s="239">
        <f t="shared" si="11"/>
        <v>15.84622980984131</v>
      </c>
      <c r="B83" s="248">
        <v>9545.4845666183501</v>
      </c>
      <c r="C83" s="249">
        <f t="shared" si="12"/>
        <v>8.3242041509546763</v>
      </c>
      <c r="D83" s="249">
        <f t="shared" si="13"/>
        <v>130.73172897581603</v>
      </c>
      <c r="E83" s="248">
        <f t="shared" si="14"/>
        <v>7.5220256588866334</v>
      </c>
      <c r="F83" s="261">
        <f t="shared" si="14"/>
        <v>-76.475079459489876</v>
      </c>
      <c r="G83" s="250">
        <f t="shared" si="15"/>
        <v>15.84622980984131</v>
      </c>
      <c r="H83" s="250">
        <f t="shared" si="15"/>
        <v>54.256649516326149</v>
      </c>
      <c r="I83" s="240" t="str">
        <f t="shared" si="19"/>
        <v>-11115.5483678275i</v>
      </c>
      <c r="J83" s="240" t="str">
        <f t="shared" si="20"/>
        <v>-320640.818302715i</v>
      </c>
      <c r="K83" s="240" t="str">
        <f t="shared" si="21"/>
        <v>9357.62175199665-10867.0604697595i</v>
      </c>
      <c r="L83" s="240">
        <f t="shared" si="22"/>
        <v>4750</v>
      </c>
      <c r="M83" s="240" t="str">
        <f t="shared" si="23"/>
        <v>-1.7013857730903+1.97582917631991i</v>
      </c>
      <c r="N83" s="240" t="str">
        <f t="shared" si="24"/>
        <v>1+3.9610670704125i</v>
      </c>
      <c r="O83" s="239" t="str">
        <f t="shared" si="25"/>
        <v>1+0.00152938923366159i</v>
      </c>
      <c r="P83" s="239" t="str">
        <f t="shared" si="26"/>
        <v>0.585451281977693-2.30415779285858i</v>
      </c>
      <c r="Q83" s="240" t="str">
        <f t="shared" si="27"/>
        <v>0.999928173397085-0.0127647748601112i</v>
      </c>
      <c r="R83" s="239" t="str">
        <f t="shared" si="16"/>
        <v>0.555997175532926-2.31146544683775i</v>
      </c>
      <c r="S83" s="249">
        <f t="shared" si="17"/>
        <v>7.5220256588866334</v>
      </c>
      <c r="T83" s="249">
        <f t="shared" si="18"/>
        <v>-76.475079459489876</v>
      </c>
      <c r="V83" s="239">
        <v>10000</v>
      </c>
      <c r="W83" s="239">
        <v>-1.95643301</v>
      </c>
      <c r="X83" s="239">
        <v>144.41981329999999</v>
      </c>
      <c r="Y83" s="239">
        <v>3.875121671</v>
      </c>
      <c r="Z83" s="239">
        <v>-86.707341499999998</v>
      </c>
      <c r="AA83" s="251">
        <f t="shared" si="9"/>
        <v>1.918688661</v>
      </c>
      <c r="AB83" s="251">
        <f t="shared" si="10"/>
        <v>57.712471799999989</v>
      </c>
    </row>
    <row r="84" spans="1:28" s="239" customFormat="1" x14ac:dyDescent="0.3">
      <c r="A84" s="239">
        <f t="shared" si="11"/>
        <v>14.653896948815555</v>
      </c>
      <c r="B84" s="248">
        <v>10476.157527896699</v>
      </c>
      <c r="C84" s="249">
        <f t="shared" si="12"/>
        <v>7.8955272949686446</v>
      </c>
      <c r="D84" s="249">
        <f t="shared" si="13"/>
        <v>133.18254769352941</v>
      </c>
      <c r="E84" s="248">
        <f t="shared" si="14"/>
        <v>6.7583696538469109</v>
      </c>
      <c r="F84" s="261">
        <f t="shared" si="14"/>
        <v>-77.752147857505705</v>
      </c>
      <c r="G84" s="250">
        <f t="shared" si="15"/>
        <v>14.653896948815555</v>
      </c>
      <c r="H84" s="250">
        <f t="shared" si="15"/>
        <v>55.43039983602371</v>
      </c>
      <c r="I84" s="240" t="str">
        <f t="shared" si="19"/>
        <v>-10128.0736865647i</v>
      </c>
      <c r="J84" s="240" t="str">
        <f t="shared" si="20"/>
        <v>-292155.971727827i</v>
      </c>
      <c r="K84" s="240" t="str">
        <f t="shared" si="21"/>
        <v>9341.17437919724-9953.41425125908i</v>
      </c>
      <c r="L84" s="240">
        <f t="shared" si="22"/>
        <v>4750</v>
      </c>
      <c r="M84" s="240" t="str">
        <f t="shared" si="23"/>
        <v>-1.69839534167222+1.8097116820471i</v>
      </c>
      <c r="N84" s="240" t="str">
        <f t="shared" si="24"/>
        <v>1+4.34726621981294i</v>
      </c>
      <c r="O84" s="239" t="str">
        <f t="shared" si="25"/>
        <v>1+0.00167850279590197i</v>
      </c>
      <c r="P84" s="239" t="str">
        <f t="shared" si="26"/>
        <v>0.491651889705657-2.1210394037003i</v>
      </c>
      <c r="Q84" s="240" t="str">
        <f t="shared" si="27"/>
        <v>0.999913482216278-0.0140093798914455i</v>
      </c>
      <c r="R84" s="239" t="str">
        <f t="shared" si="16"/>
        <v>0.461894906302634-2.12774363416914i</v>
      </c>
      <c r="S84" s="249">
        <f t="shared" si="17"/>
        <v>6.7583696538469109</v>
      </c>
      <c r="T84" s="249">
        <f t="shared" si="18"/>
        <v>-77.752147857505705</v>
      </c>
      <c r="V84" s="239">
        <v>10964.78196</v>
      </c>
      <c r="W84" s="239">
        <v>-2.21339649</v>
      </c>
      <c r="X84" s="239">
        <v>146.85269940000001</v>
      </c>
      <c r="Y84" s="239">
        <v>3.0811931060000002</v>
      </c>
      <c r="Z84" s="239">
        <v>-87.501750599999994</v>
      </c>
      <c r="AA84" s="251">
        <f t="shared" si="9"/>
        <v>0.86779661600000013</v>
      </c>
      <c r="AB84" s="251">
        <f t="shared" si="10"/>
        <v>59.350948800000012</v>
      </c>
    </row>
    <row r="85" spans="1:28" s="239" customFormat="1" x14ac:dyDescent="0.3">
      <c r="A85" s="239">
        <f t="shared" si="11"/>
        <v>13.491735315960188</v>
      </c>
      <c r="B85" s="248">
        <v>11497.5699539774</v>
      </c>
      <c r="C85" s="249">
        <f t="shared" si="12"/>
        <v>7.5042089267706915</v>
      </c>
      <c r="D85" s="249">
        <f t="shared" si="13"/>
        <v>135.62397247241412</v>
      </c>
      <c r="E85" s="248">
        <f t="shared" si="14"/>
        <v>5.9875263891894956</v>
      </c>
      <c r="F85" s="261">
        <f t="shared" si="14"/>
        <v>-78.937896509842972</v>
      </c>
      <c r="G85" s="250">
        <f t="shared" si="15"/>
        <v>13.491735315960188</v>
      </c>
      <c r="H85" s="250">
        <f t="shared" si="15"/>
        <v>56.686075962571152</v>
      </c>
      <c r="I85" s="240" t="str">
        <f t="shared" si="19"/>
        <v>-9228.32353439107i</v>
      </c>
      <c r="J85" s="240" t="str">
        <f t="shared" si="20"/>
        <v>-266201.640415126i</v>
      </c>
      <c r="K85" s="240" t="str">
        <f t="shared" si="21"/>
        <v>9326.88516964119-9125.91928131399i</v>
      </c>
      <c r="L85" s="240">
        <f t="shared" si="22"/>
        <v>4750</v>
      </c>
      <c r="M85" s="240" t="str">
        <f t="shared" si="23"/>
        <v>-1.69579730357112+1.659258051148i</v>
      </c>
      <c r="N85" s="240" t="str">
        <f t="shared" si="24"/>
        <v>1+4.77111930951436i</v>
      </c>
      <c r="O85" s="239" t="str">
        <f t="shared" si="25"/>
        <v>1+0.00184215474637906i</v>
      </c>
      <c r="P85" s="239" t="str">
        <f t="shared" si="26"/>
        <v>0.412300608057587-1.94924369501739i</v>
      </c>
      <c r="Q85" s="240" t="str">
        <f t="shared" si="27"/>
        <v>0.999895785561275-0.015375350147567i</v>
      </c>
      <c r="R85" s="239" t="str">
        <f t="shared" si="16"/>
        <v>0.382287336047303-1.95537982189472i</v>
      </c>
      <c r="S85" s="249">
        <f t="shared" si="17"/>
        <v>5.9875263891894956</v>
      </c>
      <c r="T85" s="249">
        <f t="shared" si="18"/>
        <v>-78.937896509842972</v>
      </c>
      <c r="V85" s="239">
        <v>12022.64435</v>
      </c>
      <c r="W85" s="239">
        <v>-2.4393586200000001</v>
      </c>
      <c r="X85" s="239">
        <v>149.19850880000001</v>
      </c>
      <c r="Y85" s="239">
        <v>2.2854913529999998</v>
      </c>
      <c r="Z85" s="239">
        <v>-88.275935099999998</v>
      </c>
      <c r="AA85" s="251">
        <f t="shared" si="9"/>
        <v>-0.15386726700000031</v>
      </c>
      <c r="AB85" s="251">
        <f t="shared" si="10"/>
        <v>60.922573700000015</v>
      </c>
    </row>
    <row r="86" spans="1:28" s="239" customFormat="1" x14ac:dyDescent="0.3">
      <c r="A86" s="239">
        <f t="shared" si="11"/>
        <v>12.360597033423115</v>
      </c>
      <c r="B86" s="248">
        <v>12618.568830660201</v>
      </c>
      <c r="C86" s="249">
        <f t="shared" si="12"/>
        <v>7.1499834118942704</v>
      </c>
      <c r="D86" s="249">
        <f t="shared" si="13"/>
        <v>138.0312224217887</v>
      </c>
      <c r="E86" s="248">
        <f t="shared" si="14"/>
        <v>5.2106136215288457</v>
      </c>
      <c r="F86" s="261">
        <f t="shared" si="14"/>
        <v>-80.03917622253158</v>
      </c>
      <c r="G86" s="250">
        <f t="shared" si="15"/>
        <v>12.360597033423115</v>
      </c>
      <c r="H86" s="250">
        <f t="shared" si="15"/>
        <v>57.992046199257118</v>
      </c>
      <c r="I86" s="240" t="str">
        <f t="shared" si="19"/>
        <v>-8408.50470592118i</v>
      </c>
      <c r="J86" s="240" t="str">
        <f t="shared" si="20"/>
        <v>-242553.020363112i</v>
      </c>
      <c r="K86" s="240" t="str">
        <f t="shared" si="21"/>
        <v>9314.25862865875-8377.41001422618i</v>
      </c>
      <c r="L86" s="240">
        <f t="shared" si="22"/>
        <v>4750</v>
      </c>
      <c r="M86" s="240" t="str">
        <f t="shared" si="23"/>
        <v>-1.69350156884704+1.52316545713203i</v>
      </c>
      <c r="N86" s="240" t="str">
        <f t="shared" si="24"/>
        <v>1+5.23629755221207i</v>
      </c>
      <c r="O86" s="239" t="str">
        <f t="shared" si="25"/>
        <v>1+0.00202176255999818i</v>
      </c>
      <c r="P86" s="239" t="str">
        <f t="shared" si="26"/>
        <v>0.34537669507126-1.78885902717194i</v>
      </c>
      <c r="Q86" s="240" t="str">
        <f t="shared" si="27"/>
        <v>0.999874468317046-0.0168745243011669i</v>
      </c>
      <c r="R86" s="239" t="str">
        <f t="shared" si="16"/>
        <v>0.3151471942281-1.79446253612173i</v>
      </c>
      <c r="S86" s="249">
        <f t="shared" si="17"/>
        <v>5.2106136215288457</v>
      </c>
      <c r="T86" s="249">
        <f t="shared" si="18"/>
        <v>-80.03917622253158</v>
      </c>
      <c r="V86" s="239">
        <v>13182.56739</v>
      </c>
      <c r="W86" s="239">
        <v>-2.6366989799999998</v>
      </c>
      <c r="X86" s="239">
        <v>151.44449270000001</v>
      </c>
      <c r="Y86" s="239">
        <v>1.488156824</v>
      </c>
      <c r="Z86" s="239">
        <v>-89.036125100000007</v>
      </c>
      <c r="AA86" s="251">
        <f t="shared" si="9"/>
        <v>-1.1485421559999998</v>
      </c>
      <c r="AB86" s="251">
        <f t="shared" si="10"/>
        <v>62.408367600000005</v>
      </c>
    </row>
    <row r="87" spans="1:28" s="239" customFormat="1" x14ac:dyDescent="0.3">
      <c r="A87" s="239">
        <f t="shared" si="11"/>
        <v>11.26054131857607</v>
      </c>
      <c r="B87" s="248">
        <v>13848.863713938699</v>
      </c>
      <c r="C87" s="249">
        <f t="shared" si="12"/>
        <v>6.8319511112883937</v>
      </c>
      <c r="D87" s="249">
        <f t="shared" si="13"/>
        <v>140.38023235511054</v>
      </c>
      <c r="E87" s="248">
        <f t="shared" si="14"/>
        <v>4.4285902072876766</v>
      </c>
      <c r="F87" s="261">
        <f t="shared" si="14"/>
        <v>-81.06287689360019</v>
      </c>
      <c r="G87" s="250">
        <f t="shared" si="15"/>
        <v>11.26054131857607</v>
      </c>
      <c r="H87" s="250">
        <f t="shared" si="15"/>
        <v>59.317355461510346</v>
      </c>
      <c r="I87" s="240" t="str">
        <f t="shared" si="19"/>
        <v>-7661.51632265725i</v>
      </c>
      <c r="J87" s="240" t="str">
        <f t="shared" si="20"/>
        <v>-221005.27853819i</v>
      </c>
      <c r="K87" s="240" t="str">
        <f t="shared" si="21"/>
        <v>9302.85717969701-7701.40046012144i</v>
      </c>
      <c r="L87" s="240">
        <f t="shared" si="22"/>
        <v>4750</v>
      </c>
      <c r="M87" s="240" t="str">
        <f t="shared" si="23"/>
        <v>-1.69142857812673+1.40025462911299i</v>
      </c>
      <c r="N87" s="240" t="str">
        <f t="shared" si="24"/>
        <v>1+5.74683009930704i</v>
      </c>
      <c r="O87" s="239" t="str">
        <f t="shared" si="25"/>
        <v>1+0.00221888191371808i</v>
      </c>
      <c r="P87" s="239" t="str">
        <f t="shared" si="26"/>
        <v>0.28907912500954-1.63973800381377i</v>
      </c>
      <c r="Q87" s="240" t="str">
        <f t="shared" si="27"/>
        <v>0.999848789356788-0.01851989711544i</v>
      </c>
      <c r="R87" s="239" t="str">
        <f t="shared" si="16"/>
        <v>0.2586676340422-1.64484377362891i</v>
      </c>
      <c r="S87" s="249">
        <f t="shared" si="17"/>
        <v>4.4285902072876766</v>
      </c>
      <c r="T87" s="249">
        <f t="shared" si="18"/>
        <v>-81.06287689360019</v>
      </c>
      <c r="V87" s="239">
        <v>14454.397709999999</v>
      </c>
      <c r="W87" s="239">
        <v>-2.80796015</v>
      </c>
      <c r="X87" s="239">
        <v>153.5810213</v>
      </c>
      <c r="Y87" s="239">
        <v>0.68927664</v>
      </c>
      <c r="Z87" s="239">
        <v>-89.788478299999994</v>
      </c>
      <c r="AA87" s="251">
        <f t="shared" si="9"/>
        <v>-2.1186835099999999</v>
      </c>
      <c r="AB87" s="251">
        <f t="shared" si="10"/>
        <v>63.792543000000009</v>
      </c>
    </row>
    <row r="88" spans="1:28" s="239" customFormat="1" x14ac:dyDescent="0.3">
      <c r="A88" s="239">
        <f t="shared" si="11"/>
        <v>10.190908400464696</v>
      </c>
      <c r="B88" s="248">
        <v>15199.1108295293</v>
      </c>
      <c r="C88" s="249">
        <f t="shared" si="12"/>
        <v>6.548634047811877</v>
      </c>
      <c r="D88" s="249">
        <f t="shared" si="13"/>
        <v>142.64852227828212</v>
      </c>
      <c r="E88" s="248">
        <f t="shared" si="14"/>
        <v>3.6422743526528203</v>
      </c>
      <c r="F88" s="261">
        <f t="shared" si="14"/>
        <v>-82.015821720215612</v>
      </c>
      <c r="G88" s="250">
        <f t="shared" si="15"/>
        <v>10.190908400464696</v>
      </c>
      <c r="H88" s="250">
        <f t="shared" si="15"/>
        <v>60.632700558066503</v>
      </c>
      <c r="I88" s="240" t="str">
        <f t="shared" si="19"/>
        <v>-6980.88832857618i</v>
      </c>
      <c r="J88" s="240" t="str">
        <f t="shared" si="20"/>
        <v>-201371.778708928i</v>
      </c>
      <c r="K88" s="240" t="str">
        <f t="shared" si="21"/>
        <v>9292.2860868081-7092.02779968877i</v>
      </c>
      <c r="L88" s="240">
        <f t="shared" si="22"/>
        <v>4750</v>
      </c>
      <c r="M88" s="240" t="str">
        <f t="shared" si="23"/>
        <v>-1.68950656123783+1.28945959994341i</v>
      </c>
      <c r="N88" s="240" t="str">
        <f t="shared" si="24"/>
        <v>1+6.30713893948782i</v>
      </c>
      <c r="O88" s="239" t="str">
        <f t="shared" si="25"/>
        <v>1+0.00243522016108046i</v>
      </c>
      <c r="P88" s="239" t="str">
        <f t="shared" si="26"/>
        <v>0.241823184377393-1.50156065163451i</v>
      </c>
      <c r="Q88" s="240" t="str">
        <f t="shared" si="27"/>
        <v>0.999817855673556-0.0203257327492778i</v>
      </c>
      <c r="R88" s="239" t="str">
        <f t="shared" si="16"/>
        <v>0.211258817144402-1.50620238429924i</v>
      </c>
      <c r="S88" s="249">
        <f t="shared" si="17"/>
        <v>3.6422743526528203</v>
      </c>
      <c r="T88" s="249">
        <f t="shared" si="18"/>
        <v>-82.015821720215612</v>
      </c>
      <c r="V88" s="239">
        <v>15848.931920000001</v>
      </c>
      <c r="W88" s="239">
        <v>-2.9557424600000002</v>
      </c>
      <c r="X88" s="239">
        <v>155.60149150000001</v>
      </c>
      <c r="Y88" s="239">
        <v>-0.11111279</v>
      </c>
      <c r="Z88" s="239">
        <v>-90.539110399999998</v>
      </c>
      <c r="AA88" s="251">
        <f t="shared" si="9"/>
        <v>-3.0668552500000001</v>
      </c>
      <c r="AB88" s="251">
        <f t="shared" si="10"/>
        <v>65.06238110000001</v>
      </c>
    </row>
    <row r="89" spans="1:28" s="239" customFormat="1" x14ac:dyDescent="0.3">
      <c r="A89" s="239">
        <f t="shared" si="11"/>
        <v>9.1504258805057859</v>
      </c>
      <c r="B89" s="248">
        <v>16681.0053720006</v>
      </c>
      <c r="C89" s="249">
        <f t="shared" si="12"/>
        <v>6.2980646617322913</v>
      </c>
      <c r="D89" s="249">
        <f t="shared" si="13"/>
        <v>144.81589869367443</v>
      </c>
      <c r="E89" s="248">
        <f t="shared" si="14"/>
        <v>2.8523612187734955</v>
      </c>
      <c r="F89" s="261">
        <f t="shared" si="14"/>
        <v>-82.904693499210651</v>
      </c>
      <c r="G89" s="250">
        <f t="shared" si="15"/>
        <v>9.1504258805057859</v>
      </c>
      <c r="H89" s="250">
        <f t="shared" si="15"/>
        <v>61.911205194463776</v>
      </c>
      <c r="I89" s="240" t="str">
        <f t="shared" si="19"/>
        <v>-6360.7254495999i</v>
      </c>
      <c r="J89" s="240" t="str">
        <f t="shared" si="20"/>
        <v>-183482.464892305i</v>
      </c>
      <c r="K89" s="240" t="str">
        <f t="shared" si="21"/>
        <v>9282.1799066324-6544.00102711736i</v>
      </c>
      <c r="L89" s="240">
        <f t="shared" si="22"/>
        <v>4750</v>
      </c>
      <c r="M89" s="240" t="str">
        <f t="shared" si="23"/>
        <v>-1.68766907393316+1.18981836856679i</v>
      </c>
      <c r="N89" s="240" t="str">
        <f t="shared" si="24"/>
        <v>1+6.92207719988108i</v>
      </c>
      <c r="O89" s="239" t="str">
        <f t="shared" si="25"/>
        <v>1+0.00267265112048962i</v>
      </c>
      <c r="P89" s="239" t="str">
        <f t="shared" si="26"/>
        <v>0.202228882151674-1.37388614479999i</v>
      </c>
      <c r="Q89" s="240" t="str">
        <f t="shared" si="27"/>
        <v>0.999780591177329-0.022307689297147i</v>
      </c>
      <c r="R89" s="239" t="str">
        <f t="shared" si="16"/>
        <v>0.171536286102878-1.37809596112842i</v>
      </c>
      <c r="S89" s="249">
        <f t="shared" si="17"/>
        <v>2.8523612187734955</v>
      </c>
      <c r="T89" s="249">
        <f t="shared" si="18"/>
        <v>-82.904693499210651</v>
      </c>
      <c r="V89" s="239">
        <v>17378.008290000002</v>
      </c>
      <c r="W89" s="239">
        <v>-3.0826144599999998</v>
      </c>
      <c r="X89" s="239">
        <v>157.50208710000001</v>
      </c>
      <c r="Y89" s="239">
        <v>-0.91302472000000001</v>
      </c>
      <c r="Z89" s="239">
        <v>-91.294127099999997</v>
      </c>
      <c r="AA89" s="251">
        <f t="shared" si="9"/>
        <v>-3.99563918</v>
      </c>
      <c r="AB89" s="251">
        <f t="shared" si="10"/>
        <v>66.207960000000014</v>
      </c>
    </row>
    <row r="90" spans="1:28" s="239" customFormat="1" x14ac:dyDescent="0.3">
      <c r="A90" s="239">
        <f t="shared" si="11"/>
        <v>8.137335365199128</v>
      </c>
      <c r="B90" s="248">
        <v>18307.3828029537</v>
      </c>
      <c r="C90" s="249">
        <f t="shared" si="12"/>
        <v>6.0778960136262228</v>
      </c>
      <c r="D90" s="249">
        <f t="shared" si="13"/>
        <v>146.8649340784977</v>
      </c>
      <c r="E90" s="248">
        <f t="shared" si="14"/>
        <v>2.0594393515729053</v>
      </c>
      <c r="F90" s="261">
        <f t="shared" si="14"/>
        <v>-83.735987048494181</v>
      </c>
      <c r="G90" s="250">
        <f t="shared" si="15"/>
        <v>8.137335365199128</v>
      </c>
      <c r="H90" s="250">
        <f t="shared" si="15"/>
        <v>63.128947030003516</v>
      </c>
      <c r="I90" s="240" t="str">
        <f t="shared" si="19"/>
        <v>-5795.65613155139i</v>
      </c>
      <c r="J90" s="240" t="str">
        <f t="shared" si="20"/>
        <v>-167182.388410136i</v>
      </c>
      <c r="K90" s="240" t="str">
        <f t="shared" si="21"/>
        <v>9272.19002113205-6052.55413463692i</v>
      </c>
      <c r="L90" s="240">
        <f t="shared" si="22"/>
        <v>4750</v>
      </c>
      <c r="M90" s="240" t="str">
        <f t="shared" si="23"/>
        <v>-1.68585273111492+1.1004643881158i</v>
      </c>
      <c r="N90" s="240" t="str">
        <f t="shared" si="24"/>
        <v>1+7.59697118151712i</v>
      </c>
      <c r="O90" s="239" t="str">
        <f t="shared" si="25"/>
        <v>1+0.00293323130533099i</v>
      </c>
      <c r="P90" s="239" t="str">
        <f t="shared" si="26"/>
        <v>0.169104593685118-1.25619408295731i</v>
      </c>
      <c r="Q90" s="240" t="str">
        <f t="shared" si="27"/>
        <v>0.999735699046578-0.0244829557184176i</v>
      </c>
      <c r="R90" s="239" t="str">
        <f t="shared" si="16"/>
        <v>0.138304555072997-1.26000224994248i</v>
      </c>
      <c r="S90" s="249">
        <f t="shared" si="17"/>
        <v>2.0594393515729053</v>
      </c>
      <c r="T90" s="249">
        <f t="shared" si="18"/>
        <v>-83.735987048494181</v>
      </c>
      <c r="V90" s="239">
        <v>19054.607179999999</v>
      </c>
      <c r="W90" s="239">
        <v>-3.1910424599999998</v>
      </c>
      <c r="X90" s="239">
        <v>159.2814424</v>
      </c>
      <c r="Y90" s="239">
        <v>-1.7165224299999999</v>
      </c>
      <c r="Z90" s="239">
        <v>-92.059656700000005</v>
      </c>
      <c r="AA90" s="251">
        <f t="shared" si="9"/>
        <v>-4.9075648899999997</v>
      </c>
      <c r="AB90" s="251">
        <f t="shared" si="10"/>
        <v>67.221785699999998</v>
      </c>
    </row>
    <row r="91" spans="1:28" s="239" customFormat="1" x14ac:dyDescent="0.3">
      <c r="A91" s="239">
        <f t="shared" si="11"/>
        <v>7.1495260599736739</v>
      </c>
      <c r="B91" s="248">
        <v>20092.330025650499</v>
      </c>
      <c r="C91" s="249">
        <f t="shared" si="12"/>
        <v>5.8855204101193461</v>
      </c>
      <c r="D91" s="249">
        <f t="shared" si="13"/>
        <v>148.78120595991112</v>
      </c>
      <c r="E91" s="248">
        <f t="shared" si="14"/>
        <v>1.2640056498543277</v>
      </c>
      <c r="F91" s="261">
        <f t="shared" si="14"/>
        <v>-84.515982448945422</v>
      </c>
      <c r="G91" s="250">
        <f t="shared" si="15"/>
        <v>7.1495260599736739</v>
      </c>
      <c r="H91" s="250">
        <f t="shared" si="15"/>
        <v>64.265223510965697</v>
      </c>
      <c r="I91" s="240" t="str">
        <f t="shared" si="19"/>
        <v>-5280.78601432198i</v>
      </c>
      <c r="J91" s="240" t="str">
        <f t="shared" si="20"/>
        <v>-152330.36579775i</v>
      </c>
      <c r="K91" s="240" t="str">
        <f t="shared" si="21"/>
        <v>9261.97284845838-5613.40336118504i</v>
      </c>
      <c r="L91" s="240">
        <f t="shared" si="22"/>
        <v>4750</v>
      </c>
      <c r="M91" s="240" t="str">
        <f t="shared" si="23"/>
        <v>-1.68399506335607+1.02061879294273i</v>
      </c>
      <c r="N91" s="240" t="str">
        <f t="shared" si="24"/>
        <v>1+8.33766649320137i</v>
      </c>
      <c r="O91" s="239" t="str">
        <f t="shared" si="25"/>
        <v>1+0.00321921773650635i</v>
      </c>
      <c r="P91" s="239" t="str">
        <f t="shared" si="26"/>
        <v>0.141428411532833-1.14791667867449i</v>
      </c>
      <c r="Q91" s="240" t="str">
        <f t="shared" si="27"/>
        <v>0.999681616287214-0.0268704024420344i</v>
      </c>
      <c r="R91" s="239" t="str">
        <f t="shared" si="16"/>
        <v>0.110538399904169-1.15135143903499i</v>
      </c>
      <c r="S91" s="249">
        <f t="shared" si="17"/>
        <v>1.2640056498543277</v>
      </c>
      <c r="T91" s="249">
        <f t="shared" si="18"/>
        <v>-84.515982448945422</v>
      </c>
      <c r="V91" s="239">
        <v>20892.961309999999</v>
      </c>
      <c r="W91" s="239">
        <v>-3.2833399000000001</v>
      </c>
      <c r="X91" s="239">
        <v>160.9402546</v>
      </c>
      <c r="Y91" s="239">
        <v>-2.5217211700000002</v>
      </c>
      <c r="Z91" s="239">
        <v>-92.841880399999994</v>
      </c>
      <c r="AA91" s="251">
        <f t="shared" si="9"/>
        <v>-5.8050610700000007</v>
      </c>
      <c r="AB91" s="251">
        <f t="shared" si="10"/>
        <v>68.098374200000009</v>
      </c>
    </row>
    <row r="92" spans="1:28" s="239" customFormat="1" x14ac:dyDescent="0.3">
      <c r="A92" s="239">
        <f t="shared" si="11"/>
        <v>6.1846631501767311</v>
      </c>
      <c r="B92" s="248">
        <v>22051.307399030498</v>
      </c>
      <c r="C92" s="249">
        <f t="shared" si="12"/>
        <v>5.7181843919728506</v>
      </c>
      <c r="D92" s="249">
        <f t="shared" si="13"/>
        <v>150.55330963686433</v>
      </c>
      <c r="E92" s="248">
        <f t="shared" si="14"/>
        <v>0.46647875820388046</v>
      </c>
      <c r="F92" s="261">
        <f t="shared" si="14"/>
        <v>-85.250734594709485</v>
      </c>
      <c r="G92" s="250">
        <f t="shared" si="15"/>
        <v>6.1846631501767311</v>
      </c>
      <c r="H92" s="250">
        <f t="shared" si="15"/>
        <v>65.302575042154842</v>
      </c>
      <c r="I92" s="240" t="str">
        <f t="shared" si="19"/>
        <v>-4811.65553926576i</v>
      </c>
      <c r="J92" s="240" t="str">
        <f t="shared" si="20"/>
        <v>-138797.755940358i</v>
      </c>
      <c r="K92" s="240" t="str">
        <f t="shared" si="21"/>
        <v>9251.17836549847-5222.7080282286i</v>
      </c>
      <c r="L92" s="240">
        <f t="shared" si="22"/>
        <v>4750</v>
      </c>
      <c r="M92" s="240" t="str">
        <f t="shared" si="23"/>
        <v>-1.68203243009063+0.949583277859744i</v>
      </c>
      <c r="N92" s="240" t="str">
        <f t="shared" si="24"/>
        <v>1+9.15057868338133i</v>
      </c>
      <c r="O92" s="239" t="str">
        <f t="shared" si="25"/>
        <v>1+0.00353308749166907i</v>
      </c>
      <c r="P92" s="239" t="str">
        <f t="shared" si="26"/>
        <v>0.118328906690633-1.04846330112844i</v>
      </c>
      <c r="Q92" s="240" t="str">
        <f t="shared" si="27"/>
        <v>0.999616458863219-0.0294907470819499i</v>
      </c>
      <c r="R92" s="239" t="str">
        <f t="shared" si="16"/>
        <v>0.0873635566489617-1.05155078018175i</v>
      </c>
      <c r="S92" s="249">
        <f t="shared" si="17"/>
        <v>0.46647875820388046</v>
      </c>
      <c r="T92" s="249">
        <f t="shared" si="18"/>
        <v>-85.250734594709485</v>
      </c>
      <c r="V92" s="239">
        <v>22908.676530000001</v>
      </c>
      <c r="W92" s="239">
        <v>-3.3616348500000002</v>
      </c>
      <c r="X92" s="239">
        <v>162.48088440000001</v>
      </c>
      <c r="Y92" s="239">
        <v>-3.3287915199999998</v>
      </c>
      <c r="Z92" s="239">
        <v>-93.647062599999998</v>
      </c>
      <c r="AA92" s="251">
        <f t="shared" si="9"/>
        <v>-6.69042637</v>
      </c>
      <c r="AB92" s="251">
        <f t="shared" si="10"/>
        <v>68.83382180000001</v>
      </c>
    </row>
    <row r="93" spans="1:28" s="239" customFormat="1" x14ac:dyDescent="0.3">
      <c r="A93" s="239">
        <f t="shared" si="11"/>
        <v>5.2403015684563616</v>
      </c>
      <c r="B93" s="248">
        <v>24201.282647943801</v>
      </c>
      <c r="C93" s="249">
        <f t="shared" si="12"/>
        <v>5.5730906810657102</v>
      </c>
      <c r="D93" s="249">
        <f t="shared" si="13"/>
        <v>152.17268268990884</v>
      </c>
      <c r="E93" s="248">
        <f t="shared" si="14"/>
        <v>-0.33278911260934807</v>
      </c>
      <c r="F93" s="261">
        <f t="shared" si="14"/>
        <v>-85.946075334117751</v>
      </c>
      <c r="G93" s="250">
        <f t="shared" si="15"/>
        <v>5.2403015684563616</v>
      </c>
      <c r="H93" s="250">
        <f t="shared" si="15"/>
        <v>66.226607355791089</v>
      </c>
      <c r="I93" s="240" t="str">
        <f t="shared" si="19"/>
        <v>-4384.20132263575i</v>
      </c>
      <c r="J93" s="240" t="str">
        <f t="shared" si="20"/>
        <v>-126467.345845262i</v>
      </c>
      <c r="K93" s="240" t="str">
        <f t="shared" si="21"/>
        <v>9239.43860467442-4877.03447559053i</v>
      </c>
      <c r="L93" s="240">
        <f t="shared" si="22"/>
        <v>4750</v>
      </c>
      <c r="M93" s="240" t="str">
        <f t="shared" si="23"/>
        <v>-1.67989792812262+0.886733541016458i</v>
      </c>
      <c r="N93" s="240" t="str">
        <f t="shared" si="24"/>
        <v>1+10.0427488085581i</v>
      </c>
      <c r="O93" s="239" t="str">
        <f t="shared" si="25"/>
        <v>1+0.00387755916048575i</v>
      </c>
      <c r="P93" s="239" t="str">
        <f t="shared" si="26"/>
        <v>0.0990664098433731-0.95723876139057i</v>
      </c>
      <c r="Q93" s="240" t="str">
        <f t="shared" si="27"/>
        <v>0.999537955409882-0.032366736870075i</v>
      </c>
      <c r="R93" s="239" t="str">
        <f t="shared" si="16"/>
        <v>0.0680379416328775-0.960002930819482i</v>
      </c>
      <c r="S93" s="249">
        <f t="shared" si="17"/>
        <v>-0.33278911260934807</v>
      </c>
      <c r="T93" s="249">
        <f t="shared" si="18"/>
        <v>-85.946075334117751</v>
      </c>
      <c r="V93" s="239">
        <v>25118.864320000001</v>
      </c>
      <c r="W93" s="239">
        <v>-3.4278531800000001</v>
      </c>
      <c r="X93" s="239">
        <v>163.90697460000001</v>
      </c>
      <c r="Y93" s="239">
        <v>-4.1379643699999997</v>
      </c>
      <c r="Z93" s="239">
        <v>-94.481575599999999</v>
      </c>
      <c r="AA93" s="251">
        <f t="shared" si="9"/>
        <v>-7.5658175500000002</v>
      </c>
      <c r="AB93" s="251">
        <f t="shared" si="10"/>
        <v>69.425399000000013</v>
      </c>
    </row>
    <row r="94" spans="1:28" s="239" customFormat="1" x14ac:dyDescent="0.3">
      <c r="A94" s="239">
        <f t="shared" si="11"/>
        <v>4.3139792619867521</v>
      </c>
      <c r="B94" s="248">
        <v>26560.877829466801</v>
      </c>
      <c r="C94" s="249">
        <f t="shared" si="12"/>
        <v>5.4474811235870177</v>
      </c>
      <c r="D94" s="249">
        <f t="shared" si="13"/>
        <v>153.63329235419246</v>
      </c>
      <c r="E94" s="248">
        <f t="shared" si="14"/>
        <v>-1.1335018616002661</v>
      </c>
      <c r="F94" s="261">
        <f t="shared" si="14"/>
        <v>-86.607625221741884</v>
      </c>
      <c r="G94" s="250">
        <f t="shared" si="15"/>
        <v>4.3139792619867521</v>
      </c>
      <c r="H94" s="250">
        <f t="shared" si="15"/>
        <v>67.025667132450579</v>
      </c>
      <c r="I94" s="240" t="str">
        <f t="shared" si="19"/>
        <v>-3994.72096049797i</v>
      </c>
      <c r="J94" s="240" t="str">
        <f t="shared" si="20"/>
        <v>-115232.33539898i</v>
      </c>
      <c r="K94" s="240" t="str">
        <f t="shared" si="21"/>
        <v>9226.35581275304-4573.32258702135i</v>
      </c>
      <c r="L94" s="240">
        <f t="shared" si="22"/>
        <v>4750</v>
      </c>
      <c r="M94" s="240" t="str">
        <f t="shared" si="23"/>
        <v>-1.67751923868237+0.831513197640244i</v>
      </c>
      <c r="N94" s="240" t="str">
        <f t="shared" si="24"/>
        <v>1+11.0219044195493i</v>
      </c>
      <c r="O94" s="239" t="str">
        <f t="shared" si="25"/>
        <v>1+0.00425561639175939i</v>
      </c>
      <c r="P94" s="239" t="str">
        <f t="shared" si="26"/>
        <v>0.0830154835367415-0.873656583311324i</v>
      </c>
      <c r="Q94" s="240" t="str">
        <f t="shared" si="27"/>
        <v>0.999443367106313-0.0355233496107636i</v>
      </c>
      <c r="R94" s="239" t="str">
        <f t="shared" si="16"/>
        <v>0.0519340661392062-0.876119265364049i</v>
      </c>
      <c r="S94" s="249">
        <f t="shared" si="17"/>
        <v>-1.1335018616002661</v>
      </c>
      <c r="T94" s="249">
        <f t="shared" si="18"/>
        <v>-86.607625221741884</v>
      </c>
      <c r="V94" s="239">
        <v>27542.28703</v>
      </c>
      <c r="W94" s="239">
        <v>-3.4837140500000001</v>
      </c>
      <c r="X94" s="239">
        <v>165.22310379999999</v>
      </c>
      <c r="Y94" s="239">
        <v>-4.9495374400000003</v>
      </c>
      <c r="Z94" s="239">
        <v>-95.351921099999998</v>
      </c>
      <c r="AA94" s="251">
        <f t="shared" si="9"/>
        <v>-8.43325149</v>
      </c>
      <c r="AB94" s="251">
        <f t="shared" si="10"/>
        <v>69.871182699999991</v>
      </c>
    </row>
    <row r="95" spans="1:28" s="239" customFormat="1" x14ac:dyDescent="0.3">
      <c r="A95" s="239">
        <f t="shared" si="11"/>
        <v>3.403287498574628</v>
      </c>
      <c r="B95" s="248">
        <v>29150.530628251799</v>
      </c>
      <c r="C95" s="249">
        <f t="shared" si="12"/>
        <v>5.338698049908265</v>
      </c>
      <c r="D95" s="249">
        <f t="shared" si="13"/>
        <v>154.93123925784977</v>
      </c>
      <c r="E95" s="248">
        <f t="shared" si="14"/>
        <v>-1.935410551333637</v>
      </c>
      <c r="F95" s="261">
        <f t="shared" si="14"/>
        <v>-87.240812555127619</v>
      </c>
      <c r="G95" s="250">
        <f t="shared" si="15"/>
        <v>3.403287498574628</v>
      </c>
      <c r="H95" s="250">
        <f t="shared" si="15"/>
        <v>67.690426702722149</v>
      </c>
      <c r="I95" s="240" t="str">
        <f t="shared" si="19"/>
        <v>-3639.84096027964i</v>
      </c>
      <c r="J95" s="240" t="str">
        <f t="shared" si="20"/>
        <v>-104995.412315759i</v>
      </c>
      <c r="K95" s="240" t="str">
        <f t="shared" si="21"/>
        <v>9211.48998476276-4308.85435668515i</v>
      </c>
      <c r="L95" s="240">
        <f t="shared" si="22"/>
        <v>4750</v>
      </c>
      <c r="M95" s="240" t="str">
        <f t="shared" si="23"/>
        <v>-1.67481636086595+0.783428064851844i</v>
      </c>
      <c r="N95" s="240" t="str">
        <f t="shared" si="24"/>
        <v>1+12.0965264938379i</v>
      </c>
      <c r="O95" s="239" t="str">
        <f t="shared" si="25"/>
        <v>1+0.00467053373636797i</v>
      </c>
      <c r="P95" s="239" t="str">
        <f t="shared" si="26"/>
        <v>0.0696489446758368-0.797148330187218i</v>
      </c>
      <c r="Q95" s="240" t="str">
        <f t="shared" si="27"/>
        <v>0.999329390748616-0.038988015189001i</v>
      </c>
      <c r="R95" s="239" t="str">
        <f t="shared" si="16"/>
        <v>0.038523006243962-0.799329229255189i</v>
      </c>
      <c r="S95" s="249">
        <f t="shared" si="17"/>
        <v>-1.935410551333637</v>
      </c>
      <c r="T95" s="249">
        <f t="shared" si="18"/>
        <v>-87.240812555127619</v>
      </c>
      <c r="V95" s="239">
        <v>30199.517199999998</v>
      </c>
      <c r="W95" s="239">
        <v>-3.5307345799999998</v>
      </c>
      <c r="X95" s="239">
        <v>166.4344859</v>
      </c>
      <c r="Y95" s="239">
        <v>-5.7638835799999999</v>
      </c>
      <c r="Z95" s="239">
        <v>-96.264742999999996</v>
      </c>
      <c r="AA95" s="251">
        <f t="shared" si="9"/>
        <v>-9.2946181599999989</v>
      </c>
      <c r="AB95" s="251">
        <f t="shared" si="10"/>
        <v>70.169742900000003</v>
      </c>
    </row>
    <row r="96" spans="1:28" s="239" customFormat="1" x14ac:dyDescent="0.3">
      <c r="A96" s="239">
        <f t="shared" si="11"/>
        <v>2.5059185256960643</v>
      </c>
      <c r="B96" s="248">
        <v>31992.671377973798</v>
      </c>
      <c r="C96" s="249">
        <f t="shared" si="12"/>
        <v>5.244224225799238</v>
      </c>
      <c r="D96" s="249">
        <f t="shared" si="13"/>
        <v>156.06432568706737</v>
      </c>
      <c r="E96" s="248">
        <f t="shared" si="14"/>
        <v>-2.7383057001031736</v>
      </c>
      <c r="F96" s="261">
        <f t="shared" si="14"/>
        <v>-87.850897929119881</v>
      </c>
      <c r="G96" s="250">
        <f t="shared" si="15"/>
        <v>2.5059185256960643</v>
      </c>
      <c r="H96" s="250">
        <f t="shared" si="15"/>
        <v>68.213427757947485</v>
      </c>
      <c r="I96" s="240" t="str">
        <f t="shared" si="19"/>
        <v>-3316.48752119045i</v>
      </c>
      <c r="J96" s="240" t="str">
        <f t="shared" si="20"/>
        <v>-95667.9092651092i</v>
      </c>
      <c r="K96" s="240" t="str">
        <f t="shared" si="21"/>
        <v>9194.34551682906-4081.22389110726i</v>
      </c>
      <c r="L96" s="240">
        <f t="shared" si="22"/>
        <v>4750</v>
      </c>
      <c r="M96" s="240" t="str">
        <f t="shared" si="23"/>
        <v>-1.67169918487801+0.742040707474046i</v>
      </c>
      <c r="N96" s="240" t="str">
        <f t="shared" si="24"/>
        <v>1+13.2759228937411i</v>
      </c>
      <c r="O96" s="239" t="str">
        <f t="shared" si="25"/>
        <v>1+0.0051259050098575i</v>
      </c>
      <c r="P96" s="239" t="str">
        <f t="shared" si="26"/>
        <v>0.0585235841580182-0.727169879895689i</v>
      </c>
      <c r="Q96" s="240" t="str">
        <f t="shared" si="27"/>
        <v>0.999192041402433-0.0427908599294646i</v>
      </c>
      <c r="R96" s="239" t="str">
        <f t="shared" si="16"/>
        <v>0.0273600750494953-0.729086631231612i</v>
      </c>
      <c r="S96" s="249">
        <f t="shared" si="17"/>
        <v>-2.7383057001031736</v>
      </c>
      <c r="T96" s="249">
        <f t="shared" si="18"/>
        <v>-87.850897929119881</v>
      </c>
      <c r="V96" s="239">
        <v>33113.112150000001</v>
      </c>
      <c r="W96" s="239">
        <v>-3.5702407300000001</v>
      </c>
      <c r="X96" s="239">
        <v>167.54671909999999</v>
      </c>
      <c r="Y96" s="239">
        <v>-6.5814607199999999</v>
      </c>
      <c r="Z96" s="239">
        <v>-97.226832000000002</v>
      </c>
      <c r="AA96" s="251">
        <f t="shared" si="9"/>
        <v>-10.151701450000001</v>
      </c>
      <c r="AB96" s="251">
        <f t="shared" si="10"/>
        <v>70.319887099999988</v>
      </c>
    </row>
    <row r="97" spans="1:28" s="239" customFormat="1" x14ac:dyDescent="0.3">
      <c r="A97" s="239">
        <f t="shared" si="11"/>
        <v>1.6196927776101551</v>
      </c>
      <c r="B97" s="248">
        <v>35111.917342151297</v>
      </c>
      <c r="C97" s="249">
        <f t="shared" si="12"/>
        <v>5.1617034444269034</v>
      </c>
      <c r="D97" s="249">
        <f t="shared" si="13"/>
        <v>157.03162685835318</v>
      </c>
      <c r="E97" s="248">
        <f t="shared" si="14"/>
        <v>-3.5420106668167484</v>
      </c>
      <c r="F97" s="261">
        <f t="shared" si="14"/>
        <v>-88.443003010237447</v>
      </c>
      <c r="G97" s="250">
        <f t="shared" si="15"/>
        <v>1.6196927776101551</v>
      </c>
      <c r="H97" s="250">
        <f t="shared" si="15"/>
        <v>68.588623848115731</v>
      </c>
      <c r="I97" s="240" t="str">
        <f t="shared" si="19"/>
        <v>-3021.85991043051i</v>
      </c>
      <c r="J97" s="240" t="str">
        <f t="shared" si="20"/>
        <v>-87169.0358778031i</v>
      </c>
      <c r="K97" s="240" t="str">
        <f t="shared" si="21"/>
        <v>9174.35676474517-3888.30816397357i</v>
      </c>
      <c r="L97" s="240">
        <f t="shared" si="22"/>
        <v>4750</v>
      </c>
      <c r="M97" s="240" t="str">
        <f t="shared" si="23"/>
        <v>-1.6680648663173+0.706965120722466i</v>
      </c>
      <c r="N97" s="240" t="str">
        <f t="shared" si="24"/>
        <v>1+14.5703089866618i</v>
      </c>
      <c r="O97" s="239" t="str">
        <f t="shared" si="25"/>
        <v>1+0.00562567442035328i</v>
      </c>
      <c r="P97" s="239" t="str">
        <f t="shared" si="26"/>
        <v>0.0492675917349024-0.663205375906251i</v>
      </c>
      <c r="Q97" s="240" t="str">
        <f t="shared" si="27"/>
        <v>0.999026510189644-0.0469649764124065i</v>
      </c>
      <c r="R97" s="239" t="str">
        <f t="shared" si="16"/>
        <v>0.0180722054003494-0.664873603514359i</v>
      </c>
      <c r="S97" s="249">
        <f t="shared" si="17"/>
        <v>-3.5420106668167484</v>
      </c>
      <c r="T97" s="249">
        <f t="shared" si="18"/>
        <v>-88.443003010237447</v>
      </c>
      <c r="V97" s="239">
        <v>36307.805480000003</v>
      </c>
      <c r="W97" s="239">
        <v>-3.60338205</v>
      </c>
      <c r="X97" s="239">
        <v>168.56558219999999</v>
      </c>
      <c r="Y97" s="239">
        <v>-7.4028235599999999</v>
      </c>
      <c r="Z97" s="239">
        <v>-98.245117199999996</v>
      </c>
      <c r="AA97" s="251">
        <f t="shared" si="9"/>
        <v>-11.00620561</v>
      </c>
      <c r="AB97" s="251">
        <f t="shared" si="10"/>
        <v>70.320464999999999</v>
      </c>
    </row>
    <row r="98" spans="1:28" s="239" customFormat="1" x14ac:dyDescent="0.3">
      <c r="A98" s="239">
        <f t="shared" si="11"/>
        <v>0.74256882936293422</v>
      </c>
      <c r="B98" s="248">
        <v>38535.2859371054</v>
      </c>
      <c r="C98" s="249">
        <f t="shared" si="12"/>
        <v>5.0889448151869532</v>
      </c>
      <c r="D98" s="249">
        <f t="shared" si="13"/>
        <v>157.8330927103525</v>
      </c>
      <c r="E98" s="248">
        <f t="shared" si="14"/>
        <v>-4.346375985824019</v>
      </c>
      <c r="F98" s="261">
        <f t="shared" si="14"/>
        <v>-89.022142623675933</v>
      </c>
      <c r="G98" s="250">
        <f t="shared" si="15"/>
        <v>0.74256882936293422</v>
      </c>
      <c r="H98" s="250">
        <f t="shared" si="15"/>
        <v>68.81095008667657</v>
      </c>
      <c r="I98" s="240" t="str">
        <f t="shared" ref="I98:I133" si="28">IMDIV(1,COMPLEX(0,2*PI()*$B98*Cz_adj*10^-9))</f>
        <v>-2753.40620458276i</v>
      </c>
      <c r="J98" s="240" t="str">
        <f t="shared" ref="J98:J133" si="29">IMDIV(1,COMPLEX(0,2*PI()*$B98*Cp_Cstray_adj*10^-12))</f>
        <v>-79425.178978349i</v>
      </c>
      <c r="K98" s="240" t="str">
        <f t="shared" ref="K98:K129" si="30">IMDIV(IMPRODUCT(IMDIV(IMPRODUCT(J98,IMSUM(Rz_adj*10^3,I98)),IMSUM(J98,IMSUM(Rz_adj*10^3,I98))),Ro_adj*10^3),IMSUM(IMDIV(IMPRODUCT(J98,IMSUM(Rz_adj*10^3,I98)),IMSUM(J98,IMSUM(Rz_adj*10^3,I98))),Ro_adj*10^3))</f>
        <v>9150.87235968257-3728.23774167118i</v>
      </c>
      <c r="L98" s="240">
        <f t="shared" ref="L98:L133" si="31">IF($E$1="Feedforward RC",IMDIV(IMPRODUCT(IMSUM(Rz_2_adj*10^3,IMDIV(1,COMPLEX(0,2*PI()*$B98*Cz_2_adj*10^-12))),RFB1_adj*10^3),IMSUM(IMSUM(Rz_2_adj*10^3,IMDIV(1,COMPLEX(0,2*PI()*$B98*Cz_2_adj*10^-12))),RFB1_adj*10^3)),RFB1_adj*10^3)</f>
        <v>4750</v>
      </c>
      <c r="M98" s="240" t="str">
        <f t="shared" ref="M98:M129" si="32">IMPRODUCT(-gm_EA2*10^-6,K98,IMDIV(RFB2_adj*10^3,IMSUM(L98,RFB2_adj*10^3)))</f>
        <v>-1.66379497448774+0.677861407576577i</v>
      </c>
      <c r="N98" s="240" t="str">
        <f t="shared" ref="N98:N133" si="33">COMPLEX(1,2*PI()*B98*1/(1/(Vout_sync_buck/Iout_sync_buck*Number_Cout2*Co_2*10^-6)+(mc_adj*(1-Vout_sync_buck/Vreg)-0.5)/(fsw*10^3*L_buck2*10^-6*Number_Cout2*Co_2*10^-6)))</f>
        <v>1+15.9908961257138i</v>
      </c>
      <c r="O98" s="239" t="str">
        <f t="shared" ref="O98:O133" si="34">COMPLEX(1,2*PI()*B98*(ESR_2*10^-3*Co_2*10^-6))</f>
        <v>1+0.00617417073140361i</v>
      </c>
      <c r="P98" s="239" t="str">
        <f t="shared" ref="P98:P129" si="35">IMPRODUCT(K_adj,IMDIV(O98,N98))</f>
        <v>0.0415696088118626-0.604769436025626i</v>
      </c>
      <c r="Q98" s="240" t="str">
        <f t="shared" ref="Q98:Q133" si="36">IMDIV(1,IMSUM(COMPLEX(1,2*PI()*B98/(wn_adj*Qp_adj)),IMPRODUCT(COMPLEX(0,2*PI()*B98/wn_adj),COMPLEX(0,2*PI()*B98/wn_adj))))</f>
        <v>0.998826991734155-0.0515467217128012i</v>
      </c>
      <c r="R98" s="239" t="str">
        <f t="shared" si="16"/>
        <v>0.0103469654978977-0.606202813535373i</v>
      </c>
      <c r="S98" s="249">
        <f t="shared" si="17"/>
        <v>-4.346375985824019</v>
      </c>
      <c r="T98" s="249">
        <f t="shared" si="18"/>
        <v>-89.022142623675933</v>
      </c>
      <c r="V98" s="239">
        <v>39810.717060000003</v>
      </c>
      <c r="W98" s="239">
        <v>-3.6311484599999999</v>
      </c>
      <c r="X98" s="239">
        <v>169.49687410000001</v>
      </c>
      <c r="Y98" s="239">
        <v>-8.2286369500000003</v>
      </c>
      <c r="Z98" s="239">
        <v>-99.326641199999997</v>
      </c>
      <c r="AA98" s="251">
        <f t="shared" ref="AA98:AA133" si="37">W98+Y98</f>
        <v>-11.859785410000001</v>
      </c>
      <c r="AB98" s="251">
        <f t="shared" ref="AB98:AB133" si="38">X98+Z98</f>
        <v>70.170232900000016</v>
      </c>
    </row>
    <row r="99" spans="1:28" s="239" customFormat="1" x14ac:dyDescent="0.3">
      <c r="A99" s="239">
        <f t="shared" ref="A99:A134" si="39">ABS(G99)</f>
        <v>0.12736040573881535</v>
      </c>
      <c r="B99" s="248">
        <v>42292.428743894998</v>
      </c>
      <c r="C99" s="249">
        <f t="shared" ref="C99:C133" si="40">20*LOG(IMABS(M99))</f>
        <v>5.023914111747521</v>
      </c>
      <c r="D99" s="249">
        <f t="shared" ref="D99:D133" si="41">IF(180/PI()*IMARGUMENT(M99)&gt;0,180/PI()*IMARGUMENT(M99),360+180/PI()*IMARGUMENT(M99))</f>
        <v>158.46919761745409</v>
      </c>
      <c r="E99" s="248">
        <f t="shared" ref="E99:F133" si="42">S99</f>
        <v>-5.1512745174863364</v>
      </c>
      <c r="F99" s="261">
        <f t="shared" si="42"/>
        <v>-89.593259569607241</v>
      </c>
      <c r="G99" s="250">
        <f t="shared" ref="G99:H134" si="43">C99+E99</f>
        <v>-0.12736040573881535</v>
      </c>
      <c r="H99" s="250">
        <f t="shared" si="43"/>
        <v>68.875938047846844</v>
      </c>
      <c r="I99" s="240" t="str">
        <f t="shared" si="28"/>
        <v>-2508.80118607312i</v>
      </c>
      <c r="J99" s="240" t="str">
        <f t="shared" si="29"/>
        <v>-72369.2649828786i</v>
      </c>
      <c r="K99" s="240" t="str">
        <f t="shared" si="30"/>
        <v>9123.13823096626-3599.3665753077i</v>
      </c>
      <c r="L99" s="240">
        <f t="shared" si="31"/>
        <v>4750</v>
      </c>
      <c r="M99" s="240" t="str">
        <f t="shared" si="32"/>
        <v>-1.65875240563023+0.654430286419581i</v>
      </c>
      <c r="N99" s="240" t="str">
        <f t="shared" si="33"/>
        <v>1+17.5499887570985i</v>
      </c>
      <c r="O99" s="239" t="str">
        <f t="shared" si="34"/>
        <v>1+0.00677614475565881i</v>
      </c>
      <c r="P99" s="239" t="str">
        <f t="shared" si="35"/>
        <v>0.0351692837894889-0.551408077261616i</v>
      </c>
      <c r="Q99" s="240" t="str">
        <f t="shared" si="36"/>
        <v>0.998586474497327-0.0565760474500353i</v>
      </c>
      <c r="R99" s="239" t="str">
        <f t="shared" ref="R99:R133" si="44">IMPRODUCT(P99,Q99)</f>
        <v>0.00392308156645579-0.552618386950485i</v>
      </c>
      <c r="S99" s="249">
        <f t="shared" ref="S99:S133" si="45">20*LOG(IMABS(R99))</f>
        <v>-5.1512745174863364</v>
      </c>
      <c r="T99" s="249">
        <f t="shared" ref="T99:T133" si="46">180/PI()*IMARGUMENT(R99)</f>
        <v>-89.593259569607241</v>
      </c>
      <c r="V99" s="239">
        <v>43651.58322</v>
      </c>
      <c r="W99" s="239">
        <v>-3.65438763</v>
      </c>
      <c r="X99" s="239">
        <v>170.34629219999999</v>
      </c>
      <c r="Y99" s="239">
        <v>-9.0596908200000001</v>
      </c>
      <c r="Z99" s="239">
        <v>-100.478515</v>
      </c>
      <c r="AA99" s="251">
        <f t="shared" si="37"/>
        <v>-12.714078450000001</v>
      </c>
      <c r="AB99" s="251">
        <f t="shared" si="38"/>
        <v>69.867777199999992</v>
      </c>
    </row>
    <row r="100" spans="1:28" s="239" customFormat="1" x14ac:dyDescent="0.3">
      <c r="A100" s="239">
        <f t="shared" si="39"/>
        <v>0.99188191886066779</v>
      </c>
      <c r="B100" s="248">
        <v>46415.888336127799</v>
      </c>
      <c r="C100" s="249">
        <f t="shared" si="40"/>
        <v>4.9647153731473468</v>
      </c>
      <c r="D100" s="249">
        <f t="shared" si="41"/>
        <v>158.94064733952209</v>
      </c>
      <c r="E100" s="248">
        <f t="shared" si="42"/>
        <v>-5.9565972920080146</v>
      </c>
      <c r="F100" s="261">
        <f t="shared" si="42"/>
        <v>-90.161261857796276</v>
      </c>
      <c r="G100" s="250">
        <f t="shared" si="43"/>
        <v>-0.99188191886066779</v>
      </c>
      <c r="H100" s="250">
        <f t="shared" si="43"/>
        <v>68.779385481725811</v>
      </c>
      <c r="I100" s="240" t="str">
        <f t="shared" si="28"/>
        <v>-2285.9262032482i</v>
      </c>
      <c r="J100" s="240" t="str">
        <f t="shared" si="29"/>
        <v>-65940.1789398519i</v>
      </c>
      <c r="K100" s="240" t="str">
        <f t="shared" si="30"/>
        <v>9090.2794344191-3500.23981279421i</v>
      </c>
      <c r="L100" s="240">
        <f t="shared" si="31"/>
        <v>4750</v>
      </c>
      <c r="M100" s="240" t="str">
        <f t="shared" si="32"/>
        <v>-1.65277807898529+0.636407238689855i</v>
      </c>
      <c r="N100" s="240" t="str">
        <f t="shared" si="33"/>
        <v>1+19.2610909953327i</v>
      </c>
      <c r="O100" s="239" t="str">
        <f t="shared" si="34"/>
        <v>1+0.00743681050413779i</v>
      </c>
      <c r="P100" s="239" t="str">
        <f t="shared" si="35"/>
        <v>0.0298491816790039-0.502698713223015i</v>
      </c>
      <c r="Q100" s="240" t="str">
        <f t="shared" si="36"/>
        <v>0.998296485596475-0.0620968655251357i</v>
      </c>
      <c r="R100" s="239" t="str">
        <f t="shared" si="44"/>
        <v>-0.00141768122658803-0.503695899345163i</v>
      </c>
      <c r="S100" s="249">
        <f t="shared" si="45"/>
        <v>-5.9565972920080146</v>
      </c>
      <c r="T100" s="249">
        <f t="shared" si="46"/>
        <v>-90.161261857796276</v>
      </c>
      <c r="V100" s="239">
        <v>47863.009230000003</v>
      </c>
      <c r="W100" s="239">
        <v>-3.6738220699999999</v>
      </c>
      <c r="X100" s="239">
        <v>171.1193418</v>
      </c>
      <c r="Y100" s="239">
        <v>-9.8969162500000003</v>
      </c>
      <c r="Z100" s="239">
        <v>-101.707847</v>
      </c>
      <c r="AA100" s="251">
        <f t="shared" si="37"/>
        <v>-13.57073832</v>
      </c>
      <c r="AB100" s="251">
        <f t="shared" si="38"/>
        <v>69.4114948</v>
      </c>
    </row>
    <row r="101" spans="1:28" s="239" customFormat="1" x14ac:dyDescent="0.3">
      <c r="A101" s="239">
        <f t="shared" si="39"/>
        <v>1.8526844140688272</v>
      </c>
      <c r="B101" s="248">
        <v>50941.380148163902</v>
      </c>
      <c r="C101" s="249">
        <f t="shared" si="40"/>
        <v>4.9095655233293742</v>
      </c>
      <c r="D101" s="249">
        <f t="shared" si="41"/>
        <v>159.24814683038073</v>
      </c>
      <c r="E101" s="248">
        <f t="shared" si="42"/>
        <v>-6.7622499373982015</v>
      </c>
      <c r="F101" s="261">
        <f t="shared" si="42"/>
        <v>-90.731062284369429</v>
      </c>
      <c r="G101" s="250">
        <f t="shared" si="43"/>
        <v>-1.8526844140688272</v>
      </c>
      <c r="H101" s="250">
        <f t="shared" si="43"/>
        <v>68.517084546011304</v>
      </c>
      <c r="I101" s="240" t="str">
        <f t="shared" si="28"/>
        <v>-2082.85081962824i</v>
      </c>
      <c r="J101" s="240" t="str">
        <f t="shared" si="29"/>
        <v>-60082.2351815836i</v>
      </c>
      <c r="K101" s="240" t="str">
        <f t="shared" si="30"/>
        <v>9051.28110380322-3429.55843018975i</v>
      </c>
      <c r="L101" s="240">
        <f t="shared" si="31"/>
        <v>4750</v>
      </c>
      <c r="M101" s="240" t="str">
        <f t="shared" si="32"/>
        <v>-1.64568747341876+0.623556078216317i</v>
      </c>
      <c r="N101" s="240" t="str">
        <f t="shared" si="33"/>
        <v>1+21.1390235894271i</v>
      </c>
      <c r="O101" s="239" t="str">
        <f t="shared" si="34"/>
        <v>1+0.00816189034749703i</v>
      </c>
      <c r="P101" s="239" t="str">
        <f t="shared" si="35"/>
        <v>0.0254278933052877-0.458249497949559i</v>
      </c>
      <c r="Q101" s="240" t="str">
        <f t="shared" si="36"/>
        <v>0.997946779615428-0.0681574539882078i</v>
      </c>
      <c r="R101" s="239" t="str">
        <f t="shared" si="44"/>
        <v>-0.00585743483519983-0.459041711207121i</v>
      </c>
      <c r="S101" s="249">
        <f t="shared" si="45"/>
        <v>-6.7622499373982015</v>
      </c>
      <c r="T101" s="249">
        <f t="shared" si="46"/>
        <v>-90.731062284369429</v>
      </c>
      <c r="V101" s="239">
        <v>52480.746019999999</v>
      </c>
      <c r="W101" s="239">
        <v>-3.6900651999999998</v>
      </c>
      <c r="X101" s="239">
        <v>171.82127249999999</v>
      </c>
      <c r="Y101" s="239">
        <v>-10.7414022</v>
      </c>
      <c r="Z101" s="239">
        <v>-103.021641</v>
      </c>
      <c r="AA101" s="251">
        <f t="shared" si="37"/>
        <v>-14.431467399999999</v>
      </c>
      <c r="AB101" s="251">
        <f t="shared" si="38"/>
        <v>68.79963149999999</v>
      </c>
    </row>
    <row r="102" spans="1:28" s="239" customFormat="1" x14ac:dyDescent="0.3">
      <c r="A102" s="239">
        <f t="shared" si="39"/>
        <v>2.7113853395817227</v>
      </c>
      <c r="B102" s="248">
        <v>55908.101825122198</v>
      </c>
      <c r="C102" s="249">
        <f t="shared" si="40"/>
        <v>4.8567642570357634</v>
      </c>
      <c r="D102" s="249">
        <f t="shared" si="41"/>
        <v>159.39222909307938</v>
      </c>
      <c r="E102" s="248">
        <f t="shared" si="42"/>
        <v>-7.5681495966174861</v>
      </c>
      <c r="F102" s="261">
        <f t="shared" si="42"/>
        <v>-91.307620485568862</v>
      </c>
      <c r="G102" s="250">
        <f t="shared" si="43"/>
        <v>-2.7113853395817227</v>
      </c>
      <c r="H102" s="250">
        <f t="shared" si="43"/>
        <v>68.084608607510518</v>
      </c>
      <c r="I102" s="240" t="str">
        <f t="shared" si="28"/>
        <v>-1897.81609338988i</v>
      </c>
      <c r="J102" s="240" t="str">
        <f t="shared" si="29"/>
        <v>-54744.6950016311i</v>
      </c>
      <c r="K102" s="240" t="str">
        <f t="shared" si="30"/>
        <v>9004.96915690125-3386.13933098277i</v>
      </c>
      <c r="L102" s="240">
        <f t="shared" si="31"/>
        <v>4750</v>
      </c>
      <c r="M102" s="240" t="str">
        <f t="shared" si="32"/>
        <v>-1.63726711943659+0.615661696542321i</v>
      </c>
      <c r="N102" s="240" t="str">
        <f t="shared" si="33"/>
        <v>1+23.2000522931247i</v>
      </c>
      <c r="O102" s="239" t="str">
        <f t="shared" si="34"/>
        <v>1+0.00895766458046765i</v>
      </c>
      <c r="P102" s="239" t="str">
        <f t="shared" si="35"/>
        <v>0.0217541932253963-0.417698224324717i</v>
      </c>
      <c r="Q102" s="240" t="str">
        <f t="shared" si="36"/>
        <v>0.997524958243205-0.0748109081230408i</v>
      </c>
      <c r="R102" s="239" t="str">
        <f t="shared" si="44"/>
        <v>-0.00954803279433563-0.41829185472845i</v>
      </c>
      <c r="S102" s="249">
        <f t="shared" si="45"/>
        <v>-7.5681495966174861</v>
      </c>
      <c r="T102" s="249">
        <f t="shared" si="46"/>
        <v>-91.307620485568862</v>
      </c>
      <c r="V102" s="239">
        <v>57543.993730000002</v>
      </c>
      <c r="W102" s="239">
        <v>-3.7036362600000001</v>
      </c>
      <c r="X102" s="239">
        <v>172.4570344</v>
      </c>
      <c r="Y102" s="239">
        <v>-11.594412</v>
      </c>
      <c r="Z102" s="239">
        <v>-104.42665700000001</v>
      </c>
      <c r="AA102" s="251">
        <f t="shared" si="37"/>
        <v>-15.29804826</v>
      </c>
      <c r="AB102" s="251">
        <f t="shared" si="38"/>
        <v>68.030377399999992</v>
      </c>
    </row>
    <row r="103" spans="1:28" s="239" customFormat="1" x14ac:dyDescent="0.3">
      <c r="A103" s="239">
        <f t="shared" si="39"/>
        <v>3.5695613010434446</v>
      </c>
      <c r="B103" s="248">
        <v>61359.072734131798</v>
      </c>
      <c r="C103" s="249">
        <f t="shared" si="40"/>
        <v>4.80466095270328</v>
      </c>
      <c r="D103" s="249">
        <f t="shared" si="41"/>
        <v>159.37314368909659</v>
      </c>
      <c r="E103" s="248">
        <f t="shared" si="42"/>
        <v>-8.3742222537467246</v>
      </c>
      <c r="F103" s="261">
        <f t="shared" si="42"/>
        <v>-91.895987803814123</v>
      </c>
      <c r="G103" s="250">
        <f t="shared" si="43"/>
        <v>-3.5695613010434446</v>
      </c>
      <c r="H103" s="250">
        <f t="shared" si="43"/>
        <v>67.477155885282471</v>
      </c>
      <c r="I103" s="240" t="str">
        <f t="shared" si="28"/>
        <v>-1729.21934225345i</v>
      </c>
      <c r="J103" s="240" t="str">
        <f t="shared" si="29"/>
        <v>-49881.327180388i</v>
      </c>
      <c r="K103" s="240" t="str">
        <f t="shared" si="30"/>
        <v>8949.99182421264-3368.86944412211i</v>
      </c>
      <c r="L103" s="240">
        <f t="shared" si="31"/>
        <v>4750</v>
      </c>
      <c r="M103" s="240" t="str">
        <f t="shared" si="32"/>
        <v>-1.62727124076593+0.61252171711311i</v>
      </c>
      <c r="N103" s="240" t="str">
        <f t="shared" si="33"/>
        <v>1+25.4620287510788i</v>
      </c>
      <c r="O103" s="239" t="str">
        <f t="shared" si="34"/>
        <v>1+0.00983102581876414i</v>
      </c>
      <c r="P103" s="239" t="str">
        <f t="shared" si="35"/>
        <v>0.0187021052402797-0.380710933517156i</v>
      </c>
      <c r="Q103" s="240" t="str">
        <f t="shared" si="36"/>
        <v>0.997016004123866-0.0821156425518359i</v>
      </c>
      <c r="R103" s="239" t="str">
        <f t="shared" si="44"/>
        <v>-0.0126160246969029-0.381110629050419i</v>
      </c>
      <c r="S103" s="249">
        <f t="shared" si="45"/>
        <v>-8.3742222537467246</v>
      </c>
      <c r="T103" s="249">
        <f t="shared" si="46"/>
        <v>-91.895987803814123</v>
      </c>
      <c r="V103" s="239">
        <v>63095.734450000004</v>
      </c>
      <c r="W103" s="239">
        <v>-3.7149736500000001</v>
      </c>
      <c r="X103" s="239">
        <v>173.03125159999999</v>
      </c>
      <c r="Y103" s="239">
        <v>-12.457398299999999</v>
      </c>
      <c r="Z103" s="239">
        <v>-105.92922900000001</v>
      </c>
      <c r="AA103" s="251">
        <f t="shared" si="37"/>
        <v>-16.172371949999999</v>
      </c>
      <c r="AB103" s="251">
        <f t="shared" si="38"/>
        <v>67.102022599999984</v>
      </c>
    </row>
    <row r="104" spans="1:28" s="239" customFormat="1" x14ac:dyDescent="0.3">
      <c r="A104" s="239">
        <f t="shared" si="39"/>
        <v>4.4287804146691494</v>
      </c>
      <c r="B104" s="248">
        <v>67341.506577508306</v>
      </c>
      <c r="C104" s="249">
        <f t="shared" si="40"/>
        <v>4.7516199900253122</v>
      </c>
      <c r="D104" s="249">
        <f t="shared" si="41"/>
        <v>159.19080328645776</v>
      </c>
      <c r="E104" s="248">
        <f t="shared" si="42"/>
        <v>-9.1804004046944616</v>
      </c>
      <c r="F104" s="261">
        <f t="shared" si="42"/>
        <v>-92.50135550459899</v>
      </c>
      <c r="G104" s="250">
        <f t="shared" si="43"/>
        <v>-4.4287804146691494</v>
      </c>
      <c r="H104" s="250">
        <f t="shared" si="43"/>
        <v>66.689447781858775</v>
      </c>
      <c r="I104" s="240" t="str">
        <f t="shared" si="28"/>
        <v>-1575.60026181586i</v>
      </c>
      <c r="J104" s="240" t="str">
        <f t="shared" si="29"/>
        <v>-45450.0075523806i</v>
      </c>
      <c r="K104" s="240" t="str">
        <f t="shared" si="30"/>
        <v>8884.80365383622-3376.65231346971i</v>
      </c>
      <c r="L104" s="240">
        <f t="shared" si="31"/>
        <v>4750</v>
      </c>
      <c r="M104" s="240" t="str">
        <f t="shared" si="32"/>
        <v>-1.61541884615204+0.613936784267219i</v>
      </c>
      <c r="N104" s="240" t="str">
        <f t="shared" si="33"/>
        <v>1+27.9445451212577i</v>
      </c>
      <c r="O104" s="239" t="str">
        <f t="shared" si="34"/>
        <v>1+0.010789538699624i</v>
      </c>
      <c r="P104" s="239" t="str">
        <f t="shared" si="35"/>
        <v>0.0161667471738606-0.346980351659197i</v>
      </c>
      <c r="Q104" s="240" t="str">
        <f t="shared" si="36"/>
        <v>0.996401707806133-0.0901359509251861i</v>
      </c>
      <c r="R104" s="239" t="str">
        <f t="shared" si="44"/>
        <v>-0.0151668294554525-0.34718902009828i</v>
      </c>
      <c r="S104" s="249">
        <f t="shared" si="45"/>
        <v>-9.1804004046944616</v>
      </c>
      <c r="T104" s="249">
        <f t="shared" si="46"/>
        <v>-92.50135550459899</v>
      </c>
      <c r="V104" s="239">
        <v>69183.097089999996</v>
      </c>
      <c r="W104" s="239">
        <v>-3.72444687</v>
      </c>
      <c r="X104" s="239">
        <v>173.54820749999999</v>
      </c>
      <c r="Y104" s="239">
        <v>-13.3320147</v>
      </c>
      <c r="Z104" s="239">
        <v>-107.535033</v>
      </c>
      <c r="AA104" s="251">
        <f t="shared" si="37"/>
        <v>-17.05646157</v>
      </c>
      <c r="AB104" s="251">
        <f t="shared" si="38"/>
        <v>66.013174499999991</v>
      </c>
    </row>
    <row r="105" spans="1:28" s="239" customFormat="1" x14ac:dyDescent="0.3">
      <c r="A105" s="239">
        <f t="shared" si="39"/>
        <v>5.2906354129982711</v>
      </c>
      <c r="B105" s="248">
        <v>73907.220335257705</v>
      </c>
      <c r="C105" s="249">
        <f t="shared" si="40"/>
        <v>4.6959856123484842</v>
      </c>
      <c r="D105" s="249">
        <f t="shared" si="41"/>
        <v>158.84478727489125</v>
      </c>
      <c r="E105" s="248">
        <f t="shared" si="42"/>
        <v>-9.9866210253467553</v>
      </c>
      <c r="F105" s="261">
        <f t="shared" si="42"/>
        <v>-93.129107102293162</v>
      </c>
      <c r="G105" s="250">
        <f t="shared" si="43"/>
        <v>-5.2906354129982711</v>
      </c>
      <c r="H105" s="250">
        <f t="shared" si="43"/>
        <v>65.715680172598084</v>
      </c>
      <c r="I105" s="240" t="str">
        <f t="shared" si="28"/>
        <v>-1435.62827709243i</v>
      </c>
      <c r="J105" s="240" t="str">
        <f t="shared" si="29"/>
        <v>-41412.3541468972i</v>
      </c>
      <c r="K105" s="240" t="str">
        <f t="shared" si="30"/>
        <v>8807.65439984298-3408.34578450546i</v>
      </c>
      <c r="L105" s="240">
        <f t="shared" si="31"/>
        <v>4750</v>
      </c>
      <c r="M105" s="240" t="str">
        <f t="shared" si="32"/>
        <v>-1.60139170906236+0.619699233546446i</v>
      </c>
      <c r="N105" s="240" t="str">
        <f t="shared" si="33"/>
        <v>1+30.6691037728452i</v>
      </c>
      <c r="O105" s="239" t="str">
        <f t="shared" si="34"/>
        <v>1+0.0118415054030769i</v>
      </c>
      <c r="P105" s="239" t="str">
        <f t="shared" si="35"/>
        <v>0.0140608405543573-0.316224238946846i</v>
      </c>
      <c r="Q105" s="240" t="str">
        <f t="shared" si="36"/>
        <v>0.995659960787496-0.0989426305109939i</v>
      </c>
      <c r="R105" s="239" t="str">
        <f t="shared" si="44"/>
        <v>-0.0172882420777474-0.316243029901516i</v>
      </c>
      <c r="S105" s="249">
        <f t="shared" si="45"/>
        <v>-9.9866210253467553</v>
      </c>
      <c r="T105" s="249">
        <f t="shared" si="46"/>
        <v>-93.129107102293162</v>
      </c>
      <c r="V105" s="239">
        <v>75857.757500000007</v>
      </c>
      <c r="W105" s="239">
        <v>-3.7323669100000001</v>
      </c>
      <c r="X105" s="239">
        <v>174.0118386</v>
      </c>
      <c r="Y105" s="239">
        <v>-14.2201222</v>
      </c>
      <c r="Z105" s="239">
        <v>-109.248811</v>
      </c>
      <c r="AA105" s="251">
        <f t="shared" si="37"/>
        <v>-17.952489110000002</v>
      </c>
      <c r="AB105" s="251">
        <f t="shared" si="38"/>
        <v>64.763027600000001</v>
      </c>
    </row>
    <row r="106" spans="1:28" s="239" customFormat="1" x14ac:dyDescent="0.3">
      <c r="A106" s="239">
        <f t="shared" si="39"/>
        <v>6.1567764091376862</v>
      </c>
      <c r="B106" s="248">
        <v>81113.083078968702</v>
      </c>
      <c r="C106" s="249">
        <f t="shared" si="40"/>
        <v>4.6360474014202904</v>
      </c>
      <c r="D106" s="249">
        <f t="shared" si="41"/>
        <v>158.33440252398185</v>
      </c>
      <c r="E106" s="248">
        <f t="shared" si="42"/>
        <v>-10.792823810557977</v>
      </c>
      <c r="F106" s="261">
        <f t="shared" si="42"/>
        <v>-93.784875803390875</v>
      </c>
      <c r="G106" s="250">
        <f t="shared" si="43"/>
        <v>-6.1567764091376862</v>
      </c>
      <c r="H106" s="250">
        <f t="shared" si="43"/>
        <v>64.549526720590976</v>
      </c>
      <c r="I106" s="240" t="str">
        <f t="shared" si="28"/>
        <v>-1308.09101771287i</v>
      </c>
      <c r="J106" s="240" t="str">
        <f t="shared" si="29"/>
        <v>-37733.3947417174i</v>
      </c>
      <c r="K106" s="240" t="str">
        <f t="shared" si="30"/>
        <v>8716.58612177311-3462.6897601378i</v>
      </c>
      <c r="L106" s="240">
        <f t="shared" si="31"/>
        <v>4750</v>
      </c>
      <c r="M106" s="240" t="str">
        <f t="shared" si="32"/>
        <v>-1.58483384032238+0.62957995638869i</v>
      </c>
      <c r="N106" s="240" t="str">
        <f t="shared" si="33"/>
        <v>1+33.6593035294761i</v>
      </c>
      <c r="O106" s="239" t="str">
        <f t="shared" si="34"/>
        <v>1+0.0129960375614562i</v>
      </c>
      <c r="P106" s="239" t="str">
        <f t="shared" si="35"/>
        <v>0.0123117847788649-0.288183712625865i</v>
      </c>
      <c r="Q106" s="240" t="str">
        <f t="shared" si="36"/>
        <v>0.994763879862263-0.108613679610301i</v>
      </c>
      <c r="R106" s="239" t="str">
        <f t="shared" si="44"/>
        <v>-0.0190533746374-0.28801197633222i</v>
      </c>
      <c r="S106" s="249">
        <f t="shared" si="45"/>
        <v>-10.792823810557977</v>
      </c>
      <c r="T106" s="249">
        <f t="shared" si="46"/>
        <v>-93.784875803390875</v>
      </c>
      <c r="V106" s="239">
        <v>83176.377110000001</v>
      </c>
      <c r="W106" s="239">
        <v>-3.7389953899999999</v>
      </c>
      <c r="X106" s="239">
        <v>174.42573619999999</v>
      </c>
      <c r="Y106" s="239">
        <v>-15.1237867</v>
      </c>
      <c r="Z106" s="239">
        <v>-111.074039</v>
      </c>
      <c r="AA106" s="251">
        <f t="shared" si="37"/>
        <v>-18.86278209</v>
      </c>
      <c r="AB106" s="251">
        <f t="shared" si="38"/>
        <v>63.35169719999999</v>
      </c>
    </row>
    <row r="107" spans="1:28" s="239" customFormat="1" x14ac:dyDescent="0.3">
      <c r="A107" s="239">
        <f t="shared" si="39"/>
        <v>7.0289421538888606</v>
      </c>
      <c r="B107" s="248">
        <v>89021.5085445039</v>
      </c>
      <c r="C107" s="249">
        <f t="shared" si="40"/>
        <v>4.5700075292984872</v>
      </c>
      <c r="D107" s="249">
        <f t="shared" si="41"/>
        <v>157.65880237652721</v>
      </c>
      <c r="E107" s="248">
        <f t="shared" si="42"/>
        <v>-11.598949683187348</v>
      </c>
      <c r="F107" s="261">
        <f t="shared" si="42"/>
        <v>-94.474608373318929</v>
      </c>
      <c r="G107" s="250">
        <f t="shared" si="43"/>
        <v>-7.0289421538888606</v>
      </c>
      <c r="H107" s="250">
        <f t="shared" si="43"/>
        <v>63.184194003208276</v>
      </c>
      <c r="I107" s="240" t="str">
        <f t="shared" si="28"/>
        <v>-1191.88381694917i</v>
      </c>
      <c r="J107" s="240" t="str">
        <f t="shared" si="29"/>
        <v>-34381.263950457i</v>
      </c>
      <c r="K107" s="240" t="str">
        <f t="shared" si="30"/>
        <v>8609.44286793467-3538.22374962984i</v>
      </c>
      <c r="L107" s="240">
        <f t="shared" si="31"/>
        <v>4750</v>
      </c>
      <c r="M107" s="240" t="str">
        <f t="shared" si="32"/>
        <v>-1.56535324871539+0.643313409023606i</v>
      </c>
      <c r="N107" s="240" t="str">
        <f t="shared" si="33"/>
        <v>1+36.9410440709561i</v>
      </c>
      <c r="O107" s="239" t="str">
        <f t="shared" si="34"/>
        <v>1+0.0142631351799996i</v>
      </c>
      <c r="P107" s="239" t="str">
        <f t="shared" si="35"/>
        <v>0.0108592085765249-0.262621587335026i</v>
      </c>
      <c r="Q107" s="240" t="str">
        <f t="shared" si="36"/>
        <v>0.993680717630202-0.119235075982197i</v>
      </c>
      <c r="R107" s="239" t="str">
        <f t="shared" si="44"/>
        <v>-0.0205231187492397-0.26225680592798i</v>
      </c>
      <c r="S107" s="249">
        <f t="shared" si="45"/>
        <v>-11.598949683187348</v>
      </c>
      <c r="T107" s="249">
        <f t="shared" si="46"/>
        <v>-94.474608373318929</v>
      </c>
      <c r="V107" s="239">
        <v>91201.083939999997</v>
      </c>
      <c r="W107" s="239">
        <v>-3.7445523600000001</v>
      </c>
      <c r="X107" s="239">
        <v>174.7931514</v>
      </c>
      <c r="Y107" s="239">
        <v>-16.045265700000002</v>
      </c>
      <c r="Z107" s="239">
        <v>-113.012565</v>
      </c>
      <c r="AA107" s="251">
        <f t="shared" si="37"/>
        <v>-19.789818060000002</v>
      </c>
      <c r="AB107" s="251">
        <f t="shared" si="38"/>
        <v>61.780586400000004</v>
      </c>
    </row>
    <row r="108" spans="1:28" s="239" customFormat="1" x14ac:dyDescent="0.3">
      <c r="A108" s="239">
        <f t="shared" si="39"/>
        <v>7.9089883941913808</v>
      </c>
      <c r="B108" s="248">
        <v>97700.995729922506</v>
      </c>
      <c r="C108" s="249">
        <f t="shared" si="40"/>
        <v>4.4959512125648811</v>
      </c>
      <c r="D108" s="249">
        <f t="shared" si="41"/>
        <v>156.81716551555172</v>
      </c>
      <c r="E108" s="248">
        <f t="shared" si="42"/>
        <v>-12.404939606756262</v>
      </c>
      <c r="F108" s="261">
        <f t="shared" si="42"/>
        <v>-95.20463709587321</v>
      </c>
      <c r="G108" s="250">
        <f t="shared" si="43"/>
        <v>-7.9089883941913808</v>
      </c>
      <c r="H108" s="250">
        <f t="shared" si="43"/>
        <v>61.612528419678512</v>
      </c>
      <c r="I108" s="240" t="str">
        <f t="shared" si="28"/>
        <v>-1086.00014362086i</v>
      </c>
      <c r="J108" s="240" t="str">
        <f t="shared" si="29"/>
        <v>-31326.9272198325i</v>
      </c>
      <c r="K108" s="240" t="str">
        <f t="shared" si="30"/>
        <v>8483.89837444252-3633.19523041383i</v>
      </c>
      <c r="L108" s="240">
        <f t="shared" si="31"/>
        <v>4750</v>
      </c>
      <c r="M108" s="240" t="str">
        <f t="shared" si="32"/>
        <v>-1.54252697717136+0.660580950984332i</v>
      </c>
      <c r="N108" s="240" t="str">
        <f t="shared" si="33"/>
        <v>1+40.5427502638989i</v>
      </c>
      <c r="O108" s="239" t="str">
        <f t="shared" si="34"/>
        <v>1+0.0156537732521101i</v>
      </c>
      <c r="P108" s="239" t="str">
        <f t="shared" si="35"/>
        <v>0.00965292373305253-0.239320762735992i</v>
      </c>
      <c r="Q108" s="240" t="str">
        <f t="shared" si="36"/>
        <v>0.992370500173096-0.130901643949017i</v>
      </c>
      <c r="R108" s="239" t="str">
        <f t="shared" si="44"/>
        <v>-0.0217482045201719-0.238758448603694i</v>
      </c>
      <c r="S108" s="249">
        <f t="shared" si="45"/>
        <v>-12.404939606756262</v>
      </c>
      <c r="T108" s="249">
        <f t="shared" si="46"/>
        <v>-95.20463709587321</v>
      </c>
      <c r="V108" s="239">
        <v>100000</v>
      </c>
      <c r="W108" s="239">
        <v>-3.7492231199999999</v>
      </c>
      <c r="X108" s="239">
        <v>175.11700339999999</v>
      </c>
      <c r="Y108" s="239">
        <v>-16.986979999999999</v>
      </c>
      <c r="Z108" s="239">
        <v>-115.064215</v>
      </c>
      <c r="AA108" s="251">
        <f t="shared" si="37"/>
        <v>-20.736203119999999</v>
      </c>
      <c r="AB108" s="251">
        <f t="shared" si="38"/>
        <v>60.052788399999983</v>
      </c>
    </row>
    <row r="109" spans="1:28" s="239" customFormat="1" x14ac:dyDescent="0.3">
      <c r="A109" s="239">
        <f t="shared" si="39"/>
        <v>8.7989115876722828</v>
      </c>
      <c r="B109" s="248">
        <v>107226.722201033</v>
      </c>
      <c r="C109" s="249">
        <f t="shared" si="40"/>
        <v>4.4118221953704158</v>
      </c>
      <c r="D109" s="249">
        <f t="shared" si="41"/>
        <v>155.80893595412221</v>
      </c>
      <c r="E109" s="248">
        <f t="shared" si="42"/>
        <v>-13.210733783042699</v>
      </c>
      <c r="F109" s="261">
        <f t="shared" si="42"/>
        <v>-95.981761943437476</v>
      </c>
      <c r="G109" s="250">
        <f t="shared" si="43"/>
        <v>-8.7989115876722828</v>
      </c>
      <c r="H109" s="250">
        <f t="shared" si="43"/>
        <v>59.827174010684729</v>
      </c>
      <c r="I109" s="240" t="str">
        <f t="shared" si="28"/>
        <v>-989.52288400339i</v>
      </c>
      <c r="J109" s="240" t="str">
        <f t="shared" si="29"/>
        <v>-28543.9293462517i</v>
      </c>
      <c r="K109" s="240" t="str">
        <f t="shared" si="30"/>
        <v>8337.50807194997-3745.46183881045i</v>
      </c>
      <c r="L109" s="240">
        <f t="shared" si="31"/>
        <v>4750</v>
      </c>
      <c r="M109" s="240" t="str">
        <f t="shared" si="32"/>
        <v>-1.51591055853636+0.680993061601899i</v>
      </c>
      <c r="N109" s="240" t="str">
        <f t="shared" si="33"/>
        <v>1+44.4956183643226i</v>
      </c>
      <c r="O109" s="239" t="str">
        <f t="shared" si="34"/>
        <v>1+0.0171799968194992i</v>
      </c>
      <c r="P109" s="239" t="str">
        <f t="shared" si="35"/>
        <v>0.00865121693480812-0.218082678251977i</v>
      </c>
      <c r="Q109" s="240" t="str">
        <f t="shared" si="36"/>
        <v>0.990784314289167-0.143718015870218i</v>
      </c>
      <c r="R109" s="239" t="str">
        <f t="shared" si="44"/>
        <v>-0.0227709197755166-0.217316232562964i</v>
      </c>
      <c r="S109" s="249">
        <f t="shared" si="45"/>
        <v>-13.210733783042699</v>
      </c>
      <c r="T109" s="249">
        <f t="shared" si="46"/>
        <v>-95.981761943437476</v>
      </c>
      <c r="V109" s="239">
        <v>109647.8196</v>
      </c>
      <c r="W109" s="239">
        <v>-3.7531639499999998</v>
      </c>
      <c r="X109" s="239">
        <v>175.39988980000001</v>
      </c>
      <c r="Y109" s="239">
        <v>-17.951467300000001</v>
      </c>
      <c r="Z109" s="239">
        <v>-117.22640800000001</v>
      </c>
      <c r="AA109" s="251">
        <f t="shared" si="37"/>
        <v>-21.704631250000002</v>
      </c>
      <c r="AB109" s="251">
        <f t="shared" si="38"/>
        <v>58.173481800000005</v>
      </c>
    </row>
    <row r="110" spans="1:28" s="239" customFormat="1" x14ac:dyDescent="0.3">
      <c r="A110" s="239">
        <f t="shared" si="39"/>
        <v>9.7008657990050775</v>
      </c>
      <c r="B110" s="248">
        <v>117681.1952435</v>
      </c>
      <c r="C110" s="249">
        <f t="shared" si="40"/>
        <v>4.3154055850674613</v>
      </c>
      <c r="D110" s="249">
        <f t="shared" si="41"/>
        <v>154.63412357542504</v>
      </c>
      <c r="E110" s="248">
        <f t="shared" si="42"/>
        <v>-14.016271384072539</v>
      </c>
      <c r="F110" s="261">
        <f t="shared" si="42"/>
        <v>-96.813345634444005</v>
      </c>
      <c r="G110" s="250">
        <f t="shared" si="43"/>
        <v>-9.7008657990050775</v>
      </c>
      <c r="H110" s="250">
        <f t="shared" si="43"/>
        <v>57.820777940981031</v>
      </c>
      <c r="I110" s="240" t="str">
        <f t="shared" si="28"/>
        <v>-901.616398227882i</v>
      </c>
      <c r="J110" s="240" t="str">
        <f t="shared" si="29"/>
        <v>-26008.1653334966i</v>
      </c>
      <c r="K110" s="240" t="str">
        <f t="shared" si="30"/>
        <v>8167.79200348975-3872.39320630741i</v>
      </c>
      <c r="L110" s="240">
        <f t="shared" si="31"/>
        <v>4750</v>
      </c>
      <c r="M110" s="240" t="str">
        <f t="shared" si="32"/>
        <v>-1.48505309154359+0.704071492055891i</v>
      </c>
      <c r="N110" s="240" t="str">
        <f t="shared" si="33"/>
        <v>1+48.8338862246939i</v>
      </c>
      <c r="O110" s="239" t="str">
        <f t="shared" si="34"/>
        <v>1+0.0188550253005749i</v>
      </c>
      <c r="P110" s="239" t="str">
        <f t="shared" si="35"/>
        <v>0.0078194252009296-0.198725847262098i</v>
      </c>
      <c r="Q110" s="240" t="str">
        <f t="shared" si="36"/>
        <v>0.988862141562867-0.157799689009156i</v>
      </c>
      <c r="R110" s="239" t="str">
        <f t="shared" si="44"/>
        <v>-0.0236265433460582-0.19774636977243i</v>
      </c>
      <c r="S110" s="249">
        <f t="shared" si="45"/>
        <v>-14.016271384072539</v>
      </c>
      <c r="T110" s="249">
        <f t="shared" si="46"/>
        <v>-96.813345634444005</v>
      </c>
      <c r="V110" s="239">
        <v>120226.44349999999</v>
      </c>
      <c r="W110" s="239">
        <v>-3.7565071200000002</v>
      </c>
      <c r="X110" s="239">
        <v>175.64409710000001</v>
      </c>
      <c r="Y110" s="239">
        <v>-18.9413172</v>
      </c>
      <c r="Z110" s="239">
        <v>-119.493804</v>
      </c>
      <c r="AA110" s="251">
        <f t="shared" si="37"/>
        <v>-22.697824320000002</v>
      </c>
      <c r="AB110" s="251">
        <f t="shared" si="38"/>
        <v>56.150293100000013</v>
      </c>
    </row>
    <row r="111" spans="1:28" s="239" customFormat="1" x14ac:dyDescent="0.3">
      <c r="A111" s="239">
        <f t="shared" si="39"/>
        <v>10.617170189559003</v>
      </c>
      <c r="B111" s="248">
        <v>129154.966501488</v>
      </c>
      <c r="C111" s="249">
        <f t="shared" si="40"/>
        <v>4.2043208772531759</v>
      </c>
      <c r="D111" s="249">
        <f t="shared" si="41"/>
        <v>153.2936609073171</v>
      </c>
      <c r="E111" s="248">
        <f t="shared" si="42"/>
        <v>-14.821491066812179</v>
      </c>
      <c r="F111" s="261">
        <f t="shared" si="42"/>
        <v>-97.707424946372782</v>
      </c>
      <c r="G111" s="250">
        <f t="shared" si="43"/>
        <v>-10.617170189559003</v>
      </c>
      <c r="H111" s="250">
        <f t="shared" si="43"/>
        <v>55.586235960944322</v>
      </c>
      <c r="I111" s="240" t="str">
        <f t="shared" si="28"/>
        <v>-821.519282368244i</v>
      </c>
      <c r="J111" s="240" t="str">
        <f t="shared" si="29"/>
        <v>-23697.6716067762i</v>
      </c>
      <c r="K111" s="240" t="str">
        <f t="shared" si="30"/>
        <v>7972.35452121321-4010.78182527501i</v>
      </c>
      <c r="L111" s="240">
        <f t="shared" si="31"/>
        <v>4750</v>
      </c>
      <c r="M111" s="240" t="str">
        <f t="shared" si="32"/>
        <v>-1.44951900385694+0.72923305914091i</v>
      </c>
      <c r="N111" s="240" t="str">
        <f t="shared" si="33"/>
        <v>1+53.5951298458297i</v>
      </c>
      <c r="O111" s="239" t="str">
        <f t="shared" si="34"/>
        <v>1+0.0206933669907212i</v>
      </c>
      <c r="P111" s="239" t="str">
        <f t="shared" si="35"/>
        <v>0.00712874874357697-0.181084477628442i</v>
      </c>
      <c r="Q111" s="240" t="str">
        <f t="shared" si="36"/>
        <v>0.986530102622382-0.173274169429024i</v>
      </c>
      <c r="R111" s="239" t="str">
        <f t="shared" si="44"/>
        <v>-0.0243445372279868-0.179880516315719i</v>
      </c>
      <c r="S111" s="249">
        <f t="shared" si="45"/>
        <v>-14.821491066812179</v>
      </c>
      <c r="T111" s="249">
        <f t="shared" si="46"/>
        <v>-97.707424946372782</v>
      </c>
      <c r="V111" s="239">
        <v>131825.67389999999</v>
      </c>
      <c r="W111" s="239">
        <v>-3.75936512</v>
      </c>
      <c r="X111" s="239">
        <v>175.85161149999999</v>
      </c>
      <c r="Y111" s="239">
        <v>-19.959086200000002</v>
      </c>
      <c r="Z111" s="239">
        <v>-121.858042</v>
      </c>
      <c r="AA111" s="251">
        <f t="shared" si="37"/>
        <v>-23.71845132</v>
      </c>
      <c r="AB111" s="251">
        <f t="shared" si="38"/>
        <v>53.993569499999992</v>
      </c>
    </row>
    <row r="112" spans="1:28" s="239" customFormat="1" x14ac:dyDescent="0.3">
      <c r="A112" s="239">
        <f t="shared" si="39"/>
        <v>11.550304254048884</v>
      </c>
      <c r="B112" s="248">
        <v>141747.41629268101</v>
      </c>
      <c r="C112" s="249">
        <f t="shared" si="40"/>
        <v>4.0760284094134285</v>
      </c>
      <c r="D112" s="249">
        <f t="shared" si="41"/>
        <v>151.78980577314456</v>
      </c>
      <c r="E112" s="248">
        <f t="shared" si="42"/>
        <v>-15.626332663462312</v>
      </c>
      <c r="F112" s="261">
        <f t="shared" si="42"/>
        <v>-98.672842500507684</v>
      </c>
      <c r="G112" s="250">
        <f t="shared" si="43"/>
        <v>-11.550304254048884</v>
      </c>
      <c r="H112" s="250">
        <f t="shared" si="43"/>
        <v>53.11696327263688</v>
      </c>
      <c r="I112" s="240" t="str">
        <f t="shared" si="28"/>
        <v>-748.537773524664i</v>
      </c>
      <c r="J112" s="240" t="str">
        <f t="shared" si="29"/>
        <v>-21592.4357747499i</v>
      </c>
      <c r="K112" s="240" t="str">
        <f t="shared" si="30"/>
        <v>7749.04423554642-4156.77635745536i</v>
      </c>
      <c r="L112" s="240">
        <f t="shared" si="31"/>
        <v>4750</v>
      </c>
      <c r="M112" s="240" t="str">
        <f t="shared" si="32"/>
        <v>-1.40891713373571+0.755777519537337i</v>
      </c>
      <c r="N112" s="240" t="str">
        <f t="shared" si="33"/>
        <v>1+58.8205888422385i</v>
      </c>
      <c r="O112" s="239" t="str">
        <f t="shared" si="34"/>
        <v>1+0.0227109447262115i</v>
      </c>
      <c r="P112" s="239" t="str">
        <f t="shared" si="35"/>
        <v>0.00655526231936959-0.165007181482263i</v>
      </c>
      <c r="Q112" s="240" t="str">
        <f t="shared" si="36"/>
        <v>0.983696929154414-0.190282177028688i</v>
      </c>
      <c r="R112" s="239" t="str">
        <f t="shared" si="44"/>
        <v>-0.0249495343044473-0.163564407297651i</v>
      </c>
      <c r="S112" s="249">
        <f t="shared" si="45"/>
        <v>-15.626332663462312</v>
      </c>
      <c r="T112" s="249">
        <f t="shared" si="46"/>
        <v>-98.672842500507684</v>
      </c>
      <c r="V112" s="239">
        <v>144543.97709999999</v>
      </c>
      <c r="W112" s="239">
        <v>-3.7618343099999998</v>
      </c>
      <c r="X112" s="239">
        <v>176.02412939999999</v>
      </c>
      <c r="Y112" s="239">
        <v>-21.007195100000001</v>
      </c>
      <c r="Z112" s="239">
        <v>-124.30761099999999</v>
      </c>
      <c r="AA112" s="251">
        <f t="shared" si="37"/>
        <v>-24.769029410000002</v>
      </c>
      <c r="AB112" s="251">
        <f t="shared" si="38"/>
        <v>51.716518399999998</v>
      </c>
    </row>
    <row r="113" spans="1:28" s="239" customFormat="1" x14ac:dyDescent="0.3">
      <c r="A113" s="239">
        <f t="shared" si="39"/>
        <v>12.50288805687673</v>
      </c>
      <c r="B113" s="248">
        <v>155567.614393047</v>
      </c>
      <c r="C113" s="249">
        <f t="shared" si="40"/>
        <v>3.9278525957128658</v>
      </c>
      <c r="D113" s="249">
        <f t="shared" si="41"/>
        <v>150.1265710378778</v>
      </c>
      <c r="E113" s="248">
        <f t="shared" si="42"/>
        <v>-16.430740652589595</v>
      </c>
      <c r="F113" s="261">
        <f t="shared" si="42"/>
        <v>-99.719404252840917</v>
      </c>
      <c r="G113" s="250">
        <f t="shared" si="43"/>
        <v>-12.50288805687673</v>
      </c>
      <c r="H113" s="250">
        <f t="shared" si="43"/>
        <v>50.407166785036878</v>
      </c>
      <c r="I113" s="240" t="str">
        <f t="shared" si="28"/>
        <v>-682.039740781286i</v>
      </c>
      <c r="J113" s="240" t="str">
        <f t="shared" si="29"/>
        <v>-19674.2232917679i</v>
      </c>
      <c r="K113" s="240" t="str">
        <f t="shared" si="30"/>
        <v>7496.15303919907-4305.85458136033i</v>
      </c>
      <c r="L113" s="240">
        <f t="shared" si="31"/>
        <v>4750</v>
      </c>
      <c r="M113" s="240" t="str">
        <f t="shared" si="32"/>
        <v>-1.36293691621801+0.782882651156422i</v>
      </c>
      <c r="N113" s="240" t="str">
        <f t="shared" si="33"/>
        <v>1+64.5555236399311i</v>
      </c>
      <c r="O113" s="239" t="str">
        <f t="shared" si="34"/>
        <v>1+0.024925233800198i</v>
      </c>
      <c r="P113" s="239" t="str">
        <f t="shared" si="35"/>
        <v>0.00607909232102042-0.150355774389215i</v>
      </c>
      <c r="Q113" s="240" t="str">
        <f t="shared" si="36"/>
        <v>0.980249419740232-0.208978854507985i</v>
      </c>
      <c r="R113" s="239" t="str">
        <f t="shared" si="44"/>
        <v>-0.0254621507802916-0.148656562349316i</v>
      </c>
      <c r="S113" s="249">
        <f t="shared" si="45"/>
        <v>-16.430740652589595</v>
      </c>
      <c r="T113" s="249">
        <f t="shared" si="46"/>
        <v>-99.719404252840917</v>
      </c>
      <c r="V113" s="239">
        <v>158489.3192</v>
      </c>
      <c r="W113" s="239">
        <v>-3.7639980999999998</v>
      </c>
      <c r="X113" s="239">
        <v>176.16306700000001</v>
      </c>
      <c r="Y113" s="239">
        <v>-22.087816799999999</v>
      </c>
      <c r="Z113" s="239">
        <v>-126.8279</v>
      </c>
      <c r="AA113" s="251">
        <f t="shared" si="37"/>
        <v>-25.851814899999997</v>
      </c>
      <c r="AB113" s="251">
        <f t="shared" si="38"/>
        <v>49.335167000000013</v>
      </c>
    </row>
    <row r="114" spans="1:28" s="239" customFormat="1" x14ac:dyDescent="0.3">
      <c r="A114" s="239">
        <f t="shared" si="39"/>
        <v>13.477645427927248</v>
      </c>
      <c r="B114" s="248">
        <v>170735.26474706901</v>
      </c>
      <c r="C114" s="249">
        <f t="shared" si="40"/>
        <v>3.7570249004869662</v>
      </c>
      <c r="D114" s="249">
        <f t="shared" si="41"/>
        <v>148.31015233801318</v>
      </c>
      <c r="E114" s="248">
        <f t="shared" si="42"/>
        <v>-17.234670328414214</v>
      </c>
      <c r="F114" s="261">
        <f t="shared" si="42"/>
        <v>-100.85806910646266</v>
      </c>
      <c r="G114" s="250">
        <f t="shared" si="43"/>
        <v>-13.477645427927248</v>
      </c>
      <c r="H114" s="250">
        <f t="shared" si="43"/>
        <v>47.452083231550517</v>
      </c>
      <c r="I114" s="240" t="str">
        <f t="shared" si="28"/>
        <v>-621.449209990571i</v>
      </c>
      <c r="J114" s="240" t="str">
        <f t="shared" si="29"/>
        <v>-17926.4195189588i</v>
      </c>
      <c r="K114" s="240" t="str">
        <f t="shared" si="30"/>
        <v>7212.64578724819-4452.85550683662i</v>
      </c>
      <c r="L114" s="240">
        <f t="shared" si="31"/>
        <v>4750</v>
      </c>
      <c r="M114" s="240" t="str">
        <f t="shared" si="32"/>
        <v>-1.31139014313603+0.809610092152111i</v>
      </c>
      <c r="N114" s="240" t="str">
        <f t="shared" si="33"/>
        <v>1+70.8496075005823i</v>
      </c>
      <c r="O114" s="239" t="str">
        <f t="shared" si="34"/>
        <v>1+0.0273554133253431i</v>
      </c>
      <c r="P114" s="239" t="str">
        <f t="shared" si="35"/>
        <v>0.00568373212495009-0.137004162063981i</v>
      </c>
      <c r="Q114" s="240" t="str">
        <f t="shared" si="36"/>
        <v>0.976046553733527-0.229534868625629i</v>
      </c>
      <c r="R114" s="239" t="str">
        <f t="shared" si="44"/>
        <v>-0.0258996451876182-0.135027054936302i</v>
      </c>
      <c r="S114" s="249">
        <f t="shared" si="45"/>
        <v>-17.234670328414214</v>
      </c>
      <c r="T114" s="249">
        <f t="shared" si="46"/>
        <v>-100.85806910646266</v>
      </c>
      <c r="V114" s="239">
        <v>173780.08290000001</v>
      </c>
      <c r="W114" s="239">
        <v>-3.7659296900000001</v>
      </c>
      <c r="X114" s="239">
        <v>176.26956809999999</v>
      </c>
      <c r="Y114" s="239">
        <v>-23.2027602</v>
      </c>
      <c r="Z114" s="239">
        <v>-129.40146799999999</v>
      </c>
      <c r="AA114" s="251">
        <f t="shared" si="37"/>
        <v>-26.96868989</v>
      </c>
      <c r="AB114" s="251">
        <f t="shared" si="38"/>
        <v>46.868100099999992</v>
      </c>
    </row>
    <row r="115" spans="1:28" s="239" customFormat="1" x14ac:dyDescent="0.3">
      <c r="A115" s="239">
        <f t="shared" si="39"/>
        <v>14.477349661136447</v>
      </c>
      <c r="B115" s="248">
        <v>187381.74228603899</v>
      </c>
      <c r="C115" s="249">
        <f t="shared" si="40"/>
        <v>3.5607483825517301</v>
      </c>
      <c r="D115" s="249">
        <f t="shared" si="41"/>
        <v>146.34931374475465</v>
      </c>
      <c r="E115" s="248">
        <f t="shared" si="42"/>
        <v>-18.038098043688176</v>
      </c>
      <c r="F115" s="261">
        <f t="shared" si="42"/>
        <v>-102.10117834994716</v>
      </c>
      <c r="G115" s="250">
        <f t="shared" si="43"/>
        <v>-14.477349661136447</v>
      </c>
      <c r="H115" s="250">
        <f t="shared" si="43"/>
        <v>44.248135394807491</v>
      </c>
      <c r="I115" s="240" t="str">
        <f t="shared" si="28"/>
        <v>-566.241374960799i</v>
      </c>
      <c r="J115" s="240" t="str">
        <f t="shared" si="29"/>
        <v>-16333.8858161769i</v>
      </c>
      <c r="K115" s="240" t="str">
        <f t="shared" si="30"/>
        <v>6898.40268759896-4592.08942938509i</v>
      </c>
      <c r="L115" s="240">
        <f t="shared" si="31"/>
        <v>4750</v>
      </c>
      <c r="M115" s="240" t="str">
        <f t="shared" si="32"/>
        <v>-1.2542550341089+0.834925350797288i</v>
      </c>
      <c r="N115" s="240" t="str">
        <f t="shared" si="33"/>
        <v>1+77.7573567675569i</v>
      </c>
      <c r="O115" s="239" t="str">
        <f t="shared" si="34"/>
        <v>1+0.0300225323541165i</v>
      </c>
      <c r="P115" s="239" t="str">
        <f t="shared" si="35"/>
        <v>0.00535547267399724-0.124837311492567i</v>
      </c>
      <c r="Q115" s="240" t="str">
        <f t="shared" si="36"/>
        <v>0.970911830347729-0.25213719938114i</v>
      </c>
      <c r="R115" s="239" t="str">
        <f t="shared" si="44"/>
        <v>-0.0262764383217189-0.122556336478322i</v>
      </c>
      <c r="S115" s="249">
        <f t="shared" si="45"/>
        <v>-18.038098043688176</v>
      </c>
      <c r="T115" s="249">
        <f t="shared" si="46"/>
        <v>-102.10117834994716</v>
      </c>
      <c r="V115" s="239">
        <v>190546.07180000001</v>
      </c>
      <c r="W115" s="239">
        <v>-3.7676944899999998</v>
      </c>
      <c r="X115" s="239">
        <v>176.34451189999999</v>
      </c>
      <c r="Y115" s="239">
        <v>-24.3533644</v>
      </c>
      <c r="Z115" s="239">
        <v>-132.00853499999999</v>
      </c>
      <c r="AA115" s="251">
        <f t="shared" si="37"/>
        <v>-28.12105889</v>
      </c>
      <c r="AB115" s="251">
        <f t="shared" si="38"/>
        <v>44.335976899999991</v>
      </c>
    </row>
    <row r="116" spans="1:28" s="239" customFormat="1" x14ac:dyDescent="0.3">
      <c r="A116" s="239">
        <f t="shared" si="39"/>
        <v>15.504753937269214</v>
      </c>
      <c r="B116" s="248">
        <v>205651.23083486501</v>
      </c>
      <c r="C116" s="249">
        <f t="shared" si="40"/>
        <v>3.3362836347985736</v>
      </c>
      <c r="D116" s="249">
        <f t="shared" si="41"/>
        <v>144.25568205419538</v>
      </c>
      <c r="E116" s="248">
        <f t="shared" si="42"/>
        <v>-18.841037572067787</v>
      </c>
      <c r="F116" s="261">
        <f t="shared" si="42"/>
        <v>-103.46273387494989</v>
      </c>
      <c r="G116" s="250">
        <f t="shared" si="43"/>
        <v>-15.504753937269214</v>
      </c>
      <c r="H116" s="250">
        <f t="shared" si="43"/>
        <v>40.792948179245485</v>
      </c>
      <c r="I116" s="240" t="str">
        <f t="shared" si="28"/>
        <v>-515.938051835909i</v>
      </c>
      <c r="J116" s="240" t="str">
        <f t="shared" si="29"/>
        <v>-14882.8284183435i</v>
      </c>
      <c r="K116" s="240" t="str">
        <f t="shared" si="30"/>
        <v>6554.4459886742-4717.53912379794i</v>
      </c>
      <c r="L116" s="240">
        <f t="shared" si="31"/>
        <v>4750</v>
      </c>
      <c r="M116" s="240" t="str">
        <f t="shared" si="32"/>
        <v>-1.19171745248622+0.857734386145079i</v>
      </c>
      <c r="N116" s="240" t="str">
        <f t="shared" si="33"/>
        <v>1+85.3386030603965i</v>
      </c>
      <c r="O116" s="239" t="str">
        <f t="shared" si="34"/>
        <v>1+0.032949692195618i</v>
      </c>
      <c r="P116" s="239" t="str">
        <f t="shared" si="35"/>
        <v>0.00508292904265807-0.113750302479071i</v>
      </c>
      <c r="Q116" s="240" t="str">
        <f t="shared" si="36"/>
        <v>0.964623264195997-0.276989257124808i</v>
      </c>
      <c r="R116" s="239" t="str">
        <f t="shared" si="44"/>
        <v>-0.0266045001765946-0.111134104820187i</v>
      </c>
      <c r="S116" s="249">
        <f t="shared" si="45"/>
        <v>-18.841037572067787</v>
      </c>
      <c r="T116" s="249">
        <f t="shared" si="46"/>
        <v>-103.46273387494989</v>
      </c>
      <c r="V116" s="239">
        <v>208929.61309999999</v>
      </c>
      <c r="W116" s="239">
        <v>-3.7693523299999998</v>
      </c>
      <c r="X116" s="239">
        <v>176.38851779999999</v>
      </c>
      <c r="Y116" s="239">
        <v>-25.540413699999998</v>
      </c>
      <c r="Z116" s="239">
        <v>-134.62768600000001</v>
      </c>
      <c r="AA116" s="251">
        <f t="shared" si="37"/>
        <v>-29.309766029999999</v>
      </c>
      <c r="AB116" s="251">
        <f t="shared" si="38"/>
        <v>41.760831799999977</v>
      </c>
    </row>
    <row r="117" spans="1:28" s="239" customFormat="1" x14ac:dyDescent="0.3">
      <c r="A117" s="239">
        <f t="shared" si="39"/>
        <v>16.562512537545203</v>
      </c>
      <c r="B117" s="248">
        <v>225701.97196339199</v>
      </c>
      <c r="C117" s="249">
        <f t="shared" si="40"/>
        <v>3.0810530744905904</v>
      </c>
      <c r="D117" s="249">
        <f t="shared" si="41"/>
        <v>142.04389597870804</v>
      </c>
      <c r="E117" s="248">
        <f t="shared" si="42"/>
        <v>-19.643565612035793</v>
      </c>
      <c r="F117" s="261">
        <f t="shared" si="42"/>
        <v>-104.95873500584256</v>
      </c>
      <c r="G117" s="250">
        <f t="shared" si="43"/>
        <v>-16.562512537545203</v>
      </c>
      <c r="H117" s="250">
        <f t="shared" si="43"/>
        <v>37.085160972865481</v>
      </c>
      <c r="I117" s="240" t="str">
        <f t="shared" si="28"/>
        <v>-470.103537295661i</v>
      </c>
      <c r="J117" s="240" t="str">
        <f t="shared" si="29"/>
        <v>-13560.6789604518i</v>
      </c>
      <c r="K117" s="240" t="str">
        <f t="shared" si="30"/>
        <v>6183.11374710851-4823.15385601254i</v>
      </c>
      <c r="L117" s="240">
        <f t="shared" si="31"/>
        <v>4750</v>
      </c>
      <c r="M117" s="240" t="str">
        <f t="shared" si="32"/>
        <v>-1.12420249947427+0.876937064729551i</v>
      </c>
      <c r="N117" s="240" t="str">
        <f t="shared" si="33"/>
        <v>1+93.6590115076872i</v>
      </c>
      <c r="O117" s="239" t="str">
        <f t="shared" si="34"/>
        <v>1+0.036162246508067i</v>
      </c>
      <c r="P117" s="239" t="str">
        <f t="shared" si="35"/>
        <v>0.00485664690421479-0.103647455136799i</v>
      </c>
      <c r="Q117" s="240" t="str">
        <f t="shared" si="36"/>
        <v>0.956900304839166-0.304309709786813i</v>
      </c>
      <c r="R117" s="239" t="str">
        <f t="shared" si="44"/>
        <v>-0.0268936000896817-0.100658206226165i</v>
      </c>
      <c r="S117" s="249">
        <f t="shared" si="45"/>
        <v>-19.643565612035793</v>
      </c>
      <c r="T117" s="249">
        <f t="shared" si="46"/>
        <v>-104.95873500584256</v>
      </c>
      <c r="V117" s="239">
        <v>229086.7653</v>
      </c>
      <c r="W117" s="239">
        <v>-3.7709594499999999</v>
      </c>
      <c r="X117" s="239">
        <v>176.40195009999999</v>
      </c>
      <c r="Y117" s="239">
        <v>-26.764084100000002</v>
      </c>
      <c r="Z117" s="239">
        <v>-137.236729</v>
      </c>
      <c r="AA117" s="251">
        <f t="shared" si="37"/>
        <v>-30.535043550000001</v>
      </c>
      <c r="AB117" s="251">
        <f t="shared" si="38"/>
        <v>39.165221099999997</v>
      </c>
    </row>
    <row r="118" spans="1:28" s="239" customFormat="1" x14ac:dyDescent="0.3">
      <c r="A118" s="239">
        <f t="shared" si="39"/>
        <v>17.653103759116409</v>
      </c>
      <c r="B118" s="248">
        <v>247707.63559917099</v>
      </c>
      <c r="C118" s="249">
        <f t="shared" si="40"/>
        <v>2.7927571047382029</v>
      </c>
      <c r="D118" s="249">
        <f t="shared" si="41"/>
        <v>139.731560336218</v>
      </c>
      <c r="E118" s="248">
        <f t="shared" si="42"/>
        <v>-20.445860863854612</v>
      </c>
      <c r="F118" s="261">
        <f t="shared" si="42"/>
        <v>-106.60758362358636</v>
      </c>
      <c r="G118" s="250">
        <f t="shared" si="43"/>
        <v>-17.653103759116409</v>
      </c>
      <c r="H118" s="250">
        <f t="shared" si="43"/>
        <v>33.123976712631631</v>
      </c>
      <c r="I118" s="240" t="str">
        <f t="shared" si="28"/>
        <v>-428.340834701956i</v>
      </c>
      <c r="J118" s="240" t="str">
        <f t="shared" si="29"/>
        <v>-12355.9856164026i</v>
      </c>
      <c r="K118" s="240" t="str">
        <f t="shared" si="30"/>
        <v>5788.13990536099-4903.22083161234i</v>
      </c>
      <c r="L118" s="240">
        <f t="shared" si="31"/>
        <v>4750</v>
      </c>
      <c r="M118" s="240" t="str">
        <f t="shared" si="32"/>
        <v>-1.052389073702+0.891494696656787i</v>
      </c>
      <c r="N118" s="240" t="str">
        <f t="shared" si="33"/>
        <v>1+102.790649506987i</v>
      </c>
      <c r="O118" s="239" t="str">
        <f t="shared" si="34"/>
        <v>1+0.0396880209000591i</v>
      </c>
      <c r="P118" s="239" t="str">
        <f t="shared" si="35"/>
        <v>0.0046687754824882-0.0944415285960597i</v>
      </c>
      <c r="Q118" s="240" t="str">
        <f t="shared" si="36"/>
        <v>0.947386770206455-0.334328980804662i</v>
      </c>
      <c r="R118" s="239" t="str">
        <f t="shared" si="44"/>
        <v>-0.0271514038759814-0.0910335616986476i</v>
      </c>
      <c r="S118" s="249">
        <f t="shared" si="45"/>
        <v>-20.445860863854612</v>
      </c>
      <c r="T118" s="249">
        <f t="shared" si="46"/>
        <v>-106.60758362358636</v>
      </c>
      <c r="V118" s="239">
        <v>251188.64319999999</v>
      </c>
      <c r="W118" s="239">
        <v>-3.77257036</v>
      </c>
      <c r="X118" s="239">
        <v>176.38491980000001</v>
      </c>
      <c r="Y118" s="239">
        <v>-28.0239294</v>
      </c>
      <c r="Z118" s="239">
        <v>-139.81363200000001</v>
      </c>
      <c r="AA118" s="251">
        <f t="shared" si="37"/>
        <v>-31.79649976</v>
      </c>
      <c r="AB118" s="251">
        <f t="shared" si="38"/>
        <v>36.571287799999993</v>
      </c>
    </row>
    <row r="119" spans="1:28" s="239" customFormat="1" x14ac:dyDescent="0.3">
      <c r="A119" s="239">
        <f t="shared" si="39"/>
        <v>18.778770835222055</v>
      </c>
      <c r="B119" s="248">
        <v>271858.82427329401</v>
      </c>
      <c r="C119" s="249">
        <f t="shared" si="40"/>
        <v>2.4694922841216798</v>
      </c>
      <c r="D119" s="249">
        <f t="shared" si="41"/>
        <v>137.33896992244777</v>
      </c>
      <c r="E119" s="248">
        <f t="shared" si="42"/>
        <v>-21.248263119343733</v>
      </c>
      <c r="F119" s="261">
        <f t="shared" si="42"/>
        <v>-108.43056482483945</v>
      </c>
      <c r="G119" s="250">
        <f t="shared" si="43"/>
        <v>-18.778770835222055</v>
      </c>
      <c r="H119" s="250">
        <f t="shared" si="43"/>
        <v>28.908405097608323</v>
      </c>
      <c r="I119" s="240" t="str">
        <f t="shared" si="28"/>
        <v>-390.288215503843i</v>
      </c>
      <c r="J119" s="240" t="str">
        <f t="shared" si="29"/>
        <v>-11258.3139087647i</v>
      </c>
      <c r="K119" s="240" t="str">
        <f t="shared" si="30"/>
        <v>5374.60516767314-4952.77884728079i</v>
      </c>
      <c r="L119" s="240">
        <f t="shared" si="31"/>
        <v>4750</v>
      </c>
      <c r="M119" s="240" t="str">
        <f t="shared" si="32"/>
        <v>-0.977200939576933+0.900505244960142i</v>
      </c>
      <c r="N119" s="240" t="str">
        <f t="shared" si="33"/>
        <v>1+112.812610938147i</v>
      </c>
      <c r="O119" s="239" t="str">
        <f t="shared" si="34"/>
        <v>1+0.0435575539426775i</v>
      </c>
      <c r="P119" s="239" t="str">
        <f t="shared" si="35"/>
        <v>0.00451279580284272-0.0860529861313462i</v>
      </c>
      <c r="Q119" s="240" t="str">
        <f t="shared" si="36"/>
        <v>0.935628734943711-0.367281699125927i</v>
      </c>
      <c r="R119" s="239" t="str">
        <f t="shared" si="44"/>
        <v>-0.0273833855331076-0.0821711138624766i</v>
      </c>
      <c r="S119" s="249">
        <f t="shared" si="45"/>
        <v>-21.248263119343733</v>
      </c>
      <c r="T119" s="249">
        <f t="shared" si="46"/>
        <v>-108.43056482483945</v>
      </c>
      <c r="V119" s="239">
        <v>275422.87030000001</v>
      </c>
      <c r="W119" s="239">
        <v>-3.7742397200000002</v>
      </c>
      <c r="X119" s="239">
        <v>176.3372856</v>
      </c>
      <c r="Y119" s="239">
        <v>-29.318907200000002</v>
      </c>
      <c r="Z119" s="239">
        <v>-142.33745300000001</v>
      </c>
      <c r="AA119" s="251">
        <f t="shared" si="37"/>
        <v>-33.093146920000002</v>
      </c>
      <c r="AB119" s="251">
        <f t="shared" si="38"/>
        <v>33.999832599999991</v>
      </c>
    </row>
    <row r="120" spans="1:28" s="239" customFormat="1" x14ac:dyDescent="0.3">
      <c r="A120" s="239">
        <f t="shared" si="39"/>
        <v>19.941502428789537</v>
      </c>
      <c r="B120" s="248">
        <v>298364.72402833402</v>
      </c>
      <c r="C120" s="249">
        <f t="shared" si="40"/>
        <v>2.1098591768164257</v>
      </c>
      <c r="D120" s="249">
        <f t="shared" si="41"/>
        <v>134.88859333740069</v>
      </c>
      <c r="E120" s="248">
        <f t="shared" si="42"/>
        <v>-22.051361605605962</v>
      </c>
      <c r="F120" s="261">
        <f t="shared" si="42"/>
        <v>-110.45240331360419</v>
      </c>
      <c r="G120" s="250">
        <f t="shared" si="43"/>
        <v>-19.941502428789537</v>
      </c>
      <c r="H120" s="250">
        <f t="shared" si="43"/>
        <v>24.436190023796499</v>
      </c>
      <c r="I120" s="240" t="str">
        <f t="shared" si="28"/>
        <v>-355.616086117878i</v>
      </c>
      <c r="J120" s="240" t="str">
        <f t="shared" si="29"/>
        <v>-10258.1563303234i</v>
      </c>
      <c r="K120" s="240" t="str">
        <f t="shared" si="30"/>
        <v>4948.73910404884-4968.02140710936i</v>
      </c>
      <c r="L120" s="240">
        <f t="shared" si="31"/>
        <v>4750</v>
      </c>
      <c r="M120" s="240" t="str">
        <f t="shared" si="32"/>
        <v>-0.899770746190697+0.903276619474427i</v>
      </c>
      <c r="N120" s="240" t="str">
        <f t="shared" si="33"/>
        <v>1+123.811701236665i</v>
      </c>
      <c r="O120" s="239" t="str">
        <f t="shared" si="34"/>
        <v>1+0.0478043616799858i</v>
      </c>
      <c r="P120" s="239" t="str">
        <f t="shared" si="35"/>
        <v>0.0043832949243284-0.0784093219656443i</v>
      </c>
      <c r="Q120" s="240" t="str">
        <f t="shared" si="36"/>
        <v>0.921046299696038-0.403392310174164i</v>
      </c>
      <c r="R120" s="239" t="str">
        <f t="shared" si="44"/>
        <v>-0.027592499956382-0.0739868033238315i</v>
      </c>
      <c r="S120" s="249">
        <f t="shared" si="45"/>
        <v>-22.051361605605962</v>
      </c>
      <c r="T120" s="249">
        <f t="shared" si="46"/>
        <v>-110.45240331360419</v>
      </c>
      <c r="V120" s="239">
        <v>301995.17200000002</v>
      </c>
      <c r="W120" s="239">
        <v>-3.7760241699999999</v>
      </c>
      <c r="X120" s="239">
        <v>176.25865279999999</v>
      </c>
      <c r="Y120" s="239">
        <v>-30.647442600000002</v>
      </c>
      <c r="Z120" s="239">
        <v>-144.78916599999999</v>
      </c>
      <c r="AA120" s="251">
        <f t="shared" si="37"/>
        <v>-34.423466770000005</v>
      </c>
      <c r="AB120" s="251">
        <f t="shared" si="38"/>
        <v>31.469486799999999</v>
      </c>
    </row>
    <row r="121" spans="1:28" s="239" customFormat="1" x14ac:dyDescent="0.3">
      <c r="A121" s="239">
        <f t="shared" si="39"/>
        <v>21.143078691228023</v>
      </c>
      <c r="B121" s="248">
        <v>327454.916287773</v>
      </c>
      <c r="C121" s="249">
        <f t="shared" si="40"/>
        <v>1.7130469037573062</v>
      </c>
      <c r="D121" s="249">
        <f t="shared" si="41"/>
        <v>132.40434047310862</v>
      </c>
      <c r="E121" s="248">
        <f t="shared" si="42"/>
        <v>-22.856125594985329</v>
      </c>
      <c r="F121" s="261">
        <f t="shared" si="42"/>
        <v>-112.70187997768551</v>
      </c>
      <c r="G121" s="250">
        <f t="shared" si="43"/>
        <v>-21.143078691228023</v>
      </c>
      <c r="H121" s="250">
        <f t="shared" si="43"/>
        <v>19.702460495423111</v>
      </c>
      <c r="I121" s="240" t="str">
        <f t="shared" si="28"/>
        <v>-324.024133146168i</v>
      </c>
      <c r="J121" s="240" t="str">
        <f t="shared" si="29"/>
        <v>-9346.84999460102i</v>
      </c>
      <c r="K121" s="240" t="str">
        <f t="shared" si="30"/>
        <v>4517.57903954081-4946.62771117261i</v>
      </c>
      <c r="L121" s="240">
        <f t="shared" si="31"/>
        <v>4750</v>
      </c>
      <c r="M121" s="240" t="str">
        <f t="shared" si="32"/>
        <v>-0.821378007189237+0.899386856576837i</v>
      </c>
      <c r="N121" s="240" t="str">
        <f t="shared" si="33"/>
        <v>1+135.883189260835i</v>
      </c>
      <c r="O121" s="239" t="str">
        <f t="shared" si="34"/>
        <v>1+0.0524652279289679i</v>
      </c>
      <c r="P121" s="239" t="str">
        <f t="shared" si="35"/>
        <v>0.00427577839494581-0.0714444451496792i</v>
      </c>
      <c r="Q121" s="240" t="str">
        <f t="shared" si="36"/>
        <v>0.902898515504349-0.442849412564212i</v>
      </c>
      <c r="R121" s="239" t="str">
        <f t="shared" si="44"/>
        <v>-0.0277785366000894-0.0664006094171337i</v>
      </c>
      <c r="S121" s="249">
        <f t="shared" si="45"/>
        <v>-22.856125594985329</v>
      </c>
      <c r="T121" s="249">
        <f t="shared" si="46"/>
        <v>-112.70187997768551</v>
      </c>
      <c r="V121" s="239">
        <v>331131.12150000001</v>
      </c>
      <c r="W121" s="239">
        <v>-3.7779841799999998</v>
      </c>
      <c r="X121" s="239">
        <v>176.14837120000001</v>
      </c>
      <c r="Y121" s="239">
        <v>-32.007519899999998</v>
      </c>
      <c r="Z121" s="239">
        <v>-147.152321</v>
      </c>
      <c r="AA121" s="251">
        <f t="shared" si="37"/>
        <v>-35.785504079999995</v>
      </c>
      <c r="AB121" s="251">
        <f t="shared" si="38"/>
        <v>28.996050200000013</v>
      </c>
    </row>
    <row r="122" spans="1:28" s="239" customFormat="1" x14ac:dyDescent="0.3">
      <c r="A122" s="239">
        <f t="shared" si="39"/>
        <v>22.385211897198577</v>
      </c>
      <c r="B122" s="248">
        <v>359381.36638046301</v>
      </c>
      <c r="C122" s="249">
        <f t="shared" si="40"/>
        <v>1.2788831639501275</v>
      </c>
      <c r="D122" s="249">
        <f t="shared" si="41"/>
        <v>129.91067211781424</v>
      </c>
      <c r="E122" s="248">
        <f t="shared" si="42"/>
        <v>-23.664095061148704</v>
      </c>
      <c r="F122" s="261">
        <f t="shared" si="42"/>
        <v>-115.21246166138599</v>
      </c>
      <c r="G122" s="250">
        <f t="shared" si="43"/>
        <v>-22.385211897198577</v>
      </c>
      <c r="H122" s="250">
        <f t="shared" si="43"/>
        <v>14.698210456428257</v>
      </c>
      <c r="I122" s="240" t="str">
        <f t="shared" si="28"/>
        <v>-295.238722205396i</v>
      </c>
      <c r="J122" s="240" t="str">
        <f t="shared" si="29"/>
        <v>-8516.50160207872i</v>
      </c>
      <c r="K122" s="240" t="str">
        <f t="shared" si="30"/>
        <v>4088.52009508643-4887.96474201786i</v>
      </c>
      <c r="L122" s="240">
        <f t="shared" si="31"/>
        <v>4750</v>
      </c>
      <c r="M122" s="240" t="str">
        <f t="shared" si="32"/>
        <v>-0.743367290015713+0.888720862185064i</v>
      </c>
      <c r="N122" s="240" t="str">
        <f t="shared" si="33"/>
        <v>1+149.131632465026i</v>
      </c>
      <c r="O122" s="239" t="str">
        <f t="shared" si="34"/>
        <v>1+0.0575805228833541i</v>
      </c>
      <c r="P122" s="239" t="str">
        <f t="shared" si="35"/>
        <v>0.00418651447404974-0.0650981161096513i</v>
      </c>
      <c r="Q122" s="240" t="str">
        <f t="shared" si="36"/>
        <v>0.880241914757551-0.485761982426168i</v>
      </c>
      <c r="R122" s="239" t="str">
        <f t="shared" si="44"/>
        <v>-0.0279370444168353-0.0593357399418391i</v>
      </c>
      <c r="S122" s="249">
        <f t="shared" si="45"/>
        <v>-23.664095061148704</v>
      </c>
      <c r="T122" s="249">
        <f t="shared" si="46"/>
        <v>-115.21246166138599</v>
      </c>
      <c r="V122" s="239">
        <v>363078.05479999998</v>
      </c>
      <c r="W122" s="239">
        <v>-3.7801861300000001</v>
      </c>
      <c r="X122" s="239">
        <v>176.0055299</v>
      </c>
      <c r="Y122" s="239">
        <v>-33.396791999999998</v>
      </c>
      <c r="Z122" s="239">
        <v>-149.413509</v>
      </c>
      <c r="AA122" s="251">
        <f t="shared" si="37"/>
        <v>-37.176978129999995</v>
      </c>
      <c r="AB122" s="251">
        <f t="shared" si="38"/>
        <v>26.592020899999994</v>
      </c>
    </row>
    <row r="123" spans="1:28" s="239" customFormat="1" x14ac:dyDescent="0.3">
      <c r="A123" s="239">
        <f t="shared" si="39"/>
        <v>23.66981186274543</v>
      </c>
      <c r="B123" s="248">
        <v>394420.60594376602</v>
      </c>
      <c r="C123" s="249">
        <f t="shared" si="40"/>
        <v>0.80784261623194098</v>
      </c>
      <c r="D123" s="249">
        <f t="shared" si="41"/>
        <v>127.43163779472164</v>
      </c>
      <c r="E123" s="248">
        <f t="shared" si="42"/>
        <v>-24.477654478977371</v>
      </c>
      <c r="F123" s="261">
        <f t="shared" si="42"/>
        <v>-118.0228386852569</v>
      </c>
      <c r="G123" s="250">
        <f t="shared" si="43"/>
        <v>-23.66981186274543</v>
      </c>
      <c r="H123" s="250">
        <f t="shared" si="43"/>
        <v>9.4087991094647379</v>
      </c>
      <c r="I123" s="240" t="str">
        <f t="shared" si="28"/>
        <v>-269.010527836683i</v>
      </c>
      <c r="J123" s="240" t="str">
        <f t="shared" si="29"/>
        <v>-7759.91907221204i</v>
      </c>
      <c r="K123" s="240" t="str">
        <f t="shared" si="30"/>
        <v>3668.81499407181-4793.12323190693i</v>
      </c>
      <c r="L123" s="240">
        <f t="shared" si="31"/>
        <v>4750</v>
      </c>
      <c r="M123" s="240" t="str">
        <f t="shared" si="32"/>
        <v>-0.667057271649419+0.871476951255804i</v>
      </c>
      <c r="N123" s="240" t="str">
        <f t="shared" si="33"/>
        <v>1+163.67178252633i</v>
      </c>
      <c r="O123" s="239" t="str">
        <f t="shared" si="34"/>
        <v>1+0.0631945527809259i</v>
      </c>
      <c r="P123" s="239" t="str">
        <f t="shared" si="35"/>
        <v>0.00411240475158016-0.0593154316871376i</v>
      </c>
      <c r="Q123" s="240" t="str">
        <f t="shared" si="36"/>
        <v>0.851885988959068-0.532087420835834i</v>
      </c>
      <c r="R123" s="239" t="str">
        <f t="shared" si="44"/>
        <v>-0.0280576950733733-0.0527181440210326i</v>
      </c>
      <c r="S123" s="249">
        <f t="shared" si="45"/>
        <v>-24.477654478977371</v>
      </c>
      <c r="T123" s="249">
        <f t="shared" si="46"/>
        <v>-118.0228386852569</v>
      </c>
      <c r="V123" s="239">
        <v>398107.17060000001</v>
      </c>
      <c r="W123" s="239">
        <v>-3.7827045099999999</v>
      </c>
      <c r="X123" s="239">
        <v>175.82895239999999</v>
      </c>
      <c r="Y123" s="239">
        <v>-34.812693899999999</v>
      </c>
      <c r="Z123" s="239">
        <v>-151.56260399999999</v>
      </c>
      <c r="AA123" s="251">
        <f t="shared" si="37"/>
        <v>-38.595398410000001</v>
      </c>
      <c r="AB123" s="251">
        <f t="shared" si="38"/>
        <v>24.266348399999998</v>
      </c>
    </row>
    <row r="124" spans="1:28" s="239" customFormat="1" x14ac:dyDescent="0.3">
      <c r="A124" s="239">
        <f t="shared" si="39"/>
        <v>24.999404867059958</v>
      </c>
      <c r="B124" s="248">
        <v>432876.12810830597</v>
      </c>
      <c r="C124" s="249">
        <f t="shared" si="40"/>
        <v>0.30101224836528778</v>
      </c>
      <c r="D124" s="249">
        <f t="shared" si="41"/>
        <v>124.98994103362605</v>
      </c>
      <c r="E124" s="248">
        <f t="shared" si="42"/>
        <v>-25.300417115425248</v>
      </c>
      <c r="F124" s="261">
        <f t="shared" si="42"/>
        <v>-121.17716235532522</v>
      </c>
      <c r="G124" s="250">
        <f t="shared" si="43"/>
        <v>-24.999404867059958</v>
      </c>
      <c r="H124" s="250">
        <f t="shared" si="43"/>
        <v>3.8127786783008304</v>
      </c>
      <c r="I124" s="240" t="str">
        <f t="shared" si="28"/>
        <v>-245.112373967755i</v>
      </c>
      <c r="J124" s="240" t="str">
        <f t="shared" si="29"/>
        <v>-7070.54924906984i</v>
      </c>
      <c r="K124" s="240" t="str">
        <f t="shared" si="30"/>
        <v>3265.09403006954-4664.78035162048i</v>
      </c>
      <c r="L124" s="240">
        <f t="shared" si="31"/>
        <v>4750</v>
      </c>
      <c r="M124" s="240" t="str">
        <f t="shared" si="32"/>
        <v>-0.593653460012643+0.848141882112813i</v>
      </c>
      <c r="N124" s="240" t="str">
        <f t="shared" si="33"/>
        <v>1+179.629579268695i</v>
      </c>
      <c r="O124" s="239" t="str">
        <f t="shared" si="34"/>
        <v>1+0.0693559436629519i</v>
      </c>
      <c r="P124" s="239" t="str">
        <f t="shared" si="35"/>
        <v>0.00405087669839048-0.0540463547436349i</v>
      </c>
      <c r="Q124" s="240" t="str">
        <f t="shared" si="36"/>
        <v>0.816355086414198-0.581517736073155i</v>
      </c>
      <c r="R124" s="239" t="str">
        <f t="shared" si="44"/>
        <v>-0.0281219600563574-0.046476673243872i</v>
      </c>
      <c r="S124" s="249">
        <f t="shared" si="45"/>
        <v>-25.300417115425248</v>
      </c>
      <c r="T124" s="249">
        <f t="shared" si="46"/>
        <v>-121.17716235532522</v>
      </c>
      <c r="V124" s="239">
        <v>436515.8322</v>
      </c>
      <c r="W124" s="239">
        <v>-3.7854801600000001</v>
      </c>
      <c r="X124" s="239">
        <v>175.61718400000001</v>
      </c>
      <c r="Y124" s="239">
        <v>-36.252524200000003</v>
      </c>
      <c r="Z124" s="239">
        <v>-153.59403599999999</v>
      </c>
      <c r="AA124" s="251">
        <f t="shared" si="37"/>
        <v>-40.038004360000002</v>
      </c>
      <c r="AB124" s="251">
        <f t="shared" si="38"/>
        <v>22.02314800000002</v>
      </c>
    </row>
    <row r="125" spans="1:28" s="239" customFormat="1" x14ac:dyDescent="0.3">
      <c r="A125" s="239">
        <f t="shared" si="39"/>
        <v>26.377727782949499</v>
      </c>
      <c r="B125" s="248">
        <v>475081.01621027902</v>
      </c>
      <c r="C125" s="249">
        <f t="shared" si="40"/>
        <v>-0.23998158907056144</v>
      </c>
      <c r="D125" s="249">
        <f t="shared" si="41"/>
        <v>122.60612602471355</v>
      </c>
      <c r="E125" s="248">
        <f t="shared" si="42"/>
        <v>-26.137746193878936</v>
      </c>
      <c r="F125" s="261">
        <f t="shared" si="42"/>
        <v>-124.72460742229886</v>
      </c>
      <c r="G125" s="250">
        <f t="shared" si="43"/>
        <v>-26.377727782949499</v>
      </c>
      <c r="H125" s="250">
        <f t="shared" si="43"/>
        <v>-2.1184813975853132</v>
      </c>
      <c r="I125" s="240" t="str">
        <f t="shared" si="28"/>
        <v>-223.33726622247i</v>
      </c>
      <c r="J125" s="240" t="str">
        <f t="shared" si="29"/>
        <v>-6442.42114103282i</v>
      </c>
      <c r="K125" s="240" t="str">
        <f t="shared" si="30"/>
        <v>2882.97082192863-4506.91410113998i</v>
      </c>
      <c r="L125" s="240">
        <f t="shared" si="31"/>
        <v>4750</v>
      </c>
      <c r="M125" s="240" t="str">
        <f t="shared" si="32"/>
        <v>-0.524176513077932+0.819438927479995i</v>
      </c>
      <c r="N125" s="240" t="str">
        <f t="shared" si="33"/>
        <v>1+197.143241493429i</v>
      </c>
      <c r="O125" s="239" t="str">
        <f t="shared" si="34"/>
        <v>1+0.0761180625496955i</v>
      </c>
      <c r="P125" s="239" t="str">
        <f t="shared" si="35"/>
        <v>0.00399979443518115-0.0492452846586302i</v>
      </c>
      <c r="Q125" s="240" t="str">
        <f t="shared" si="36"/>
        <v>0.771877889350386-0.633307929264866i</v>
      </c>
      <c r="R125" s="239" t="str">
        <f t="shared" si="44"/>
        <v>-0.0281000763667529-0.0405444479139921i</v>
      </c>
      <c r="S125" s="249">
        <f t="shared" si="45"/>
        <v>-26.137746193878936</v>
      </c>
      <c r="T125" s="249">
        <f t="shared" si="46"/>
        <v>-124.72460742229886</v>
      </c>
      <c r="V125" s="239">
        <v>478630.09230000002</v>
      </c>
      <c r="W125" s="239">
        <v>-3.7888706000000001</v>
      </c>
      <c r="X125" s="239">
        <v>175.3685031</v>
      </c>
      <c r="Y125" s="239">
        <v>-37.713646599999997</v>
      </c>
      <c r="Z125" s="239">
        <v>-155.50204600000001</v>
      </c>
      <c r="AA125" s="251">
        <f t="shared" si="37"/>
        <v>-41.5025172</v>
      </c>
      <c r="AB125" s="251">
        <f t="shared" si="38"/>
        <v>19.866457099999991</v>
      </c>
    </row>
    <row r="126" spans="1:28" s="239" customFormat="1" x14ac:dyDescent="0.3">
      <c r="A126" s="239">
        <f t="shared" si="39"/>
        <v>27.810499082653624</v>
      </c>
      <c r="B126" s="248">
        <v>521400.82879996998</v>
      </c>
      <c r="C126" s="249">
        <f t="shared" si="40"/>
        <v>-0.8130748531112485</v>
      </c>
      <c r="D126" s="249">
        <f t="shared" si="41"/>
        <v>120.2979575520453</v>
      </c>
      <c r="E126" s="248">
        <f t="shared" si="42"/>
        <v>-26.997424229542375</v>
      </c>
      <c r="F126" s="261">
        <f t="shared" si="42"/>
        <v>-128.71763608333822</v>
      </c>
      <c r="G126" s="250">
        <f t="shared" si="43"/>
        <v>-27.810499082653624</v>
      </c>
      <c r="H126" s="250">
        <f t="shared" si="43"/>
        <v>-8.4196785312929165</v>
      </c>
      <c r="I126" s="240" t="str">
        <f t="shared" si="28"/>
        <v>-203.496599034564i</v>
      </c>
      <c r="J126" s="240" t="str">
        <f t="shared" si="29"/>
        <v>-5870.09420292012i</v>
      </c>
      <c r="K126" s="240" t="str">
        <f t="shared" si="30"/>
        <v>2526.77983305969-4324.41932408331i</v>
      </c>
      <c r="L126" s="240">
        <f t="shared" si="31"/>
        <v>4750</v>
      </c>
      <c r="M126" s="240" t="str">
        <f t="shared" si="32"/>
        <v>-0.459414515101761+0.786258058924237i</v>
      </c>
      <c r="N126" s="240" t="str">
        <f t="shared" si="33"/>
        <v>1+216.364464164339i</v>
      </c>
      <c r="O126" s="239" t="str">
        <f t="shared" si="34"/>
        <v>1+0.0835394796800144i</v>
      </c>
      <c r="P126" s="239" t="str">
        <f t="shared" si="35"/>
        <v>0.00395738463443841-0.0448706653061832i</v>
      </c>
      <c r="Q126" s="240" t="str">
        <f t="shared" si="36"/>
        <v>0.716445393327307-0.686034604158856i</v>
      </c>
      <c r="R126" s="239" t="str">
        <f t="shared" si="44"/>
        <v>-0.0279475791207042-0.0348622842553377i</v>
      </c>
      <c r="S126" s="249">
        <f t="shared" si="45"/>
        <v>-26.997424229542375</v>
      </c>
      <c r="T126" s="249">
        <f t="shared" si="46"/>
        <v>-128.71763608333822</v>
      </c>
      <c r="V126" s="239">
        <v>524807.46019999997</v>
      </c>
      <c r="W126" s="239">
        <v>-3.79287011</v>
      </c>
      <c r="X126" s="239">
        <v>175.08088169999999</v>
      </c>
      <c r="Y126" s="239">
        <v>-39.193416300000003</v>
      </c>
      <c r="Z126" s="239">
        <v>-157.28744499999999</v>
      </c>
      <c r="AA126" s="251">
        <f t="shared" si="37"/>
        <v>-42.986286410000005</v>
      </c>
      <c r="AB126" s="251">
        <f t="shared" si="38"/>
        <v>17.793436700000001</v>
      </c>
    </row>
    <row r="127" spans="1:28" s="239" customFormat="1" x14ac:dyDescent="0.3">
      <c r="A127" s="239">
        <f t="shared" si="39"/>
        <v>29.306320088328953</v>
      </c>
      <c r="B127" s="248">
        <v>572236.76593502203</v>
      </c>
      <c r="C127" s="249">
        <f t="shared" si="40"/>
        <v>-1.4158837302059841</v>
      </c>
      <c r="D127" s="249">
        <f t="shared" si="41"/>
        <v>118.08003342340189</v>
      </c>
      <c r="E127" s="248">
        <f t="shared" si="42"/>
        <v>-27.890436358122969</v>
      </c>
      <c r="F127" s="261">
        <f t="shared" si="42"/>
        <v>-133.20802922317455</v>
      </c>
      <c r="G127" s="250">
        <f t="shared" si="43"/>
        <v>-29.306320088328953</v>
      </c>
      <c r="H127" s="250">
        <f t="shared" si="43"/>
        <v>-15.127995799772663</v>
      </c>
      <c r="I127" s="240" t="str">
        <f t="shared" si="28"/>
        <v>-185.418522036463i</v>
      </c>
      <c r="J127" s="240" t="str">
        <f t="shared" si="29"/>
        <v>-5348.61121259025i</v>
      </c>
      <c r="K127" s="240" t="str">
        <f t="shared" si="30"/>
        <v>2199.46372744733-4122.68666387766i</v>
      </c>
      <c r="L127" s="240">
        <f t="shared" si="31"/>
        <v>4750</v>
      </c>
      <c r="M127" s="240" t="str">
        <f t="shared" si="32"/>
        <v>-0.399902495899514+0.749579393432301i</v>
      </c>
      <c r="N127" s="240" t="str">
        <f t="shared" si="33"/>
        <v>1+237.459732316928i</v>
      </c>
      <c r="O127" s="239" t="str">
        <f t="shared" si="34"/>
        <v>1+0.0916844758187478i</v>
      </c>
      <c r="P127" s="239" t="str">
        <f t="shared" si="35"/>
        <v>0.0039221749912984-0.0408846273453866i</v>
      </c>
      <c r="Q127" s="240" t="str">
        <f t="shared" si="36"/>
        <v>0.648006117952304-0.737293258285125i</v>
      </c>
      <c r="R127" s="239" t="str">
        <f t="shared" si="44"/>
        <v>-0.0276023667192123-0.0293852818289094i</v>
      </c>
      <c r="S127" s="249">
        <f t="shared" si="45"/>
        <v>-27.890436358122969</v>
      </c>
      <c r="T127" s="249">
        <f t="shared" si="46"/>
        <v>-133.20802922317455</v>
      </c>
      <c r="V127" s="239">
        <v>575439.93729999999</v>
      </c>
      <c r="W127" s="239">
        <v>-3.7976129099999998</v>
      </c>
      <c r="X127" s="239">
        <v>174.75199459999999</v>
      </c>
      <c r="Y127" s="239">
        <v>-40.6893368</v>
      </c>
      <c r="Z127" s="239">
        <v>-158.95300399999999</v>
      </c>
      <c r="AA127" s="251">
        <f t="shared" si="37"/>
        <v>-44.486949709999998</v>
      </c>
      <c r="AB127" s="251">
        <f t="shared" si="38"/>
        <v>15.798990599999996</v>
      </c>
    </row>
    <row r="128" spans="1:28" s="239" customFormat="1" x14ac:dyDescent="0.3">
      <c r="A128" s="239">
        <f t="shared" si="39"/>
        <v>30.877560180440636</v>
      </c>
      <c r="B128" s="248">
        <v>628029.14418342605</v>
      </c>
      <c r="C128" s="249">
        <f t="shared" si="40"/>
        <v>-2.0458260130277042</v>
      </c>
      <c r="D128" s="249">
        <f t="shared" si="41"/>
        <v>115.96363369167278</v>
      </c>
      <c r="E128" s="248">
        <f t="shared" si="42"/>
        <v>-28.831734167412932</v>
      </c>
      <c r="F128" s="261">
        <f t="shared" si="42"/>
        <v>-138.23949869593284</v>
      </c>
      <c r="G128" s="250">
        <f t="shared" si="43"/>
        <v>-30.877560180440636</v>
      </c>
      <c r="H128" s="250">
        <f t="shared" si="43"/>
        <v>-22.275865004260055</v>
      </c>
      <c r="I128" s="240" t="str">
        <f t="shared" si="28"/>
        <v>-168.946451573604i</v>
      </c>
      <c r="J128" s="240" t="str">
        <f t="shared" si="29"/>
        <v>-4873.45533385396i</v>
      </c>
      <c r="K128" s="240" t="str">
        <f t="shared" si="30"/>
        <v>1902.60101775771-3907.2024258873i</v>
      </c>
      <c r="L128" s="240">
        <f t="shared" si="31"/>
        <v>4750</v>
      </c>
      <c r="M128" s="240" t="str">
        <f t="shared" si="32"/>
        <v>-0.345927457774128+0.710400441070417i</v>
      </c>
      <c r="N128" s="240" t="str">
        <f t="shared" si="33"/>
        <v>1+260.611763072141i</v>
      </c>
      <c r="O128" s="239" t="str">
        <f t="shared" si="34"/>
        <v>1+0.100623599025954i</v>
      </c>
      <c r="P128" s="239" t="str">
        <f t="shared" si="35"/>
        <v>0.00389294313296507-0.0372526619010814i</v>
      </c>
      <c r="Q128" s="240" t="str">
        <f t="shared" si="36"/>
        <v>0.564892824557391-0.783396394727571i</v>
      </c>
      <c r="R128" s="239" t="str">
        <f t="shared" si="44"/>
        <v>-0.0269845053850904-0.0240934790188277i</v>
      </c>
      <c r="S128" s="249">
        <f t="shared" si="45"/>
        <v>-28.831734167412932</v>
      </c>
      <c r="T128" s="249">
        <f t="shared" si="46"/>
        <v>-138.23949869593284</v>
      </c>
      <c r="V128" s="239">
        <v>630957.34450000001</v>
      </c>
      <c r="W128" s="239">
        <v>-3.8031516600000002</v>
      </c>
      <c r="X128" s="239">
        <v>174.3792028</v>
      </c>
      <c r="Y128" s="239">
        <v>-42.1990178</v>
      </c>
      <c r="Z128" s="239">
        <v>-160.50862900000001</v>
      </c>
      <c r="AA128" s="251">
        <f t="shared" si="37"/>
        <v>-46.002169459999998</v>
      </c>
      <c r="AB128" s="251">
        <f t="shared" si="38"/>
        <v>13.870573799999988</v>
      </c>
    </row>
    <row r="129" spans="1:28" s="239" customFormat="1" x14ac:dyDescent="0.3">
      <c r="A129" s="239">
        <f t="shared" si="39"/>
        <v>32.540909928428675</v>
      </c>
      <c r="B129" s="248">
        <v>689261.21043497103</v>
      </c>
      <c r="C129" s="249">
        <f t="shared" si="40"/>
        <v>-2.7002349206315159</v>
      </c>
      <c r="D129" s="249">
        <f t="shared" si="41"/>
        <v>113.95678142886091</v>
      </c>
      <c r="E129" s="248">
        <f t="shared" si="42"/>
        <v>-29.840675007797156</v>
      </c>
      <c r="F129" s="261">
        <f t="shared" si="42"/>
        <v>-143.8358370013932</v>
      </c>
      <c r="G129" s="250">
        <f t="shared" si="43"/>
        <v>-32.540909928428675</v>
      </c>
      <c r="H129" s="250">
        <f t="shared" si="43"/>
        <v>-29.879055572532295</v>
      </c>
      <c r="I129" s="240" t="str">
        <f t="shared" si="28"/>
        <v>-153.937714451737i</v>
      </c>
      <c r="J129" s="240" t="str">
        <f t="shared" si="29"/>
        <v>-4440.51099380009i</v>
      </c>
      <c r="K129" s="240" t="str">
        <f t="shared" si="30"/>
        <v>1636.54410504766-3683.21279761221i</v>
      </c>
      <c r="L129" s="240">
        <f t="shared" si="31"/>
        <v>4750</v>
      </c>
      <c r="M129" s="240" t="str">
        <f t="shared" si="32"/>
        <v>-0.297553473645029+0.66967505411131i</v>
      </c>
      <c r="N129" s="240" t="str">
        <f t="shared" si="33"/>
        <v>1+286.021088244643i</v>
      </c>
      <c r="O129" s="239" t="str">
        <f t="shared" si="34"/>
        <v>1+0.110434275710453i</v>
      </c>
      <c r="P129" s="239" t="str">
        <f t="shared" si="35"/>
        <v>0.00386867419688846-0.0339433229405913i</v>
      </c>
      <c r="Q129" s="240" t="str">
        <f t="shared" si="36"/>
        <v>0.466563570227231-0.819236297304341i</v>
      </c>
      <c r="R129" s="239" t="str">
        <f t="shared" si="44"/>
        <v>-0.0260026197587093-0.0190060762610739i</v>
      </c>
      <c r="S129" s="249">
        <f t="shared" si="45"/>
        <v>-29.840675007797156</v>
      </c>
      <c r="T129" s="249">
        <f t="shared" si="46"/>
        <v>-143.8358370013932</v>
      </c>
      <c r="V129" s="239">
        <v>691830.97089999996</v>
      </c>
      <c r="W129" s="239">
        <v>-3.8098650799999998</v>
      </c>
      <c r="X129" s="239">
        <v>173.95954599999999</v>
      </c>
      <c r="Y129" s="239">
        <v>-43.720449299999999</v>
      </c>
      <c r="Z129" s="239">
        <v>-161.95551800000001</v>
      </c>
      <c r="AA129" s="251">
        <f t="shared" si="37"/>
        <v>-47.53031438</v>
      </c>
      <c r="AB129" s="251">
        <f t="shared" si="38"/>
        <v>12.004027999999977</v>
      </c>
    </row>
    <row r="130" spans="1:28" s="239" customFormat="1" x14ac:dyDescent="0.3">
      <c r="A130" s="239">
        <f t="shared" si="39"/>
        <v>34.317072557486945</v>
      </c>
      <c r="B130" s="248">
        <v>756463.32755462895</v>
      </c>
      <c r="C130" s="249">
        <f t="shared" si="40"/>
        <v>-3.3764574587257803</v>
      </c>
      <c r="D130" s="249">
        <f t="shared" si="41"/>
        <v>112.06447037875925</v>
      </c>
      <c r="E130" s="248">
        <f t="shared" si="42"/>
        <v>-30.940615098761164</v>
      </c>
      <c r="F130" s="261">
        <f t="shared" si="42"/>
        <v>-149.98471639405184</v>
      </c>
      <c r="G130" s="250">
        <f t="shared" si="43"/>
        <v>-34.317072557486945</v>
      </c>
      <c r="H130" s="250">
        <f t="shared" si="43"/>
        <v>-37.920246015292591</v>
      </c>
      <c r="I130" s="240" t="str">
        <f t="shared" si="28"/>
        <v>-140.262312169964i</v>
      </c>
      <c r="J130" s="240" t="str">
        <f t="shared" si="29"/>
        <v>-4046.02823567203i</v>
      </c>
      <c r="K130" s="240" t="str">
        <f t="shared" ref="K130:K133" si="47">IMDIV(IMPRODUCT(IMDIV(IMPRODUCT(J130,IMSUM(Rz_adj*10^3,I130)),IMSUM(J130,IMSUM(Rz_adj*10^3,I130))),Ro_adj*10^3),IMSUM(IMDIV(IMPRODUCT(J130,IMSUM(Rz_adj*10^3,I130)),IMSUM(J130,IMSUM(Rz_adj*10^3,I130))),Ro_adj*10^3))</f>
        <v>1400.62797419945-3455.47630132225i</v>
      </c>
      <c r="L130" s="240">
        <f t="shared" si="31"/>
        <v>4750</v>
      </c>
      <c r="M130" s="240" t="str">
        <f t="shared" ref="M130:M133" si="48">IMPRODUCT(-gm_EA2*10^-6,K130,IMDIV(RFB2_adj*10^3,IMSUM(L130,RFB2_adj*10^3)))</f>
        <v>-0.254659631672627+0.628268418422226i</v>
      </c>
      <c r="N130" s="240" t="str">
        <f t="shared" si="33"/>
        <v>1+313.907791253476i</v>
      </c>
      <c r="O130" s="239" t="str">
        <f t="shared" si="34"/>
        <v>1+0.121201481260341i</v>
      </c>
      <c r="P130" s="239" t="str">
        <f t="shared" ref="P130:P133" si="49">IMPRODUCT(K_adj,IMDIV(O130,N130))</f>
        <v>0.00384852560761584-0.0309279558685979i</v>
      </c>
      <c r="Q130" s="240" t="str">
        <f t="shared" si="36"/>
        <v>0.354622573703653-0.838605300471257i</v>
      </c>
      <c r="R130" s="239" t="str">
        <f t="shared" si="44"/>
        <v>-0.0245715736682102-0.0141951452830612i</v>
      </c>
      <c r="S130" s="249">
        <f t="shared" si="45"/>
        <v>-30.940615098761164</v>
      </c>
      <c r="T130" s="249">
        <f t="shared" si="46"/>
        <v>-149.98471639405184</v>
      </c>
      <c r="V130" s="239">
        <v>758577.57499999995</v>
      </c>
      <c r="W130" s="239">
        <v>-3.81788792</v>
      </c>
      <c r="X130" s="239">
        <v>173.4897268</v>
      </c>
      <c r="Y130" s="239">
        <v>-45.251680999999998</v>
      </c>
      <c r="Z130" s="239">
        <v>-163.310057</v>
      </c>
      <c r="AA130" s="251">
        <f t="shared" si="37"/>
        <v>-49.069568919999995</v>
      </c>
      <c r="AB130" s="251">
        <f t="shared" si="38"/>
        <v>10.179669799999999</v>
      </c>
    </row>
    <row r="131" spans="1:28" s="239" customFormat="1" x14ac:dyDescent="0.3">
      <c r="A131" s="239">
        <f t="shared" si="39"/>
        <v>36.228950531241679</v>
      </c>
      <c r="B131" s="248">
        <v>830217.56813197501</v>
      </c>
      <c r="C131" s="249">
        <f t="shared" si="40"/>
        <v>-4.0719329337370702</v>
      </c>
      <c r="D131" s="249">
        <f t="shared" si="41"/>
        <v>110.28900663513424</v>
      </c>
      <c r="E131" s="248">
        <f t="shared" si="42"/>
        <v>-32.157017597504606</v>
      </c>
      <c r="F131" s="261">
        <f t="shared" si="42"/>
        <v>-156.62005072295281</v>
      </c>
      <c r="G131" s="250">
        <f t="shared" si="43"/>
        <v>-36.228950531241679</v>
      </c>
      <c r="H131" s="250">
        <f t="shared" si="43"/>
        <v>-46.331044087818569</v>
      </c>
      <c r="I131" s="240" t="str">
        <f t="shared" si="28"/>
        <v>-127.801794935915i</v>
      </c>
      <c r="J131" s="240" t="str">
        <f t="shared" si="29"/>
        <v>-3686.59023853602i</v>
      </c>
      <c r="K131" s="240" t="str">
        <f t="shared" si="47"/>
        <v>1193.4099148066-3228.10958825836i</v>
      </c>
      <c r="L131" s="240">
        <f t="shared" si="31"/>
        <v>4750</v>
      </c>
      <c r="M131" s="240" t="str">
        <f t="shared" si="48"/>
        <v>-0.216983620873927+0.586929016046973i</v>
      </c>
      <c r="N131" s="240" t="str">
        <f t="shared" si="33"/>
        <v>1+344.513413379342i</v>
      </c>
      <c r="O131" s="239" t="str">
        <f t="shared" si="34"/>
        <v>1+0.133018476059154i</v>
      </c>
      <c r="P131" s="239" t="str">
        <f t="shared" si="49"/>
        <v>0.00383179783129085-0.0281804500650395i</v>
      </c>
      <c r="Q131" s="240" t="str">
        <f t="shared" si="36"/>
        <v>0.233798430678355-0.835304541531986i</v>
      </c>
      <c r="R131" s="239" t="str">
        <f t="shared" si="44"/>
        <v>-0.0226433896021103-0.00978926313172564i</v>
      </c>
      <c r="S131" s="249">
        <f t="shared" si="45"/>
        <v>-32.157017597504606</v>
      </c>
      <c r="T131" s="249">
        <f t="shared" si="46"/>
        <v>-156.62005072295281</v>
      </c>
      <c r="V131" s="239">
        <v>831763.77110000001</v>
      </c>
      <c r="W131" s="239">
        <v>-3.8273996399999999</v>
      </c>
      <c r="X131" s="239">
        <v>172.966106</v>
      </c>
      <c r="Y131" s="239">
        <v>-46.790997699999998</v>
      </c>
      <c r="Z131" s="239">
        <v>-164.59417300000001</v>
      </c>
      <c r="AA131" s="251">
        <f t="shared" si="37"/>
        <v>-50.618397340000001</v>
      </c>
      <c r="AB131" s="251">
        <f t="shared" si="38"/>
        <v>8.3719329999999843</v>
      </c>
    </row>
    <row r="132" spans="1:28" s="239" customFormat="1" x14ac:dyDescent="0.3">
      <c r="A132" s="239">
        <f t="shared" si="39"/>
        <v>38.297963157384331</v>
      </c>
      <c r="B132" s="248">
        <v>911162.75611549104</v>
      </c>
      <c r="C132" s="249">
        <f t="shared" si="40"/>
        <v>-4.7842504155617611</v>
      </c>
      <c r="D132" s="249">
        <f t="shared" si="41"/>
        <v>108.63041287724694</v>
      </c>
      <c r="E132" s="248">
        <f t="shared" si="42"/>
        <v>-33.513712741822566</v>
      </c>
      <c r="F132" s="261">
        <f t="shared" si="42"/>
        <v>-163.60989072759668</v>
      </c>
      <c r="G132" s="250">
        <f t="shared" si="43"/>
        <v>-38.297963157384331</v>
      </c>
      <c r="H132" s="250">
        <f t="shared" si="43"/>
        <v>-54.979477850349738</v>
      </c>
      <c r="I132" s="240" t="str">
        <f t="shared" si="28"/>
        <v>-116.448235710315i</v>
      </c>
      <c r="J132" s="240" t="str">
        <f t="shared" si="29"/>
        <v>-3359.08372241293i</v>
      </c>
      <c r="K132" s="240" t="str">
        <f t="shared" si="47"/>
        <v>1012.90763134006-3004.51757883532i</v>
      </c>
      <c r="L132" s="240">
        <f t="shared" si="31"/>
        <v>4750</v>
      </c>
      <c r="M132" s="240" t="str">
        <f t="shared" si="48"/>
        <v>-0.184165023880011+0.546275923424603i</v>
      </c>
      <c r="N132" s="240" t="str">
        <f t="shared" si="33"/>
        <v>1+378.103045879627i</v>
      </c>
      <c r="O132" s="239" t="str">
        <f t="shared" si="34"/>
        <v>1+0.14598761326269i</v>
      </c>
      <c r="P132" s="239" t="str">
        <f t="shared" si="49"/>
        <v>0.00381791009371569-0.0256770132798699i</v>
      </c>
      <c r="Q132" s="240" t="str">
        <f t="shared" si="36"/>
        <v>0.112185156250353-0.80509180926204i</v>
      </c>
      <c r="R132" s="239" t="str">
        <f t="shared" si="44"/>
        <v>-0.0202440402375226-0.00595434789179396i</v>
      </c>
      <c r="S132" s="249">
        <f t="shared" si="45"/>
        <v>-33.513712741822566</v>
      </c>
      <c r="T132" s="249">
        <f t="shared" si="46"/>
        <v>-163.60989072759668</v>
      </c>
      <c r="V132" s="239">
        <v>912010.83940000006</v>
      </c>
      <c r="W132" s="239">
        <v>-3.83886891</v>
      </c>
      <c r="X132" s="239">
        <v>172.38469660000001</v>
      </c>
      <c r="Y132" s="239">
        <v>-48.337237700000003</v>
      </c>
      <c r="Z132" s="239">
        <v>-165.822632</v>
      </c>
      <c r="AA132" s="251">
        <f t="shared" si="37"/>
        <v>-52.176106610000005</v>
      </c>
      <c r="AB132" s="251">
        <f t="shared" si="38"/>
        <v>6.5620646000000136</v>
      </c>
    </row>
    <row r="133" spans="1:28" s="239" customFormat="1" x14ac:dyDescent="0.3">
      <c r="A133" s="239">
        <f t="shared" si="39"/>
        <v>40.539043132883023</v>
      </c>
      <c r="B133" s="248">
        <v>1000000</v>
      </c>
      <c r="C133" s="249">
        <f t="shared" si="40"/>
        <v>-5.5111863533181946</v>
      </c>
      <c r="D133" s="249">
        <f t="shared" si="41"/>
        <v>107.08685146525221</v>
      </c>
      <c r="E133" s="248">
        <f t="shared" si="42"/>
        <v>-35.027856779564829</v>
      </c>
      <c r="F133" s="261">
        <f t="shared" si="42"/>
        <v>-170.75929199255316</v>
      </c>
      <c r="G133" s="250">
        <f t="shared" si="43"/>
        <v>-40.539043132883023</v>
      </c>
      <c r="H133" s="250">
        <f t="shared" si="43"/>
        <v>-63.672440527300949</v>
      </c>
      <c r="I133" s="240" t="str">
        <f t="shared" si="28"/>
        <v>-106.103295394597i</v>
      </c>
      <c r="J133" s="240" t="str">
        <f t="shared" si="29"/>
        <v>-3060.67198253645i</v>
      </c>
      <c r="K133" s="240" t="str">
        <f t="shared" si="47"/>
        <v>856.813243245546-2787.39086403976i</v>
      </c>
      <c r="L133" s="240">
        <f t="shared" si="31"/>
        <v>4750</v>
      </c>
      <c r="M133" s="240" t="str">
        <f t="shared" si="48"/>
        <v>-0.155784226044644+0.506798338916319i</v>
      </c>
      <c r="N133" s="240" t="str">
        <f t="shared" si="33"/>
        <v>1+414.967626082054i</v>
      </c>
      <c r="O133" s="239" t="str">
        <f t="shared" si="34"/>
        <v>1+0.160221225333079i</v>
      </c>
      <c r="P133" s="239" t="str">
        <f t="shared" si="49"/>
        <v>0.00380638021981327-0.0233959659738965i</v>
      </c>
      <c r="Q133" s="240" t="str">
        <f t="shared" si="36"/>
        <v>-0.747813323562752i</v>
      </c>
      <c r="R133" s="239" t="str">
        <f t="shared" si="44"/>
        <v>-0.0174958150729006-0.00284646184292208i</v>
      </c>
      <c r="S133" s="249">
        <f t="shared" si="45"/>
        <v>-35.027856779564829</v>
      </c>
      <c r="T133" s="249">
        <f t="shared" si="46"/>
        <v>-170.75929199255316</v>
      </c>
      <c r="V133" s="239">
        <v>1000000</v>
      </c>
      <c r="W133" s="239">
        <v>-3.8525983199999998</v>
      </c>
      <c r="X133" s="239">
        <v>171.74116219999999</v>
      </c>
      <c r="Y133" s="239">
        <v>-49.8894576</v>
      </c>
      <c r="Z133" s="239">
        <v>-167.03278900000001</v>
      </c>
      <c r="AA133" s="251">
        <f t="shared" si="37"/>
        <v>-53.742055919999999</v>
      </c>
      <c r="AB133" s="251">
        <f t="shared" si="38"/>
        <v>4.7083731999999827</v>
      </c>
    </row>
    <row r="134" spans="1:28" s="239" customFormat="1" x14ac:dyDescent="0.3">
      <c r="A134" s="239">
        <f t="shared" si="39"/>
        <v>0.70449925193441487</v>
      </c>
      <c r="B134" s="239">
        <f>100</f>
        <v>100</v>
      </c>
      <c r="C134" s="249">
        <f>C135</f>
        <v>4.983892354926903</v>
      </c>
      <c r="E134" s="248">
        <f>E135</f>
        <v>-5.6883916068613178</v>
      </c>
      <c r="F134" s="247"/>
      <c r="G134" s="250">
        <f t="shared" si="43"/>
        <v>-0.70449925193441487</v>
      </c>
      <c r="N134" s="240"/>
      <c r="Q134" s="241"/>
      <c r="R134" s="241"/>
      <c r="S134" s="241"/>
      <c r="T134" s="241"/>
    </row>
    <row r="135" spans="1:28" s="239" customFormat="1" x14ac:dyDescent="0.3">
      <c r="A135" s="239">
        <f>ABS(G135)</f>
        <v>0.70449925193441487</v>
      </c>
      <c r="B135" s="248">
        <f>fc_2*1000</f>
        <v>45000</v>
      </c>
      <c r="C135" s="249">
        <f>20*LOG(IMABS(M135))</f>
        <v>4.983892354926903</v>
      </c>
      <c r="D135" s="249">
        <f>IF(180/PI()*IMARGUMENT(M135)&gt;0,180/PI()*IMARGUMENT(M135),360+180/PI()*IMARGUMENT(M135))</f>
        <v>158.80189910532008</v>
      </c>
      <c r="E135" s="248">
        <f>S135</f>
        <v>-5.6883916068613178</v>
      </c>
      <c r="F135" s="261">
        <f>T135</f>
        <v>-89.972165892719801</v>
      </c>
      <c r="G135" s="250">
        <f>C135+E135</f>
        <v>-0.70449925193441487</v>
      </c>
      <c r="H135" s="250">
        <f>D135+F135</f>
        <v>68.829733212600274</v>
      </c>
      <c r="I135" s="240" t="str">
        <f>IMDIV(1,COMPLEX(0,2*PI()*$B135*Cz_adj*10^-9))</f>
        <v>-2357.85100876882i</v>
      </c>
      <c r="J135" s="240" t="str">
        <f>IMDIV(1,COMPLEX(0,2*PI()*$B135*Cp_Cstray_adj*10^-12))</f>
        <v>-68014.9329452546i</v>
      </c>
      <c r="K135" s="240" t="str">
        <f>IMDIV(IMPRODUCT(IMDIV(IMPRODUCT(J135,IMSUM(Rz_adj*10^3,I135)),IMSUM(J135,IMSUM(Rz_adj*10^3,I135))),Ro_adj*10^3),IMSUM(IMDIV(IMPRODUCT(J135,IMSUM(Rz_adj*10^3,I135)),IMSUM(J135,IMSUM(Rz_adj*10^3,I135))),Ro_adj*10^3))</f>
        <v>9101.84974540323-3530.02778145502i</v>
      </c>
      <c r="L135" s="240">
        <f>IF($E$1="Feedforward RC",IMDIV(IMPRODUCT(IMSUM(Rz_2_adj*10^3,IMDIV(1,COMPLEX(0,2*PI()*$B135*Cz_2_adj*10^-12))),RFB1_adj*10^3),IMSUM(IMSUM(Rz_2_adj*10^3,IMDIV(1,COMPLEX(0,2*PI()*$B135*Cz_2_adj*10^-12))),RFB1_adj*10^3)),RFB1_adj*10^3)</f>
        <v>4750</v>
      </c>
      <c r="M135" s="240" t="str">
        <f>IMPRODUCT(-gm_EA2*10^-6,K135,IMDIV(RFB2_adj*10^3,IMSUM(L135,RFB2_adj*10^3)))</f>
        <v>-1.65488177189149+0.641823232991821i</v>
      </c>
      <c r="N135" s="240" t="str">
        <f>COMPLEX(1,2*PI()*B135*1/(1/(Vout_sync_buck/Iout_sync_buck*Number_Cout2*Co_2*10^-6)+(mc_adj*(1-Vout_sync_buck/Vreg)-0.5)/(fsw*10^3*L_buck2*10^-6*Number_Cout2*Co_2*10^-6)))</f>
        <v>1+18.6735431736924i</v>
      </c>
      <c r="O135" s="239" t="str">
        <f>COMPLEX(1,2*PI()*B135*(ESR_2*10^-3*Co_2*10^-6))</f>
        <v>1+0.00720995513998858i</v>
      </c>
      <c r="P135" s="239" t="str">
        <f>IMPRODUCT(K_adj,IMDIV(O135,N135))</f>
        <v>0.0315126283047095-0.518426638263166i</v>
      </c>
      <c r="Q135" s="240" t="str">
        <f>IMDIV(1,IMSUM(COMPLEX(1,2*PI()*B135/(wn_adj*Qp_adj)),IMPRODUCT(COMPLEX(0,2*PI()*B135/wn_adj),COMPLEX(0,2*PI()*B135/wn_adj))))</f>
        <v>0.998399135045542-0.060201019942113i</v>
      </c>
      <c r="R135" s="239" t="str">
        <f>IMPRODUCT(P135,Q135)</f>
        <v>0.000252368453830167-0.519493799591513i</v>
      </c>
      <c r="S135" s="249">
        <f>20*LOG(IMABS(R135))</f>
        <v>-5.6883916068613178</v>
      </c>
      <c r="T135" s="249">
        <f>180/PI()*IMARGUMENT(R135)</f>
        <v>-89.972165892719801</v>
      </c>
    </row>
    <row r="136" spans="1:28" s="239" customFormat="1" x14ac:dyDescent="0.3">
      <c r="A136" s="239">
        <f>ABS(G136)</f>
        <v>0.70449925193441487</v>
      </c>
      <c r="B136" s="239">
        <f>B133</f>
        <v>1000000</v>
      </c>
      <c r="C136" s="249">
        <f>C135</f>
        <v>4.983892354926903</v>
      </c>
      <c r="E136" s="248">
        <f>E135</f>
        <v>-5.6883916068613178</v>
      </c>
      <c r="F136" s="247"/>
      <c r="G136" s="250">
        <f>C136+E136</f>
        <v>-0.70449925193441487</v>
      </c>
      <c r="N136" s="240"/>
      <c r="Q136" s="241"/>
      <c r="R136" s="241"/>
      <c r="S136" s="241"/>
    </row>
    <row r="137" spans="1:28" s="239" customFormat="1" x14ac:dyDescent="0.3">
      <c r="C137" s="239" t="s">
        <v>218</v>
      </c>
      <c r="F137" s="247"/>
      <c r="N137" s="240"/>
      <c r="Q137" s="241"/>
      <c r="R137" s="241"/>
      <c r="S137" s="241"/>
    </row>
    <row r="138" spans="1:28" s="239" customFormat="1" x14ac:dyDescent="0.3">
      <c r="A138" s="239">
        <f>ABS(G138)</f>
        <v>0.70449925193441487</v>
      </c>
      <c r="B138" s="248">
        <f>fc_2*1000</f>
        <v>45000</v>
      </c>
      <c r="C138" s="249">
        <f>20*LOG(IMABS(M138))</f>
        <v>4.983892354926903</v>
      </c>
      <c r="D138" s="249">
        <f>IF(180/PI()*IMARGUMENT(M138)&gt;0,180/PI()*IMARGUMENT(M138),360+180/PI()*IMARGUMENT(M138))</f>
        <v>158.80189910532008</v>
      </c>
      <c r="E138" s="248">
        <f>S138</f>
        <v>-5.6883916068613178</v>
      </c>
      <c r="F138" s="261">
        <f>T138</f>
        <v>-89.972165892719801</v>
      </c>
      <c r="G138" s="250">
        <f>C138+E138</f>
        <v>-0.70449925193441487</v>
      </c>
      <c r="H138" s="250">
        <f>D138+F138</f>
        <v>68.829733212600274</v>
      </c>
      <c r="I138" s="240" t="str">
        <f>IMDIV(1,COMPLEX(0,2*PI()*$B138*Cz_adj*10^-9))</f>
        <v>-2357.85100876882i</v>
      </c>
      <c r="J138" s="240" t="str">
        <f>IMDIV(1,COMPLEX(0,2*PI()*$B138*Cp_Cstray_adj*10^-12))</f>
        <v>-68014.9329452546i</v>
      </c>
      <c r="K138" s="240" t="str">
        <f>IMDIV(IMPRODUCT(IMDIV(IMPRODUCT(J138,IMSUM(Rz_adj*10^3,I138)),IMSUM(J138,IMSUM(Rz_adj*10^3,I138))),Ro_adj*10^3),IMSUM(IMDIV(IMPRODUCT(J138,IMSUM(Rz_adj*10^3,I138)),IMSUM(J138,IMSUM(Rz_adj*10^3,I138))),Ro_adj*10^3))</f>
        <v>9101.84974540323-3530.02778145502i</v>
      </c>
      <c r="L138" s="240">
        <f>IF($E$1="Feedforward RC",IMDIV(IMPRODUCT(IMSUM(Rz_2_adj*10^3,IMDIV(1,COMPLEX(0,2*PI()*$B138*Cz_2_adj*10^-12))),RFB1_adj*10^3),IMSUM(IMSUM(Rz_2_adj*10^3,IMDIV(1,COMPLEX(0,2*PI()*$B138*Cz_2_adj*10^-12))),RFB1_adj*10^3)),RFB1_adj*10^3)</f>
        <v>4750</v>
      </c>
      <c r="M138" s="240" t="str">
        <f>IMPRODUCT(-gm_EA2*10^-6,K138,IMDIV(RFB2_adj*10^3,IMSUM(L138,RFB2_adj*10^3)))</f>
        <v>-1.65488177189149+0.641823232991821i</v>
      </c>
      <c r="N138" s="240" t="str">
        <f>COMPLEX(1,2*PI()*B138*1/(1/(Vout_sync_buck/Iout_sync_buck*Number_Cout2*Co_2*10^-6)+(mc_adj*(1-Vout_sync_buck/Vreg)-0.5)/(fsw*10^3*L_buck2*10^-6*Number_Cout2*Co_2*10^-6)))</f>
        <v>1+18.6735431736924i</v>
      </c>
      <c r="O138" s="239" t="str">
        <f>COMPLEX(1,2*PI()*B138*(ESR_2*10^-3*Co_2*10^-6))</f>
        <v>1+0.00720995513998858i</v>
      </c>
      <c r="P138" s="239" t="str">
        <f>IMPRODUCT(K_adj,IMDIV(O138,N138))</f>
        <v>0.0315126283047095-0.518426638263166i</v>
      </c>
      <c r="Q138" s="240" t="str">
        <f>IMDIV(1,IMSUM(COMPLEX(1,2*PI()*B138/(wn_adj*Qp_adj)),IMPRODUCT(COMPLEX(0,2*PI()*B138/wn_adj),COMPLEX(0,2*PI()*B138/wn_adj))))</f>
        <v>0.998399135045542-0.060201019942113i</v>
      </c>
      <c r="R138" s="239" t="str">
        <f>IMPRODUCT(P138,Q138)</f>
        <v>0.000252368453830167-0.519493799591513i</v>
      </c>
      <c r="S138" s="249">
        <f>20*LOG(IMABS(R138))</f>
        <v>-5.6883916068613178</v>
      </c>
      <c r="T138" s="249">
        <f>180/PI()*IMARGUMENT(R138)</f>
        <v>-89.972165892719801</v>
      </c>
    </row>
    <row r="139" spans="1:28" s="239" customFormat="1" x14ac:dyDescent="0.3">
      <c r="F139" s="247"/>
      <c r="N139" s="240"/>
      <c r="P139" s="240"/>
      <c r="Q139" s="241"/>
      <c r="R139" s="241"/>
      <c r="S139" s="241"/>
    </row>
    <row r="140" spans="1:28" s="239" customFormat="1" x14ac:dyDescent="0.3">
      <c r="B140" s="239" t="s">
        <v>280</v>
      </c>
      <c r="C140" s="249">
        <f>20*LOG(IMABS((-gm_EA2*10^-6*Rz_adj*10^3)))</f>
        <v>17.501225267834002</v>
      </c>
      <c r="F140" s="247"/>
      <c r="N140" s="240"/>
      <c r="P140" s="240"/>
      <c r="Q140" s="241"/>
      <c r="R140" s="241"/>
      <c r="S140" s="241"/>
    </row>
    <row r="141" spans="1:28" s="239" customFormat="1" x14ac:dyDescent="0.3">
      <c r="C141" s="239">
        <f>Rz_adj</f>
        <v>10</v>
      </c>
      <c r="F141" s="247"/>
      <c r="N141" s="240"/>
      <c r="O141" s="240"/>
      <c r="P141" s="240"/>
      <c r="Q141" s="241"/>
      <c r="R141" s="241"/>
      <c r="S141" s="241"/>
    </row>
    <row r="142" spans="1:28" s="239" customFormat="1" x14ac:dyDescent="0.3">
      <c r="F142" s="247"/>
      <c r="N142" s="240"/>
      <c r="O142" s="240"/>
      <c r="P142" s="240"/>
      <c r="Q142" s="241"/>
      <c r="R142" s="241"/>
      <c r="S142" s="241"/>
    </row>
    <row r="143" spans="1:28" x14ac:dyDescent="0.3">
      <c r="N143" s="144"/>
      <c r="Q143" s="143"/>
      <c r="T143"/>
    </row>
    <row r="144" spans="1:28" x14ac:dyDescent="0.3">
      <c r="N144" s="144"/>
      <c r="Q144" s="143"/>
      <c r="T144"/>
    </row>
    <row r="145" spans="15:20" x14ac:dyDescent="0.3">
      <c r="O145"/>
      <c r="P145"/>
      <c r="Q145"/>
      <c r="R145"/>
      <c r="S145"/>
      <c r="T145"/>
    </row>
    <row r="146" spans="15:20" x14ac:dyDescent="0.3">
      <c r="O146"/>
      <c r="P146"/>
      <c r="Q146"/>
      <c r="R146"/>
      <c r="S146"/>
      <c r="T146"/>
    </row>
    <row r="147" spans="15:20" x14ac:dyDescent="0.3">
      <c r="O147"/>
      <c r="P147"/>
      <c r="Q147"/>
      <c r="R147"/>
      <c r="S147"/>
      <c r="T147"/>
    </row>
    <row r="148" spans="15:20" x14ac:dyDescent="0.3">
      <c r="O148"/>
      <c r="P148"/>
      <c r="Q148"/>
      <c r="R148"/>
      <c r="S148"/>
      <c r="T148"/>
    </row>
    <row r="149" spans="15:20" x14ac:dyDescent="0.3">
      <c r="O149"/>
      <c r="P149"/>
      <c r="Q149"/>
      <c r="R149"/>
      <c r="S149"/>
      <c r="T149"/>
    </row>
    <row r="150" spans="15:20" x14ac:dyDescent="0.3">
      <c r="O150"/>
      <c r="P150"/>
      <c r="Q150"/>
      <c r="R150"/>
      <c r="S150"/>
      <c r="T150"/>
    </row>
    <row r="151" spans="15:20" x14ac:dyDescent="0.3">
      <c r="O151"/>
      <c r="P151"/>
      <c r="Q151"/>
      <c r="R151"/>
      <c r="S151"/>
      <c r="T151"/>
    </row>
    <row r="152" spans="15:20" x14ac:dyDescent="0.3">
      <c r="O152"/>
      <c r="P152"/>
      <c r="Q152"/>
      <c r="R152"/>
      <c r="S152"/>
      <c r="T152"/>
    </row>
    <row r="153" spans="15:20" x14ac:dyDescent="0.3">
      <c r="O153"/>
      <c r="P153"/>
      <c r="Q153"/>
      <c r="R153"/>
      <c r="S153"/>
      <c r="T153"/>
    </row>
    <row r="154" spans="15:20" x14ac:dyDescent="0.3">
      <c r="O154"/>
      <c r="P154"/>
      <c r="Q154"/>
      <c r="R154"/>
      <c r="S154"/>
      <c r="T154"/>
    </row>
    <row r="155" spans="15:20" x14ac:dyDescent="0.3">
      <c r="O155"/>
      <c r="P155"/>
      <c r="Q155"/>
      <c r="R155"/>
      <c r="S155"/>
      <c r="T155"/>
    </row>
    <row r="156" spans="15:20" x14ac:dyDescent="0.3">
      <c r="O156"/>
      <c r="P156"/>
      <c r="Q156"/>
      <c r="R156"/>
      <c r="S156"/>
      <c r="T156"/>
    </row>
    <row r="157" spans="15:20" x14ac:dyDescent="0.3">
      <c r="O157"/>
      <c r="P157"/>
      <c r="Q157"/>
      <c r="R157"/>
      <c r="S157"/>
      <c r="T157"/>
    </row>
    <row r="158" spans="15:20" x14ac:dyDescent="0.3">
      <c r="O158"/>
      <c r="P158"/>
      <c r="Q158"/>
      <c r="R158"/>
      <c r="S158"/>
      <c r="T158"/>
    </row>
    <row r="159" spans="15:20" x14ac:dyDescent="0.3">
      <c r="O159"/>
      <c r="P159"/>
      <c r="Q159"/>
      <c r="R159"/>
      <c r="S159"/>
      <c r="T159"/>
    </row>
    <row r="160" spans="15:20" x14ac:dyDescent="0.3">
      <c r="O160"/>
      <c r="P160"/>
      <c r="Q160"/>
      <c r="R160"/>
      <c r="S160"/>
      <c r="T160"/>
    </row>
    <row r="161" spans="15:20" x14ac:dyDescent="0.3">
      <c r="O161"/>
      <c r="P161"/>
      <c r="Q161"/>
      <c r="R161"/>
      <c r="S161"/>
      <c r="T161"/>
    </row>
    <row r="162" spans="15:20" x14ac:dyDescent="0.3">
      <c r="O162"/>
      <c r="P162"/>
      <c r="Q162"/>
      <c r="R162"/>
      <c r="S162"/>
      <c r="T162"/>
    </row>
    <row r="163" spans="15:20" x14ac:dyDescent="0.3">
      <c r="O163"/>
      <c r="P163"/>
      <c r="Q163"/>
      <c r="R163"/>
      <c r="S163"/>
      <c r="T163"/>
    </row>
    <row r="164" spans="15:20" x14ac:dyDescent="0.3">
      <c r="O164"/>
      <c r="P164"/>
      <c r="Q164"/>
      <c r="R164"/>
      <c r="S164"/>
      <c r="T164"/>
    </row>
    <row r="165" spans="15:20" x14ac:dyDescent="0.3">
      <c r="O165"/>
      <c r="P165"/>
      <c r="Q165"/>
      <c r="R165"/>
      <c r="S165"/>
      <c r="T165"/>
    </row>
    <row r="166" spans="15:20" x14ac:dyDescent="0.3">
      <c r="O166"/>
      <c r="P166"/>
      <c r="Q166"/>
      <c r="R166"/>
      <c r="S166"/>
      <c r="T166"/>
    </row>
    <row r="167" spans="15:20" x14ac:dyDescent="0.3">
      <c r="O167"/>
      <c r="P167"/>
      <c r="Q167"/>
      <c r="R167"/>
      <c r="S167"/>
      <c r="T167"/>
    </row>
    <row r="168" spans="15:20" x14ac:dyDescent="0.3">
      <c r="O168"/>
      <c r="P168"/>
      <c r="Q168"/>
      <c r="R168"/>
      <c r="S168"/>
      <c r="T168"/>
    </row>
    <row r="169" spans="15:20" x14ac:dyDescent="0.3">
      <c r="O169"/>
      <c r="P169"/>
      <c r="Q169"/>
      <c r="R169"/>
      <c r="S169"/>
      <c r="T169"/>
    </row>
    <row r="170" spans="15:20" x14ac:dyDescent="0.3">
      <c r="O170"/>
      <c r="P170"/>
      <c r="Q170"/>
      <c r="R170"/>
      <c r="S170"/>
      <c r="T170"/>
    </row>
    <row r="171" spans="15:20" x14ac:dyDescent="0.3">
      <c r="O171"/>
      <c r="P171"/>
      <c r="Q171"/>
      <c r="R171"/>
      <c r="S171"/>
      <c r="T171"/>
    </row>
    <row r="172" spans="15:20" x14ac:dyDescent="0.3">
      <c r="O172"/>
      <c r="P172"/>
      <c r="Q172"/>
      <c r="R172"/>
      <c r="S172"/>
      <c r="T172"/>
    </row>
    <row r="173" spans="15:20" x14ac:dyDescent="0.3">
      <c r="O173"/>
      <c r="P173"/>
      <c r="Q173"/>
      <c r="R173"/>
      <c r="S173"/>
      <c r="T173"/>
    </row>
    <row r="174" spans="15:20" x14ac:dyDescent="0.3">
      <c r="O174"/>
      <c r="P174"/>
      <c r="Q174"/>
      <c r="R174"/>
      <c r="S174"/>
      <c r="T174"/>
    </row>
    <row r="175" spans="15:20" x14ac:dyDescent="0.3">
      <c r="O175"/>
      <c r="P175"/>
      <c r="Q175"/>
      <c r="R175"/>
      <c r="S175"/>
      <c r="T175"/>
    </row>
    <row r="176" spans="15:20" x14ac:dyDescent="0.3">
      <c r="O176"/>
      <c r="P176"/>
      <c r="Q176"/>
      <c r="R176"/>
      <c r="S176"/>
      <c r="T176"/>
    </row>
    <row r="177" spans="15:20" x14ac:dyDescent="0.3">
      <c r="O177"/>
      <c r="P177"/>
      <c r="Q177"/>
      <c r="R177"/>
      <c r="S177"/>
      <c r="T177"/>
    </row>
    <row r="178" spans="15:20" x14ac:dyDescent="0.3">
      <c r="O178"/>
      <c r="P178"/>
      <c r="Q178"/>
      <c r="R178"/>
      <c r="S178"/>
      <c r="T178"/>
    </row>
    <row r="179" spans="15:20" x14ac:dyDescent="0.3">
      <c r="O179"/>
      <c r="P179"/>
      <c r="Q179"/>
      <c r="R179"/>
      <c r="S179"/>
      <c r="T179"/>
    </row>
    <row r="180" spans="15:20" x14ac:dyDescent="0.3">
      <c r="O180"/>
      <c r="P180"/>
      <c r="Q180"/>
      <c r="R180"/>
      <c r="S180"/>
      <c r="T180"/>
    </row>
    <row r="181" spans="15:20" x14ac:dyDescent="0.3">
      <c r="O181"/>
      <c r="P181"/>
      <c r="Q181"/>
      <c r="R181"/>
      <c r="S181"/>
      <c r="T181"/>
    </row>
    <row r="182" spans="15:20" x14ac:dyDescent="0.3">
      <c r="O182"/>
      <c r="P182"/>
      <c r="Q182"/>
      <c r="R182"/>
      <c r="S182"/>
      <c r="T182"/>
    </row>
    <row r="183" spans="15:20" x14ac:dyDescent="0.3">
      <c r="O183"/>
      <c r="P183"/>
      <c r="Q183"/>
      <c r="R183"/>
      <c r="S183"/>
      <c r="T183"/>
    </row>
    <row r="184" spans="15:20" x14ac:dyDescent="0.3">
      <c r="O184"/>
      <c r="P184"/>
      <c r="Q184"/>
      <c r="R184"/>
      <c r="S184"/>
      <c r="T184"/>
    </row>
    <row r="185" spans="15:20" x14ac:dyDescent="0.3">
      <c r="O185"/>
      <c r="P185"/>
      <c r="Q185"/>
      <c r="R185"/>
      <c r="S185"/>
      <c r="T185"/>
    </row>
    <row r="186" spans="15:20" x14ac:dyDescent="0.3">
      <c r="O186"/>
      <c r="P186"/>
      <c r="Q186"/>
      <c r="R186"/>
      <c r="S186"/>
      <c r="T186"/>
    </row>
    <row r="187" spans="15:20" x14ac:dyDescent="0.3">
      <c r="O187"/>
      <c r="P187"/>
      <c r="Q187"/>
      <c r="R187"/>
      <c r="S187"/>
      <c r="T187"/>
    </row>
    <row r="188" spans="15:20" x14ac:dyDescent="0.3">
      <c r="O188"/>
      <c r="P188"/>
      <c r="Q188"/>
      <c r="R188"/>
      <c r="S188"/>
      <c r="T188"/>
    </row>
    <row r="189" spans="15:20" x14ac:dyDescent="0.3">
      <c r="O189"/>
      <c r="P189"/>
      <c r="Q189"/>
      <c r="R189"/>
      <c r="S189"/>
      <c r="T189"/>
    </row>
    <row r="190" spans="15:20" x14ac:dyDescent="0.3">
      <c r="O190"/>
      <c r="P190"/>
      <c r="Q190"/>
      <c r="R190"/>
      <c r="S190"/>
      <c r="T190"/>
    </row>
    <row r="191" spans="15:20" x14ac:dyDescent="0.3">
      <c r="O191"/>
      <c r="P191"/>
      <c r="Q191"/>
      <c r="R191"/>
      <c r="S191"/>
      <c r="T191"/>
    </row>
    <row r="192" spans="15:20" x14ac:dyDescent="0.3">
      <c r="O192"/>
      <c r="P192"/>
      <c r="Q192"/>
      <c r="R192"/>
      <c r="S192"/>
      <c r="T192"/>
    </row>
    <row r="193" spans="15:20" x14ac:dyDescent="0.3">
      <c r="O193"/>
      <c r="P193"/>
      <c r="Q193"/>
      <c r="R193"/>
      <c r="S193"/>
      <c r="T193"/>
    </row>
    <row r="194" spans="15:20" x14ac:dyDescent="0.3">
      <c r="O194"/>
      <c r="P194"/>
      <c r="Q194"/>
      <c r="R194"/>
      <c r="S194"/>
      <c r="T194"/>
    </row>
    <row r="195" spans="15:20" x14ac:dyDescent="0.3">
      <c r="O195"/>
      <c r="P195"/>
      <c r="Q195"/>
      <c r="R195"/>
      <c r="S195"/>
      <c r="T195"/>
    </row>
    <row r="196" spans="15:20" x14ac:dyDescent="0.3">
      <c r="O196"/>
      <c r="P196"/>
      <c r="Q196"/>
      <c r="R196"/>
      <c r="S196"/>
      <c r="T196"/>
    </row>
    <row r="197" spans="15:20" x14ac:dyDescent="0.3">
      <c r="O197"/>
      <c r="P197"/>
      <c r="Q197"/>
      <c r="R197"/>
      <c r="S197"/>
      <c r="T197"/>
    </row>
    <row r="198" spans="15:20" x14ac:dyDescent="0.3">
      <c r="O198"/>
      <c r="P198"/>
      <c r="Q198"/>
      <c r="R198"/>
      <c r="S198"/>
      <c r="T198"/>
    </row>
    <row r="199" spans="15:20" x14ac:dyDescent="0.3">
      <c r="O199"/>
      <c r="P199"/>
      <c r="Q199"/>
      <c r="R199"/>
      <c r="S199"/>
      <c r="T199"/>
    </row>
    <row r="200" spans="15:20" x14ac:dyDescent="0.3">
      <c r="O200"/>
      <c r="P200"/>
      <c r="Q200"/>
      <c r="R200"/>
      <c r="S200"/>
      <c r="T200"/>
    </row>
    <row r="201" spans="15:20" x14ac:dyDescent="0.3">
      <c r="O201"/>
      <c r="P201"/>
      <c r="Q201"/>
      <c r="R201"/>
      <c r="S201"/>
      <c r="T201"/>
    </row>
    <row r="202" spans="15:20" x14ac:dyDescent="0.3">
      <c r="O202"/>
      <c r="P202"/>
      <c r="Q202"/>
      <c r="R202"/>
      <c r="S202"/>
      <c r="T202"/>
    </row>
    <row r="203" spans="15:20" x14ac:dyDescent="0.3">
      <c r="O203"/>
      <c r="P203"/>
      <c r="Q203"/>
      <c r="R203"/>
      <c r="S203"/>
      <c r="T203"/>
    </row>
    <row r="204" spans="15:20" x14ac:dyDescent="0.3">
      <c r="O204"/>
      <c r="P204"/>
      <c r="Q204"/>
      <c r="R204"/>
      <c r="S204"/>
      <c r="T204"/>
    </row>
    <row r="205" spans="15:20" x14ac:dyDescent="0.3">
      <c r="O205"/>
      <c r="P205"/>
      <c r="Q205"/>
      <c r="R205"/>
      <c r="S205"/>
      <c r="T205"/>
    </row>
    <row r="206" spans="15:20" x14ac:dyDescent="0.3">
      <c r="O206"/>
      <c r="P206"/>
      <c r="Q206"/>
      <c r="R206"/>
      <c r="S206"/>
      <c r="T206"/>
    </row>
    <row r="207" spans="15:20" x14ac:dyDescent="0.3">
      <c r="O207"/>
      <c r="P207"/>
      <c r="Q207"/>
      <c r="R207"/>
      <c r="S207"/>
      <c r="T207"/>
    </row>
    <row r="208" spans="15:20" x14ac:dyDescent="0.3">
      <c r="O208"/>
      <c r="P208"/>
      <c r="Q208"/>
      <c r="R208"/>
      <c r="S208"/>
      <c r="T208"/>
    </row>
    <row r="209" spans="15:20" x14ac:dyDescent="0.3">
      <c r="O209"/>
      <c r="P209"/>
      <c r="Q209"/>
      <c r="R209"/>
      <c r="S209"/>
      <c r="T209"/>
    </row>
    <row r="210" spans="15:20" x14ac:dyDescent="0.3">
      <c r="O210"/>
      <c r="P210"/>
      <c r="Q210"/>
      <c r="R210"/>
      <c r="S210"/>
      <c r="T210"/>
    </row>
    <row r="211" spans="15:20" x14ac:dyDescent="0.3">
      <c r="O211"/>
      <c r="P211"/>
      <c r="Q211"/>
      <c r="R211"/>
      <c r="S211"/>
      <c r="T211"/>
    </row>
    <row r="212" spans="15:20" x14ac:dyDescent="0.3">
      <c r="O212"/>
      <c r="P212"/>
      <c r="Q212"/>
      <c r="R212"/>
      <c r="S212"/>
      <c r="T212"/>
    </row>
    <row r="213" spans="15:20" x14ac:dyDescent="0.3">
      <c r="O213"/>
      <c r="P213"/>
      <c r="Q213"/>
      <c r="R213"/>
      <c r="S213"/>
      <c r="T213"/>
    </row>
    <row r="214" spans="15:20" x14ac:dyDescent="0.3">
      <c r="O214"/>
      <c r="P214"/>
      <c r="Q214"/>
      <c r="R214"/>
      <c r="S214"/>
      <c r="T214"/>
    </row>
    <row r="215" spans="15:20" x14ac:dyDescent="0.3">
      <c r="O215"/>
      <c r="P215"/>
      <c r="Q215"/>
      <c r="R215"/>
      <c r="S215"/>
      <c r="T215"/>
    </row>
    <row r="216" spans="15:20" x14ac:dyDescent="0.3">
      <c r="O216"/>
      <c r="P216"/>
      <c r="Q216"/>
      <c r="R216"/>
      <c r="S216"/>
      <c r="T216"/>
    </row>
    <row r="217" spans="15:20" x14ac:dyDescent="0.3">
      <c r="O217"/>
      <c r="P217"/>
      <c r="Q217"/>
      <c r="R217"/>
      <c r="S217"/>
      <c r="T217"/>
    </row>
    <row r="218" spans="15:20" x14ac:dyDescent="0.3">
      <c r="O218"/>
      <c r="P218"/>
      <c r="Q218"/>
      <c r="R218"/>
      <c r="S218"/>
      <c r="T218"/>
    </row>
    <row r="219" spans="15:20" x14ac:dyDescent="0.3">
      <c r="O219"/>
      <c r="P219"/>
      <c r="Q219"/>
      <c r="R219"/>
      <c r="S219"/>
      <c r="T219"/>
    </row>
    <row r="220" spans="15:20" x14ac:dyDescent="0.3">
      <c r="O220"/>
      <c r="P220"/>
      <c r="Q220"/>
      <c r="R220"/>
      <c r="S220"/>
      <c r="T220"/>
    </row>
    <row r="221" spans="15:20" x14ac:dyDescent="0.3">
      <c r="O221"/>
      <c r="P221"/>
      <c r="Q221"/>
      <c r="R221"/>
      <c r="S221"/>
      <c r="T221"/>
    </row>
    <row r="222" spans="15:20" x14ac:dyDescent="0.3">
      <c r="O222"/>
      <c r="P222"/>
      <c r="Q222"/>
      <c r="R222"/>
      <c r="S222"/>
      <c r="T222"/>
    </row>
    <row r="223" spans="15:20" x14ac:dyDescent="0.3">
      <c r="O223"/>
      <c r="P223"/>
      <c r="Q223"/>
      <c r="R223"/>
      <c r="S223"/>
      <c r="T223"/>
    </row>
    <row r="224" spans="15:20" x14ac:dyDescent="0.3">
      <c r="O224"/>
      <c r="P224"/>
      <c r="Q224"/>
      <c r="R224"/>
      <c r="S224"/>
      <c r="T224"/>
    </row>
    <row r="225" spans="15:20" x14ac:dyDescent="0.3">
      <c r="O225"/>
      <c r="P225"/>
      <c r="Q225"/>
      <c r="R225"/>
      <c r="S225"/>
      <c r="T225"/>
    </row>
    <row r="226" spans="15:20" x14ac:dyDescent="0.3">
      <c r="O226"/>
      <c r="P226"/>
      <c r="Q226"/>
      <c r="R226"/>
      <c r="S226"/>
      <c r="T226"/>
    </row>
    <row r="227" spans="15:20" x14ac:dyDescent="0.3">
      <c r="O227"/>
      <c r="P227"/>
      <c r="Q227"/>
      <c r="R227"/>
      <c r="S227"/>
      <c r="T227"/>
    </row>
    <row r="228" spans="15:20" x14ac:dyDescent="0.3">
      <c r="O228"/>
      <c r="P228"/>
      <c r="Q228"/>
      <c r="R228"/>
      <c r="S228"/>
      <c r="T228"/>
    </row>
    <row r="229" spans="15:20" x14ac:dyDescent="0.3">
      <c r="O229"/>
      <c r="P229"/>
      <c r="Q229"/>
      <c r="R229"/>
      <c r="S229"/>
      <c r="T229"/>
    </row>
    <row r="230" spans="15:20" x14ac:dyDescent="0.3">
      <c r="O230"/>
      <c r="P230"/>
      <c r="Q230"/>
      <c r="R230"/>
      <c r="S230"/>
      <c r="T230"/>
    </row>
    <row r="231" spans="15:20" x14ac:dyDescent="0.3">
      <c r="O231"/>
      <c r="P231"/>
      <c r="Q231"/>
      <c r="R231"/>
      <c r="S231"/>
      <c r="T231"/>
    </row>
    <row r="232" spans="15:20" x14ac:dyDescent="0.3">
      <c r="O232"/>
      <c r="P232"/>
      <c r="Q232"/>
      <c r="R232"/>
      <c r="S232"/>
      <c r="T232"/>
    </row>
    <row r="233" spans="15:20" x14ac:dyDescent="0.3">
      <c r="O233"/>
      <c r="P233"/>
      <c r="Q233"/>
      <c r="R233"/>
      <c r="S233"/>
      <c r="T233"/>
    </row>
    <row r="234" spans="15:20" x14ac:dyDescent="0.3">
      <c r="O234"/>
      <c r="P234"/>
      <c r="Q234"/>
      <c r="R234"/>
      <c r="S234"/>
      <c r="T234"/>
    </row>
    <row r="235" spans="15:20" x14ac:dyDescent="0.3">
      <c r="O235"/>
      <c r="P235"/>
      <c r="Q235"/>
      <c r="R235"/>
      <c r="S235"/>
      <c r="T235"/>
    </row>
    <row r="236" spans="15:20" x14ac:dyDescent="0.3">
      <c r="O236"/>
      <c r="P236"/>
      <c r="Q236"/>
      <c r="R236"/>
      <c r="S236"/>
      <c r="T236"/>
    </row>
    <row r="237" spans="15:20" x14ac:dyDescent="0.3">
      <c r="O237"/>
      <c r="P237"/>
      <c r="Q237"/>
      <c r="R237"/>
      <c r="S237"/>
      <c r="T237"/>
    </row>
    <row r="238" spans="15:20" x14ac:dyDescent="0.3">
      <c r="O238"/>
      <c r="P238"/>
      <c r="Q238"/>
      <c r="R238"/>
      <c r="S238"/>
      <c r="T238"/>
    </row>
    <row r="239" spans="15:20" x14ac:dyDescent="0.3">
      <c r="O239"/>
      <c r="P239"/>
      <c r="Q239"/>
      <c r="R239"/>
      <c r="S239"/>
      <c r="T239"/>
    </row>
    <row r="240" spans="15:20" x14ac:dyDescent="0.3">
      <c r="O240"/>
      <c r="P240"/>
      <c r="Q240"/>
      <c r="R240"/>
      <c r="S240"/>
      <c r="T240"/>
    </row>
    <row r="241" spans="15:20" x14ac:dyDescent="0.3">
      <c r="O241"/>
      <c r="P241"/>
      <c r="Q241"/>
      <c r="R241"/>
      <c r="S241"/>
      <c r="T241"/>
    </row>
    <row r="242" spans="15:20" x14ac:dyDescent="0.3">
      <c r="O242"/>
      <c r="P242"/>
      <c r="Q242"/>
      <c r="R242"/>
      <c r="S242"/>
      <c r="T242"/>
    </row>
    <row r="243" spans="15:20" x14ac:dyDescent="0.3">
      <c r="O243"/>
      <c r="P243"/>
      <c r="Q243"/>
      <c r="R243"/>
      <c r="S243"/>
      <c r="T243"/>
    </row>
    <row r="244" spans="15:20" x14ac:dyDescent="0.3">
      <c r="O244"/>
      <c r="P244"/>
      <c r="Q244"/>
      <c r="R244"/>
      <c r="S244"/>
      <c r="T244"/>
    </row>
    <row r="245" spans="15:20" x14ac:dyDescent="0.3">
      <c r="O245"/>
      <c r="P245"/>
      <c r="Q245"/>
      <c r="R245"/>
      <c r="S245"/>
      <c r="T245"/>
    </row>
    <row r="246" spans="15:20" x14ac:dyDescent="0.3">
      <c r="O246"/>
      <c r="P246"/>
      <c r="Q246"/>
      <c r="R246"/>
      <c r="S246"/>
      <c r="T246"/>
    </row>
    <row r="247" spans="15:20" x14ac:dyDescent="0.3">
      <c r="O247"/>
      <c r="P247"/>
      <c r="Q247"/>
      <c r="R247"/>
      <c r="S247"/>
      <c r="T247"/>
    </row>
    <row r="248" spans="15:20" x14ac:dyDescent="0.3">
      <c r="O248"/>
      <c r="P248"/>
      <c r="Q248"/>
      <c r="R248"/>
      <c r="S248"/>
      <c r="T248"/>
    </row>
    <row r="249" spans="15:20" x14ac:dyDescent="0.3">
      <c r="O249"/>
      <c r="P249"/>
      <c r="Q249"/>
      <c r="R249"/>
      <c r="S249"/>
      <c r="T249"/>
    </row>
    <row r="250" spans="15:20" x14ac:dyDescent="0.3">
      <c r="O250"/>
      <c r="P250"/>
      <c r="Q250"/>
      <c r="R250"/>
      <c r="S250"/>
      <c r="T250"/>
    </row>
    <row r="251" spans="15:20" x14ac:dyDescent="0.3">
      <c r="O251"/>
      <c r="P251"/>
      <c r="Q251"/>
      <c r="R251"/>
      <c r="S251"/>
      <c r="T251"/>
    </row>
    <row r="252" spans="15:20" x14ac:dyDescent="0.3">
      <c r="O252"/>
      <c r="P252"/>
      <c r="Q252"/>
      <c r="R252"/>
      <c r="S252"/>
      <c r="T252"/>
    </row>
    <row r="253" spans="15:20" x14ac:dyDescent="0.3">
      <c r="O253"/>
      <c r="P253"/>
      <c r="Q253"/>
      <c r="R253"/>
      <c r="S253"/>
      <c r="T253"/>
    </row>
    <row r="254" spans="15:20" x14ac:dyDescent="0.3">
      <c r="O254"/>
      <c r="P254"/>
      <c r="Q254"/>
      <c r="R254"/>
      <c r="S254"/>
      <c r="T254"/>
    </row>
    <row r="255" spans="15:20" x14ac:dyDescent="0.3">
      <c r="O255"/>
      <c r="P255"/>
      <c r="Q255"/>
      <c r="R255"/>
      <c r="S255"/>
      <c r="T255"/>
    </row>
    <row r="256" spans="15:20" x14ac:dyDescent="0.3">
      <c r="O256"/>
      <c r="P256"/>
      <c r="Q256"/>
      <c r="R256"/>
      <c r="S256"/>
      <c r="T256"/>
    </row>
    <row r="257" spans="15:20" x14ac:dyDescent="0.3">
      <c r="O257"/>
      <c r="P257"/>
      <c r="Q257"/>
      <c r="R257"/>
      <c r="S257"/>
      <c r="T257"/>
    </row>
    <row r="258" spans="15:20" x14ac:dyDescent="0.3">
      <c r="O258"/>
      <c r="P258"/>
      <c r="Q258"/>
      <c r="R258"/>
      <c r="S258"/>
      <c r="T258"/>
    </row>
    <row r="259" spans="15:20" x14ac:dyDescent="0.3">
      <c r="O259"/>
      <c r="P259"/>
      <c r="Q259"/>
      <c r="R259"/>
      <c r="S259"/>
      <c r="T259"/>
    </row>
    <row r="260" spans="15:20" x14ac:dyDescent="0.3">
      <c r="O260"/>
      <c r="P260"/>
      <c r="Q260"/>
      <c r="R260"/>
      <c r="S260"/>
      <c r="T260"/>
    </row>
    <row r="261" spans="15:20" x14ac:dyDescent="0.3">
      <c r="O261"/>
      <c r="P261"/>
      <c r="Q261"/>
      <c r="R261"/>
      <c r="S261"/>
      <c r="T261"/>
    </row>
    <row r="262" spans="15:20" x14ac:dyDescent="0.3">
      <c r="O262"/>
      <c r="P262"/>
      <c r="Q262"/>
      <c r="R262"/>
      <c r="S262"/>
      <c r="T262"/>
    </row>
    <row r="263" spans="15:20" x14ac:dyDescent="0.3">
      <c r="O263"/>
      <c r="P263"/>
      <c r="Q263"/>
      <c r="R263"/>
      <c r="S263"/>
      <c r="T263"/>
    </row>
    <row r="264" spans="15:20" x14ac:dyDescent="0.3">
      <c r="O264"/>
      <c r="P264"/>
      <c r="Q264"/>
      <c r="R264"/>
      <c r="S264"/>
      <c r="T264"/>
    </row>
    <row r="265" spans="15:20" x14ac:dyDescent="0.3">
      <c r="O265"/>
      <c r="P265"/>
      <c r="Q265"/>
      <c r="R265"/>
      <c r="S265"/>
      <c r="T265"/>
    </row>
    <row r="266" spans="15:20" x14ac:dyDescent="0.3">
      <c r="O266"/>
      <c r="P266"/>
      <c r="Q266"/>
      <c r="R266"/>
      <c r="S266"/>
      <c r="T266"/>
    </row>
    <row r="267" spans="15:20" x14ac:dyDescent="0.3">
      <c r="O267"/>
      <c r="P267"/>
      <c r="Q267"/>
      <c r="R267"/>
      <c r="S267"/>
      <c r="T267"/>
    </row>
    <row r="268" spans="15:20" x14ac:dyDescent="0.3">
      <c r="O268"/>
      <c r="P268"/>
      <c r="Q268"/>
      <c r="R268"/>
      <c r="S268"/>
      <c r="T268"/>
    </row>
    <row r="269" spans="15:20" x14ac:dyDescent="0.3">
      <c r="O269"/>
      <c r="P269"/>
      <c r="Q269"/>
      <c r="R269"/>
      <c r="S269"/>
      <c r="T269"/>
    </row>
    <row r="270" spans="15:20" x14ac:dyDescent="0.3">
      <c r="O270"/>
      <c r="P270"/>
      <c r="Q270"/>
      <c r="R270"/>
      <c r="S270"/>
      <c r="T270"/>
    </row>
    <row r="271" spans="15:20" x14ac:dyDescent="0.3">
      <c r="O271"/>
      <c r="P271"/>
      <c r="Q271"/>
      <c r="R271"/>
      <c r="S271"/>
      <c r="T271"/>
    </row>
    <row r="272" spans="15:20" x14ac:dyDescent="0.3">
      <c r="O272"/>
      <c r="P272"/>
      <c r="Q272"/>
      <c r="R272"/>
      <c r="S272"/>
      <c r="T272"/>
    </row>
    <row r="273" spans="15:20" x14ac:dyDescent="0.3">
      <c r="O273"/>
      <c r="P273"/>
      <c r="Q273"/>
      <c r="R273"/>
      <c r="S273"/>
      <c r="T273"/>
    </row>
    <row r="274" spans="15:20" x14ac:dyDescent="0.3">
      <c r="O274"/>
      <c r="P274"/>
      <c r="Q274"/>
      <c r="R274"/>
      <c r="S274"/>
      <c r="T274"/>
    </row>
    <row r="275" spans="15:20" x14ac:dyDescent="0.3">
      <c r="O275"/>
      <c r="P275"/>
      <c r="Q275"/>
      <c r="R275"/>
      <c r="S275"/>
      <c r="T275"/>
    </row>
    <row r="276" spans="15:20" x14ac:dyDescent="0.3">
      <c r="O276"/>
      <c r="P276"/>
      <c r="Q276"/>
      <c r="R276"/>
      <c r="S276"/>
      <c r="T276"/>
    </row>
    <row r="277" spans="15:20" x14ac:dyDescent="0.3">
      <c r="O277"/>
      <c r="P277"/>
      <c r="Q277"/>
      <c r="R277"/>
      <c r="S277"/>
      <c r="T277"/>
    </row>
    <row r="278" spans="15:20" x14ac:dyDescent="0.3">
      <c r="O278"/>
      <c r="P278"/>
      <c r="Q278"/>
      <c r="R278"/>
      <c r="S278"/>
      <c r="T278"/>
    </row>
    <row r="279" spans="15:20" x14ac:dyDescent="0.3">
      <c r="O279"/>
      <c r="P279"/>
      <c r="Q279"/>
      <c r="R279"/>
      <c r="S279"/>
      <c r="T279"/>
    </row>
    <row r="280" spans="15:20" x14ac:dyDescent="0.3">
      <c r="O280"/>
      <c r="P280"/>
      <c r="Q280"/>
      <c r="R280"/>
      <c r="S280"/>
      <c r="T280"/>
    </row>
    <row r="281" spans="15:20" x14ac:dyDescent="0.3">
      <c r="O281"/>
      <c r="P281"/>
      <c r="Q281"/>
      <c r="R281"/>
      <c r="S281"/>
      <c r="T281"/>
    </row>
    <row r="282" spans="15:20" x14ac:dyDescent="0.3">
      <c r="O282"/>
      <c r="P282"/>
      <c r="Q282"/>
      <c r="R282"/>
      <c r="S282"/>
      <c r="T282"/>
    </row>
    <row r="283" spans="15:20" x14ac:dyDescent="0.3">
      <c r="O283"/>
      <c r="P283"/>
      <c r="Q283"/>
      <c r="R283"/>
      <c r="S283"/>
      <c r="T283"/>
    </row>
    <row r="284" spans="15:20" x14ac:dyDescent="0.3">
      <c r="O284"/>
      <c r="P284"/>
      <c r="Q284"/>
      <c r="R284"/>
      <c r="S284"/>
      <c r="T284"/>
    </row>
    <row r="285" spans="15:20" x14ac:dyDescent="0.3">
      <c r="O285"/>
      <c r="P285"/>
      <c r="Q285"/>
      <c r="R285"/>
      <c r="S285"/>
      <c r="T285"/>
    </row>
    <row r="286" spans="15:20" x14ac:dyDescent="0.3">
      <c r="O286"/>
      <c r="P286"/>
      <c r="Q286"/>
      <c r="R286"/>
      <c r="S286"/>
      <c r="T286"/>
    </row>
    <row r="287" spans="15:20" x14ac:dyDescent="0.3">
      <c r="O287"/>
      <c r="P287"/>
      <c r="Q287"/>
      <c r="R287"/>
      <c r="S287"/>
      <c r="T287"/>
    </row>
    <row r="288" spans="15:20" x14ac:dyDescent="0.3">
      <c r="O288"/>
      <c r="P288"/>
      <c r="Q288"/>
      <c r="R288"/>
      <c r="S288"/>
      <c r="T288"/>
    </row>
    <row r="289" spans="15:20" x14ac:dyDescent="0.3">
      <c r="O289"/>
      <c r="P289"/>
      <c r="Q289"/>
      <c r="R289"/>
      <c r="S289"/>
      <c r="T289"/>
    </row>
    <row r="290" spans="15:20" x14ac:dyDescent="0.3">
      <c r="O290"/>
      <c r="P290"/>
      <c r="Q290"/>
      <c r="R290"/>
      <c r="S290"/>
      <c r="T290"/>
    </row>
    <row r="291" spans="15:20" x14ac:dyDescent="0.3">
      <c r="O291"/>
      <c r="P291"/>
      <c r="Q291"/>
      <c r="R291"/>
      <c r="S291"/>
      <c r="T291"/>
    </row>
    <row r="292" spans="15:20" x14ac:dyDescent="0.3">
      <c r="O292"/>
      <c r="P292"/>
      <c r="Q292"/>
      <c r="R292"/>
      <c r="S292"/>
      <c r="T292"/>
    </row>
    <row r="293" spans="15:20" x14ac:dyDescent="0.3">
      <c r="O293"/>
      <c r="P293"/>
      <c r="Q293"/>
      <c r="R293"/>
      <c r="S293"/>
      <c r="T293"/>
    </row>
    <row r="294" spans="15:20" x14ac:dyDescent="0.3">
      <c r="O294"/>
      <c r="P294"/>
      <c r="Q294"/>
      <c r="R294"/>
      <c r="S294"/>
      <c r="T294"/>
    </row>
    <row r="295" spans="15:20" x14ac:dyDescent="0.3">
      <c r="O295"/>
      <c r="P295"/>
      <c r="Q295"/>
      <c r="R295"/>
      <c r="S295"/>
      <c r="T295"/>
    </row>
    <row r="296" spans="15:20" x14ac:dyDescent="0.3">
      <c r="O296"/>
      <c r="P296"/>
      <c r="Q296"/>
      <c r="R296"/>
      <c r="S296"/>
      <c r="T296"/>
    </row>
    <row r="297" spans="15:20" x14ac:dyDescent="0.3">
      <c r="O297"/>
      <c r="P297"/>
      <c r="Q297"/>
      <c r="R297"/>
      <c r="S297"/>
      <c r="T297"/>
    </row>
    <row r="298" spans="15:20" x14ac:dyDescent="0.3">
      <c r="O298"/>
      <c r="P298"/>
      <c r="Q298"/>
      <c r="R298"/>
      <c r="S298"/>
      <c r="T298"/>
    </row>
    <row r="299" spans="15:20" x14ac:dyDescent="0.3">
      <c r="O299"/>
      <c r="P299"/>
      <c r="Q299"/>
      <c r="R299"/>
      <c r="S299"/>
      <c r="T299"/>
    </row>
    <row r="300" spans="15:20" x14ac:dyDescent="0.3">
      <c r="O300"/>
      <c r="P300"/>
      <c r="Q300"/>
      <c r="R300"/>
      <c r="S300"/>
      <c r="T300"/>
    </row>
    <row r="301" spans="15:20" x14ac:dyDescent="0.3">
      <c r="O301"/>
      <c r="P301"/>
      <c r="Q301"/>
      <c r="R301"/>
      <c r="S301"/>
      <c r="T301"/>
    </row>
    <row r="302" spans="15:20" x14ac:dyDescent="0.3">
      <c r="O302"/>
      <c r="P302"/>
      <c r="Q302"/>
      <c r="R302"/>
      <c r="S302"/>
      <c r="T302"/>
    </row>
    <row r="303" spans="15:20" x14ac:dyDescent="0.3">
      <c r="O303"/>
      <c r="P303"/>
      <c r="Q303"/>
      <c r="R303"/>
      <c r="S303"/>
      <c r="T303"/>
    </row>
    <row r="304" spans="15:20" x14ac:dyDescent="0.3">
      <c r="O304"/>
      <c r="P304"/>
      <c r="Q304"/>
      <c r="R304"/>
      <c r="S304"/>
      <c r="T304"/>
    </row>
    <row r="305" spans="6:6" customFormat="1" x14ac:dyDescent="0.3">
      <c r="F305" s="124"/>
    </row>
    <row r="306" spans="6:6" customFormat="1" x14ac:dyDescent="0.3">
      <c r="F306" s="124"/>
    </row>
    <row r="307" spans="6:6" customFormat="1" x14ac:dyDescent="0.3">
      <c r="F307" s="124"/>
    </row>
    <row r="308" spans="6:6" customFormat="1" x14ac:dyDescent="0.3">
      <c r="F308" s="124"/>
    </row>
    <row r="309" spans="6:6" customFormat="1" x14ac:dyDescent="0.3">
      <c r="F309" s="124"/>
    </row>
    <row r="310" spans="6:6" customFormat="1" x14ac:dyDescent="0.3">
      <c r="F310" s="124"/>
    </row>
    <row r="311" spans="6:6" customFormat="1" x14ac:dyDescent="0.3">
      <c r="F311" s="124"/>
    </row>
    <row r="312" spans="6:6" customFormat="1" x14ac:dyDescent="0.3">
      <c r="F312" s="124"/>
    </row>
    <row r="313" spans="6:6" customFormat="1" x14ac:dyDescent="0.3">
      <c r="F313" s="124"/>
    </row>
    <row r="314" spans="6:6" customFormat="1" x14ac:dyDescent="0.3">
      <c r="F314" s="124"/>
    </row>
    <row r="315" spans="6:6" customFormat="1" x14ac:dyDescent="0.3">
      <c r="F315" s="124"/>
    </row>
    <row r="316" spans="6:6" customFormat="1" x14ac:dyDescent="0.3">
      <c r="F316" s="124"/>
    </row>
    <row r="317" spans="6:6" customFormat="1" x14ac:dyDescent="0.3">
      <c r="F317" s="124"/>
    </row>
    <row r="318" spans="6:6" customFormat="1" x14ac:dyDescent="0.3">
      <c r="F318" s="124"/>
    </row>
    <row r="319" spans="6:6" customFormat="1" x14ac:dyDescent="0.3">
      <c r="F319" s="124"/>
    </row>
    <row r="320" spans="6:6" customFormat="1" x14ac:dyDescent="0.3">
      <c r="F320" s="124"/>
    </row>
    <row r="321" spans="6:6" customFormat="1" x14ac:dyDescent="0.3">
      <c r="F321" s="124"/>
    </row>
    <row r="322" spans="6:6" customFormat="1" x14ac:dyDescent="0.3">
      <c r="F322" s="124"/>
    </row>
    <row r="323" spans="6:6" customFormat="1" x14ac:dyDescent="0.3">
      <c r="F323" s="124"/>
    </row>
    <row r="324" spans="6:6" customFormat="1" x14ac:dyDescent="0.3">
      <c r="F324" s="124"/>
    </row>
    <row r="325" spans="6:6" customFormat="1" x14ac:dyDescent="0.3">
      <c r="F325" s="124"/>
    </row>
    <row r="326" spans="6:6" customFormat="1" x14ac:dyDescent="0.3">
      <c r="F326" s="124"/>
    </row>
    <row r="327" spans="6:6" customFormat="1" x14ac:dyDescent="0.3">
      <c r="F327" s="124"/>
    </row>
    <row r="328" spans="6:6" customFormat="1" x14ac:dyDescent="0.3">
      <c r="F328" s="124"/>
    </row>
    <row r="329" spans="6:6" customFormat="1" x14ac:dyDescent="0.3">
      <c r="F329" s="124"/>
    </row>
    <row r="330" spans="6:6" customFormat="1" x14ac:dyDescent="0.3">
      <c r="F330" s="124"/>
    </row>
    <row r="331" spans="6:6" customFormat="1" x14ac:dyDescent="0.3">
      <c r="F331" s="124"/>
    </row>
    <row r="332" spans="6:6" customFormat="1" x14ac:dyDescent="0.3">
      <c r="F332" s="124"/>
    </row>
    <row r="333" spans="6:6" customFormat="1" x14ac:dyDescent="0.3">
      <c r="F333" s="124"/>
    </row>
    <row r="334" spans="6:6" customFormat="1" x14ac:dyDescent="0.3">
      <c r="F334" s="124"/>
    </row>
    <row r="335" spans="6:6" customFormat="1" x14ac:dyDescent="0.3">
      <c r="F335" s="124"/>
    </row>
    <row r="336" spans="6:6" customFormat="1" x14ac:dyDescent="0.3">
      <c r="F336" s="124"/>
    </row>
    <row r="337" spans="6:6" customFormat="1" x14ac:dyDescent="0.3">
      <c r="F337" s="124"/>
    </row>
    <row r="338" spans="6:6" customFormat="1" x14ac:dyDescent="0.3">
      <c r="F338" s="124"/>
    </row>
    <row r="339" spans="6:6" customFormat="1" x14ac:dyDescent="0.3">
      <c r="F339" s="124"/>
    </row>
    <row r="340" spans="6:6" customFormat="1" x14ac:dyDescent="0.3">
      <c r="F340" s="124"/>
    </row>
    <row r="341" spans="6:6" customFormat="1" x14ac:dyDescent="0.3">
      <c r="F341" s="124"/>
    </row>
    <row r="342" spans="6:6" customFormat="1" x14ac:dyDescent="0.3">
      <c r="F342" s="124"/>
    </row>
    <row r="343" spans="6:6" customFormat="1" x14ac:dyDescent="0.3">
      <c r="F343" s="124"/>
    </row>
    <row r="344" spans="6:6" customFormat="1" x14ac:dyDescent="0.3">
      <c r="F344" s="124"/>
    </row>
    <row r="345" spans="6:6" customFormat="1" x14ac:dyDescent="0.3">
      <c r="F345" s="124"/>
    </row>
    <row r="346" spans="6:6" customFormat="1" x14ac:dyDescent="0.3">
      <c r="F346" s="124"/>
    </row>
    <row r="347" spans="6:6" customFormat="1" x14ac:dyDescent="0.3">
      <c r="F347" s="124"/>
    </row>
    <row r="348" spans="6:6" customFormat="1" x14ac:dyDescent="0.3">
      <c r="F348" s="124"/>
    </row>
    <row r="349" spans="6:6" customFormat="1" x14ac:dyDescent="0.3">
      <c r="F349" s="124"/>
    </row>
    <row r="350" spans="6:6" customFormat="1" x14ac:dyDescent="0.3">
      <c r="F350" s="124"/>
    </row>
    <row r="351" spans="6:6" customFormat="1" x14ac:dyDescent="0.3">
      <c r="F351" s="124"/>
    </row>
    <row r="352" spans="6:6" customFormat="1" x14ac:dyDescent="0.3">
      <c r="F352" s="124"/>
    </row>
    <row r="353" spans="6:6" customFormat="1" x14ac:dyDescent="0.3">
      <c r="F353" s="124"/>
    </row>
    <row r="354" spans="6:6" customFormat="1" x14ac:dyDescent="0.3">
      <c r="F354" s="124"/>
    </row>
    <row r="355" spans="6:6" customFormat="1" x14ac:dyDescent="0.3">
      <c r="F355" s="124"/>
    </row>
    <row r="356" spans="6:6" customFormat="1" x14ac:dyDescent="0.3">
      <c r="F356" s="124"/>
    </row>
    <row r="357" spans="6:6" customFormat="1" x14ac:dyDescent="0.3">
      <c r="F357" s="124"/>
    </row>
    <row r="358" spans="6:6" customFormat="1" x14ac:dyDescent="0.3">
      <c r="F358" s="124"/>
    </row>
    <row r="359" spans="6:6" customFormat="1" x14ac:dyDescent="0.3">
      <c r="F359" s="124"/>
    </row>
    <row r="360" spans="6:6" customFormat="1" x14ac:dyDescent="0.3">
      <c r="F360" s="124"/>
    </row>
    <row r="361" spans="6:6" customFormat="1" x14ac:dyDescent="0.3">
      <c r="F361" s="124"/>
    </row>
    <row r="362" spans="6:6" customFormat="1" x14ac:dyDescent="0.3">
      <c r="F362" s="124"/>
    </row>
    <row r="363" spans="6:6" customFormat="1" x14ac:dyDescent="0.3">
      <c r="F363" s="124"/>
    </row>
    <row r="364" spans="6:6" customFormat="1" x14ac:dyDescent="0.3">
      <c r="F364" s="124"/>
    </row>
    <row r="365" spans="6:6" customFormat="1" x14ac:dyDescent="0.3">
      <c r="F365" s="124"/>
    </row>
    <row r="366" spans="6:6" customFormat="1" x14ac:dyDescent="0.3">
      <c r="F366" s="124"/>
    </row>
    <row r="367" spans="6:6" customFormat="1" x14ac:dyDescent="0.3">
      <c r="F367" s="124"/>
    </row>
    <row r="368" spans="6:6" customFormat="1" x14ac:dyDescent="0.3">
      <c r="F368" s="124"/>
    </row>
    <row r="369" spans="6:6" customFormat="1" x14ac:dyDescent="0.3">
      <c r="F369" s="124"/>
    </row>
    <row r="370" spans="6:6" customFormat="1" x14ac:dyDescent="0.3">
      <c r="F370" s="124"/>
    </row>
    <row r="371" spans="6:6" customFormat="1" x14ac:dyDescent="0.3">
      <c r="F371" s="124"/>
    </row>
    <row r="372" spans="6:6" customFormat="1" x14ac:dyDescent="0.3">
      <c r="F372" s="124"/>
    </row>
    <row r="373" spans="6:6" customFormat="1" x14ac:dyDescent="0.3">
      <c r="F373" s="124"/>
    </row>
    <row r="374" spans="6:6" customFormat="1" x14ac:dyDescent="0.3">
      <c r="F374" s="124"/>
    </row>
    <row r="375" spans="6:6" customFormat="1" x14ac:dyDescent="0.3">
      <c r="F375" s="124"/>
    </row>
    <row r="376" spans="6:6" customFormat="1" x14ac:dyDescent="0.3">
      <c r="F376" s="124"/>
    </row>
    <row r="377" spans="6:6" customFormat="1" x14ac:dyDescent="0.3">
      <c r="F377" s="124"/>
    </row>
    <row r="378" spans="6:6" customFormat="1" x14ac:dyDescent="0.3">
      <c r="F378" s="124"/>
    </row>
    <row r="379" spans="6:6" customFormat="1" x14ac:dyDescent="0.3">
      <c r="F379" s="124"/>
    </row>
    <row r="380" spans="6:6" customFormat="1" x14ac:dyDescent="0.3">
      <c r="F380" s="124"/>
    </row>
    <row r="381" spans="6:6" customFormat="1" x14ac:dyDescent="0.3">
      <c r="F381" s="124"/>
    </row>
    <row r="382" spans="6:6" customFormat="1" x14ac:dyDescent="0.3">
      <c r="F382" s="124"/>
    </row>
    <row r="383" spans="6:6" customFormat="1" x14ac:dyDescent="0.3">
      <c r="F383" s="124"/>
    </row>
    <row r="384" spans="6:6" customFormat="1" x14ac:dyDescent="0.3">
      <c r="F384" s="124"/>
    </row>
    <row r="385" spans="6:6" customFormat="1" x14ac:dyDescent="0.3">
      <c r="F385" s="124"/>
    </row>
    <row r="386" spans="6:6" customFormat="1" x14ac:dyDescent="0.3">
      <c r="F386" s="124"/>
    </row>
    <row r="387" spans="6:6" customFormat="1" x14ac:dyDescent="0.3">
      <c r="F387" s="124"/>
    </row>
    <row r="388" spans="6:6" customFormat="1" x14ac:dyDescent="0.3">
      <c r="F388" s="124"/>
    </row>
    <row r="389" spans="6:6" customFormat="1" x14ac:dyDescent="0.3">
      <c r="F389" s="124"/>
    </row>
    <row r="390" spans="6:6" customFormat="1" x14ac:dyDescent="0.3">
      <c r="F390" s="124"/>
    </row>
    <row r="391" spans="6:6" customFormat="1" x14ac:dyDescent="0.3">
      <c r="F391" s="124"/>
    </row>
    <row r="392" spans="6:6" customFormat="1" x14ac:dyDescent="0.3">
      <c r="F392" s="124"/>
    </row>
    <row r="393" spans="6:6" customFormat="1" x14ac:dyDescent="0.3">
      <c r="F393" s="124"/>
    </row>
    <row r="394" spans="6:6" customFormat="1" x14ac:dyDescent="0.3">
      <c r="F394" s="124"/>
    </row>
    <row r="395" spans="6:6" customFormat="1" x14ac:dyDescent="0.3">
      <c r="F395" s="124"/>
    </row>
    <row r="396" spans="6:6" customFormat="1" x14ac:dyDescent="0.3">
      <c r="F396" s="124"/>
    </row>
    <row r="397" spans="6:6" customFormat="1" x14ac:dyDescent="0.3">
      <c r="F397" s="124"/>
    </row>
    <row r="398" spans="6:6" customFormat="1" x14ac:dyDescent="0.3">
      <c r="F398" s="124"/>
    </row>
    <row r="399" spans="6:6" customFormat="1" x14ac:dyDescent="0.3">
      <c r="F399" s="124"/>
    </row>
    <row r="400" spans="6:6" customFormat="1" x14ac:dyDescent="0.3">
      <c r="F400" s="124"/>
    </row>
    <row r="401" spans="6:6" customFormat="1" x14ac:dyDescent="0.3">
      <c r="F401" s="124"/>
    </row>
    <row r="402" spans="6:6" customFormat="1" x14ac:dyDescent="0.3">
      <c r="F402" s="124"/>
    </row>
    <row r="403" spans="6:6" customFormat="1" x14ac:dyDescent="0.3">
      <c r="F403" s="124"/>
    </row>
    <row r="404" spans="6:6" customFormat="1" x14ac:dyDescent="0.3">
      <c r="F404" s="124"/>
    </row>
    <row r="405" spans="6:6" customFormat="1" x14ac:dyDescent="0.3">
      <c r="F405" s="124"/>
    </row>
    <row r="406" spans="6:6" customFormat="1" x14ac:dyDescent="0.3">
      <c r="F406" s="124"/>
    </row>
    <row r="407" spans="6:6" customFormat="1" x14ac:dyDescent="0.3">
      <c r="F407" s="124"/>
    </row>
    <row r="408" spans="6:6" customFormat="1" x14ac:dyDescent="0.3">
      <c r="F408" s="124"/>
    </row>
    <row r="409" spans="6:6" customFormat="1" x14ac:dyDescent="0.3">
      <c r="F409" s="124"/>
    </row>
    <row r="410" spans="6:6" customFormat="1" x14ac:dyDescent="0.3">
      <c r="F410" s="124"/>
    </row>
    <row r="411" spans="6:6" customFormat="1" x14ac:dyDescent="0.3">
      <c r="F411" s="124"/>
    </row>
    <row r="412" spans="6:6" customFormat="1" x14ac:dyDescent="0.3">
      <c r="F412" s="124"/>
    </row>
    <row r="413" spans="6:6" customFormat="1" x14ac:dyDescent="0.3">
      <c r="F413" s="124"/>
    </row>
    <row r="414" spans="6:6" customFormat="1" x14ac:dyDescent="0.3">
      <c r="F414" s="124"/>
    </row>
    <row r="415" spans="6:6" customFormat="1" x14ac:dyDescent="0.3">
      <c r="F415" s="124"/>
    </row>
    <row r="416" spans="6:6" customFormat="1" x14ac:dyDescent="0.3">
      <c r="F416" s="124"/>
    </row>
    <row r="417" spans="6:6" customFormat="1" x14ac:dyDescent="0.3">
      <c r="F417" s="124"/>
    </row>
    <row r="418" spans="6:6" customFormat="1" x14ac:dyDescent="0.3">
      <c r="F418" s="124"/>
    </row>
    <row r="419" spans="6:6" customFormat="1" x14ac:dyDescent="0.3">
      <c r="F419" s="124"/>
    </row>
    <row r="420" spans="6:6" customFormat="1" x14ac:dyDescent="0.3">
      <c r="F420" s="124"/>
    </row>
    <row r="421" spans="6:6" customFormat="1" x14ac:dyDescent="0.3">
      <c r="F421" s="124"/>
    </row>
    <row r="422" spans="6:6" customFormat="1" x14ac:dyDescent="0.3">
      <c r="F422" s="124"/>
    </row>
    <row r="423" spans="6:6" customFormat="1" x14ac:dyDescent="0.3">
      <c r="F423" s="124"/>
    </row>
    <row r="424" spans="6:6" customFormat="1" x14ac:dyDescent="0.3">
      <c r="F424" s="124"/>
    </row>
    <row r="425" spans="6:6" customFormat="1" x14ac:dyDescent="0.3">
      <c r="F425" s="124"/>
    </row>
    <row r="426" spans="6:6" customFormat="1" x14ac:dyDescent="0.3">
      <c r="F426" s="124"/>
    </row>
    <row r="427" spans="6:6" customFormat="1" x14ac:dyDescent="0.3">
      <c r="F427" s="124"/>
    </row>
    <row r="428" spans="6:6" customFormat="1" x14ac:dyDescent="0.3">
      <c r="F428" s="124"/>
    </row>
    <row r="429" spans="6:6" customFormat="1" x14ac:dyDescent="0.3">
      <c r="F429" s="124"/>
    </row>
    <row r="430" spans="6:6" customFormat="1" x14ac:dyDescent="0.3">
      <c r="F430" s="124"/>
    </row>
    <row r="431" spans="6:6" customFormat="1" x14ac:dyDescent="0.3">
      <c r="F431" s="124"/>
    </row>
    <row r="432" spans="6:6" customFormat="1" x14ac:dyDescent="0.3">
      <c r="F432" s="124"/>
    </row>
    <row r="433" spans="6:6" customFormat="1" x14ac:dyDescent="0.3">
      <c r="F433" s="124"/>
    </row>
    <row r="434" spans="6:6" customFormat="1" x14ac:dyDescent="0.3">
      <c r="F434" s="124"/>
    </row>
  </sheetData>
  <sheetProtection algorithmName="SHA-512" hashValue="PnDSRFrwOw1mc2Hs6CfJfHKir8kGnlzOLWYkX4dGPL4te2D+3bznEYgY5TEWQevUT1qJQt/PYHipqfKpkFkoIQ==" saltValue="RmHTZGKilyyL8KpyOPy43g==" spinCount="100000" sheet="1" objects="1" scenarios="1"/>
  <mergeCells count="8">
    <mergeCell ref="V31:AB31"/>
    <mergeCell ref="Q32:R32"/>
    <mergeCell ref="B1:C1"/>
    <mergeCell ref="E1:F1"/>
    <mergeCell ref="C32:D32"/>
    <mergeCell ref="E32:F32"/>
    <mergeCell ref="G32:H32"/>
    <mergeCell ref="O32:P32"/>
  </mergeCells>
  <dataValidations count="2">
    <dataValidation type="list" allowBlank="1" showInputMessage="1" showErrorMessage="1" sqref="E1:F1">
      <formula1>$B$17:$B$18</formula1>
    </dataValidation>
    <dataValidation type="list" allowBlank="1" showInputMessage="1" showErrorMessage="1" sqref="B1:C1">
      <formula1>$B$12:$B$13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42:X70"/>
  <sheetViews>
    <sheetView zoomScale="80" zoomScaleNormal="80" workbookViewId="0">
      <selection activeCell="F67" sqref="F67"/>
    </sheetView>
  </sheetViews>
  <sheetFormatPr defaultColWidth="9.109375" defaultRowHeight="14.4" x14ac:dyDescent="0.3"/>
  <cols>
    <col min="1" max="16384" width="9.109375" style="9"/>
  </cols>
  <sheetData>
    <row r="42" spans="4:24" x14ac:dyDescent="0.3">
      <c r="D42" s="9" t="s">
        <v>32</v>
      </c>
      <c r="E42" s="9">
        <v>0.01</v>
      </c>
      <c r="F42" s="9">
        <v>0.02</v>
      </c>
      <c r="G42" s="9">
        <v>0.05</v>
      </c>
      <c r="H42" s="9">
        <v>0.1</v>
      </c>
      <c r="I42" s="9">
        <v>0.2</v>
      </c>
      <c r="J42" s="9">
        <v>0.5</v>
      </c>
      <c r="K42" s="9">
        <v>1</v>
      </c>
      <c r="L42" s="9">
        <v>2</v>
      </c>
      <c r="M42" s="9">
        <v>5</v>
      </c>
      <c r="N42" s="9">
        <v>10</v>
      </c>
      <c r="O42" s="9">
        <v>20</v>
      </c>
    </row>
    <row r="43" spans="4:24" x14ac:dyDescent="0.3">
      <c r="D43" s="9" t="s">
        <v>111</v>
      </c>
      <c r="E43" s="9">
        <v>0.34</v>
      </c>
      <c r="F43" s="9">
        <v>0.35</v>
      </c>
      <c r="G43" s="9">
        <v>0.36499999999999999</v>
      </c>
      <c r="H43" s="9">
        <v>0.38</v>
      </c>
      <c r="I43" s="9">
        <v>0.41</v>
      </c>
      <c r="J43" s="9">
        <v>0.45</v>
      </c>
      <c r="K43" s="9">
        <v>0.51</v>
      </c>
      <c r="L43" s="9">
        <v>0.6</v>
      </c>
      <c r="M43" s="9">
        <v>0.8</v>
      </c>
      <c r="N43" s="9">
        <v>0.98</v>
      </c>
      <c r="O43" s="9">
        <v>1.2</v>
      </c>
    </row>
    <row r="44" spans="4:24" x14ac:dyDescent="0.3">
      <c r="D44" s="9" t="s">
        <v>112</v>
      </c>
      <c r="E44" s="9">
        <v>0.08</v>
      </c>
      <c r="F44" s="9">
        <v>0.1</v>
      </c>
      <c r="G44" s="9">
        <v>0.13300000000000001</v>
      </c>
      <c r="H44" s="9">
        <v>0.2</v>
      </c>
      <c r="I44" s="9">
        <v>0.24</v>
      </c>
      <c r="J44" s="9">
        <v>0.32500000000000001</v>
      </c>
      <c r="K44" s="9">
        <v>0.4</v>
      </c>
      <c r="L44" s="9">
        <v>0.5</v>
      </c>
      <c r="M44" s="9">
        <v>0.64</v>
      </c>
      <c r="N44" s="9">
        <v>0.76</v>
      </c>
      <c r="O44" s="9">
        <v>0.98</v>
      </c>
    </row>
    <row r="45" spans="4:24" x14ac:dyDescent="0.3">
      <c r="D45" s="9" t="s">
        <v>113</v>
      </c>
      <c r="E45" s="9">
        <f>E43-E44</f>
        <v>0.26</v>
      </c>
      <c r="F45" s="9">
        <f t="shared" ref="F45:O45" si="0">F43-F44</f>
        <v>0.24999999999999997</v>
      </c>
      <c r="G45" s="9">
        <f t="shared" si="0"/>
        <v>0.23199999999999998</v>
      </c>
      <c r="H45" s="9">
        <f t="shared" si="0"/>
        <v>0.18</v>
      </c>
      <c r="I45" s="9">
        <f t="shared" si="0"/>
        <v>0.16999999999999998</v>
      </c>
      <c r="J45" s="9">
        <f t="shared" si="0"/>
        <v>0.125</v>
      </c>
      <c r="K45" s="9">
        <f t="shared" si="0"/>
        <v>0.10999999999999999</v>
      </c>
      <c r="L45" s="9">
        <f t="shared" si="0"/>
        <v>9.9999999999999978E-2</v>
      </c>
      <c r="M45" s="9">
        <f t="shared" si="0"/>
        <v>0.16000000000000003</v>
      </c>
      <c r="N45" s="9">
        <f t="shared" si="0"/>
        <v>0.21999999999999997</v>
      </c>
      <c r="O45" s="9">
        <f t="shared" si="0"/>
        <v>0.21999999999999997</v>
      </c>
    </row>
    <row r="46" spans="4:24" x14ac:dyDescent="0.3">
      <c r="E46" s="11">
        <v>0.01</v>
      </c>
      <c r="F46" s="11">
        <v>0.3</v>
      </c>
      <c r="G46" s="11">
        <f>F46</f>
        <v>0.3</v>
      </c>
      <c r="H46" s="11">
        <v>3</v>
      </c>
      <c r="I46" s="11">
        <f>H46</f>
        <v>3</v>
      </c>
      <c r="J46" s="11">
        <v>10</v>
      </c>
      <c r="K46" s="11"/>
      <c r="L46" s="11"/>
      <c r="M46" s="11"/>
      <c r="N46" s="11"/>
      <c r="O46" s="11"/>
      <c r="X46" s="12"/>
    </row>
    <row r="47" spans="4:24" x14ac:dyDescent="0.3">
      <c r="E47" s="9">
        <v>0.08</v>
      </c>
      <c r="F47" s="9">
        <v>0.20499999999999999</v>
      </c>
      <c r="G47" s="9">
        <f>F47</f>
        <v>0.20499999999999999</v>
      </c>
      <c r="H47" s="9">
        <v>0.4</v>
      </c>
      <c r="I47" s="11">
        <f>H47</f>
        <v>0.4</v>
      </c>
      <c r="J47" s="9">
        <v>0.61</v>
      </c>
    </row>
    <row r="48" spans="4:24" x14ac:dyDescent="0.3">
      <c r="E48" s="9">
        <v>25</v>
      </c>
      <c r="F48" s="9">
        <f>E48</f>
        <v>25</v>
      </c>
      <c r="G48" s="9">
        <f t="shared" ref="G48:N48" si="1">F48</f>
        <v>25</v>
      </c>
      <c r="H48" s="9">
        <f t="shared" si="1"/>
        <v>25</v>
      </c>
      <c r="I48" s="9">
        <f t="shared" si="1"/>
        <v>25</v>
      </c>
      <c r="J48" s="9">
        <f t="shared" si="1"/>
        <v>25</v>
      </c>
      <c r="K48" s="9">
        <f t="shared" si="1"/>
        <v>25</v>
      </c>
      <c r="L48" s="9">
        <f t="shared" si="1"/>
        <v>25</v>
      </c>
      <c r="M48" s="9">
        <f t="shared" si="1"/>
        <v>25</v>
      </c>
      <c r="N48" s="9">
        <f t="shared" si="1"/>
        <v>25</v>
      </c>
      <c r="O48" s="9">
        <f t="shared" ref="O48" si="2">N48</f>
        <v>25</v>
      </c>
    </row>
    <row r="49" spans="5:22" x14ac:dyDescent="0.3">
      <c r="E49" s="9">
        <f ca="1">IF(Reset=1,0.45,FORECAST(E42, OFFSET(Vd_1:Vd_3,MATCH(E42,I_Vd1:I_Vd3,1)-1,0,2), OFFSET(I_Vd1:I_Vd3,MATCH(E42,I_Vd1:I_Vd3,1)-1,0,2))+(E48-25)*vd_temp_coeff/1000)</f>
        <v>0.34</v>
      </c>
      <c r="F49" s="9">
        <f ca="1">IF(Reset=1,0.45,FORECAST(F42, OFFSET(Vd_1:Vd_3,MATCH(F42,I_Vd1:I_Vd3,1)-1,0,2), OFFSET(I_Vd1:I_Vd3,MATCH(F42,I_Vd1:I_Vd3,1)-1,0,2))+(F48-25)*vd_temp_coeff/1000)</f>
        <v>0.35</v>
      </c>
      <c r="G49" s="9">
        <f ca="1">IF(Reset=1,0.45,FORECAST(G42, OFFSET(Vd_1:Vd_3,MATCH(G42,I_Vd1:I_Vd3,1)-1,0,2), OFFSET(I_Vd1:I_Vd3,MATCH(G42,I_Vd1:I_Vd3,1)-1,0,2))+(G48-25)*vd_temp_coeff/1000)</f>
        <v>0.36499999999999999</v>
      </c>
      <c r="H49" s="9">
        <f ca="1">IF(Reset=1,0.45,FORECAST(H42, OFFSET(Vd_1:Vd_3,MATCH(H42,I_Vd1:I_Vd3,1)-1,0,2), OFFSET(I_Vd1:I_Vd3,MATCH(H42,I_Vd1:I_Vd3,1)-1,0,2))+(H48-25)*vd_temp_coeff/1000)</f>
        <v>0.38</v>
      </c>
      <c r="I49" s="9">
        <f ca="1">IF(Reset=1,0.45,FORECAST(I42, OFFSET(Vd_1:Vd_3,MATCH(I42,I_Vd1:I_Vd3,1)-1,0,2), OFFSET(I_Vd1:I_Vd3,MATCH(I42,I_Vd1:I_Vd3,1)-1,0,2))+(I48-25)*vd_temp_coeff/1000)</f>
        <v>0.41</v>
      </c>
      <c r="J49" s="9">
        <f ca="1">IF(Reset=1,0.45,FORECAST(J42, OFFSET(Vd_1:Vd_3,MATCH(J42,I_Vd1:I_Vd3,1)-1,0,2), OFFSET(I_Vd1:I_Vd3,MATCH(J42,I_Vd1:I_Vd3,1)-1,0,2))+(J48-25)*vd_temp_coeff/1000)</f>
        <v>0.45</v>
      </c>
      <c r="K49" s="9">
        <f ca="1">IF(Reset=1,0.45,FORECAST(K42, OFFSET(Vd_1:Vd_3,MATCH(K42,I_Vd1:I_Vd3,1)-1,0,2), OFFSET(I_Vd1:I_Vd3,MATCH(K42,I_Vd1:I_Vd3,1)-1,0,2))+(K48-25)*vd_temp_coeff/1000)</f>
        <v>0.51</v>
      </c>
      <c r="L49" s="9">
        <f ca="1">IF(Reset=1,0.45,FORECAST(L42, OFFSET(Vd_1:Vd_3,MATCH(L42,I_Vd1:I_Vd3,1)-1,0,2), OFFSET(I_Vd1:I_Vd3,MATCH(L42,I_Vd1:I_Vd3,1)-1,0,2))+(L48-25)*vd_temp_coeff/1000)</f>
        <v>0.6</v>
      </c>
      <c r="M49" s="9">
        <f ca="1">IF(Reset=1,0.45,FORECAST(M42, OFFSET(Vd_1:Vd_3,MATCH(M42,I_Vd1:I_Vd3,1)-1,0,2), OFFSET(I_Vd1:I_Vd3,MATCH(M42,I_Vd1:I_Vd3,1)-1,0,2))+(M48-25)*vd_temp_coeff/1000)</f>
        <v>0.8</v>
      </c>
      <c r="N49" s="9">
        <f ca="1">IF(Reset=1,0.45,FORECAST(N42, OFFSET(Vd_1:Vd_3,MATCH(N42,I_Vd1:I_Vd3,1)-1,0,2), OFFSET(I_Vd1:I_Vd3,MATCH(N42,I_Vd1:I_Vd3,1)-1,0,2))+(N48-25)*vd_temp_coeff/1000)</f>
        <v>0.97999999999999987</v>
      </c>
      <c r="O49" s="11">
        <f ca="1">IF(Reset=1,0.45,FORECAST(O42, OFFSET(Vd_1:Vd_3,MATCH(O42,I_Vd1:I_Vd3,1)-1,0,2), OFFSET(I_Vd1:I_Vd3,MATCH(O42,I_Vd1:I_Vd3,1)-1,0,2))+(O48-25)*vd_temp_coeff/1000)</f>
        <v>1.1895238095238094</v>
      </c>
      <c r="U49" s="10"/>
      <c r="V49" s="10"/>
    </row>
    <row r="50" spans="5:22" x14ac:dyDescent="0.3">
      <c r="E50" s="9">
        <v>150</v>
      </c>
      <c r="F50" s="9">
        <f>E50</f>
        <v>150</v>
      </c>
      <c r="G50" s="9">
        <f t="shared" ref="G50:O50" si="3">F50</f>
        <v>150</v>
      </c>
      <c r="H50" s="9">
        <f t="shared" si="3"/>
        <v>150</v>
      </c>
      <c r="I50" s="9">
        <f t="shared" si="3"/>
        <v>150</v>
      </c>
      <c r="J50" s="9">
        <f t="shared" si="3"/>
        <v>150</v>
      </c>
      <c r="K50" s="9">
        <f t="shared" si="3"/>
        <v>150</v>
      </c>
      <c r="L50" s="9">
        <f t="shared" si="3"/>
        <v>150</v>
      </c>
      <c r="M50" s="9">
        <f t="shared" si="3"/>
        <v>150</v>
      </c>
      <c r="N50" s="9">
        <f t="shared" si="3"/>
        <v>150</v>
      </c>
      <c r="O50" s="9">
        <f t="shared" si="3"/>
        <v>150</v>
      </c>
      <c r="U50" s="13"/>
      <c r="V50" s="13"/>
    </row>
    <row r="51" spans="5:22" x14ac:dyDescent="0.3">
      <c r="E51" s="9">
        <f ca="1">IF(Reset=1,0.45,FORECAST(E42, OFFSET(Vd_1:Vd_3,MATCH(E42,I_Vd1:I_Vd3,1)-1,0,2), OFFSET(I_Vd1:I_Vd3,MATCH(E42,I_Vd1:I_Vd3,1)-1,0,2))+(E50-25)*vd_temp_coeff/1000)</f>
        <v>0.19000000000000003</v>
      </c>
      <c r="F51" s="9">
        <f ca="1">IF(Reset=1,0.45,FORECAST(F42, OFFSET(Vd_1:Vd_3,MATCH(F42,I_Vd1:I_Vd3,1)-1,0,2), OFFSET(I_Vd1:I_Vd3,MATCH(F42,I_Vd1:I_Vd3,1)-1,0,2))+(F50-25)*vd_temp_coeff/1000)</f>
        <v>0.19999999999999998</v>
      </c>
      <c r="G51" s="9">
        <f ca="1">IF(Reset=1,0.45,FORECAST(G42, OFFSET(Vd_1:Vd_3,MATCH(G42,I_Vd1:I_Vd3,1)-1,0,2), OFFSET(I_Vd1:I_Vd3,MATCH(G42,I_Vd1:I_Vd3,1)-1,0,2))+(G50-25)*vd_temp_coeff/1000)</f>
        <v>0.215</v>
      </c>
      <c r="H51" s="9">
        <f ca="1">IF(Reset=1,0.45,FORECAST(H42, OFFSET(Vd_1:Vd_3,MATCH(H42,I_Vd1:I_Vd3,1)-1,0,2), OFFSET(I_Vd1:I_Vd3,MATCH(H42,I_Vd1:I_Vd3,1)-1,0,2))+(H50-25)*vd_temp_coeff/1000)</f>
        <v>0.23</v>
      </c>
      <c r="I51" s="9">
        <f ca="1">IF(Reset=1,0.45,FORECAST(I42, OFFSET(Vd_1:Vd_3,MATCH(I42,I_Vd1:I_Vd3,1)-1,0,2), OFFSET(I_Vd1:I_Vd3,MATCH(I42,I_Vd1:I_Vd3,1)-1,0,2))+(I50-25)*vd_temp_coeff/1000)</f>
        <v>0.26</v>
      </c>
      <c r="J51" s="9">
        <f ca="1">IF(Reset=1,0.45,FORECAST(J42, OFFSET(Vd_1:Vd_3,MATCH(J42,I_Vd1:I_Vd3,1)-1,0,2), OFFSET(I_Vd1:I_Vd3,MATCH(J42,I_Vd1:I_Vd3,1)-1,0,2))+(J50-25)*vd_temp_coeff/1000)</f>
        <v>0.30000000000000004</v>
      </c>
      <c r="K51" s="9">
        <f ca="1">IF(Reset=1,0.45,FORECAST(K42, OFFSET(Vd_1:Vd_3,MATCH(K42,I_Vd1:I_Vd3,1)-1,0,2), OFFSET(I_Vd1:I_Vd3,MATCH(K42,I_Vd1:I_Vd3,1)-1,0,2))+(K50-25)*vd_temp_coeff/1000)</f>
        <v>0.36</v>
      </c>
      <c r="L51" s="9">
        <f ca="1">IF(Reset=1,0.45,FORECAST(L42, OFFSET(Vd_1:Vd_3,MATCH(L42,I_Vd1:I_Vd3,1)-1,0,2), OFFSET(I_Vd1:I_Vd3,MATCH(L42,I_Vd1:I_Vd3,1)-1,0,2))+(L50-25)*vd_temp_coeff/1000)</f>
        <v>0.44999999999999996</v>
      </c>
      <c r="M51" s="9">
        <f ca="1">IF(Reset=1,0.45,FORECAST(M42, OFFSET(Vd_1:Vd_3,MATCH(M42,I_Vd1:I_Vd3,1)-1,0,2), OFFSET(I_Vd1:I_Vd3,MATCH(M42,I_Vd1:I_Vd3,1)-1,0,2))+(M50-25)*vd_temp_coeff/1000)</f>
        <v>0.65</v>
      </c>
      <c r="N51" s="9">
        <f ca="1">IF(Reset=1,0.45,FORECAST(N42, OFFSET(Vd_1:Vd_3,MATCH(N42,I_Vd1:I_Vd3,1)-1,0,2), OFFSET(I_Vd1:I_Vd3,MATCH(N42,I_Vd1:I_Vd3,1)-1,0,2))+(N50-25)*vd_temp_coeff/1000)</f>
        <v>0.82999999999999985</v>
      </c>
      <c r="O51" s="9">
        <f ca="1">IF(Reset=1,0.45,FORECAST(O42, OFFSET(Vd_1:Vd_3,MATCH(O42,I_Vd1:I_Vd3,1)-1,0,2), OFFSET(I_Vd1:I_Vd3,MATCH(O42,I_Vd1:I_Vd3,1)-1,0,2))+(O50-25)*vd_temp_coeff/1000)</f>
        <v>1.0395238095238095</v>
      </c>
      <c r="U51" s="13"/>
      <c r="V51" s="13"/>
    </row>
    <row r="52" spans="5:22" x14ac:dyDescent="0.3">
      <c r="U52" s="13"/>
      <c r="V52" s="13"/>
    </row>
    <row r="53" spans="5:22" ht="15" customHeight="1" x14ac:dyDescent="0.3"/>
    <row r="56" spans="5:22" x14ac:dyDescent="0.3">
      <c r="E56" s="307" t="s">
        <v>72</v>
      </c>
      <c r="F56" s="308"/>
      <c r="G56" s="308"/>
      <c r="H56" s="16"/>
      <c r="I56" s="307" t="s">
        <v>283</v>
      </c>
      <c r="J56" s="308"/>
      <c r="K56" s="308"/>
    </row>
    <row r="57" spans="5:22" x14ac:dyDescent="0.3">
      <c r="E57" s="17"/>
      <c r="F57" s="14" t="s">
        <v>32</v>
      </c>
      <c r="G57" s="14" t="s">
        <v>28</v>
      </c>
      <c r="H57" s="16"/>
      <c r="I57" s="17"/>
      <c r="J57" s="14" t="s">
        <v>32</v>
      </c>
      <c r="K57" s="14" t="s">
        <v>28</v>
      </c>
    </row>
    <row r="58" spans="5:22" x14ac:dyDescent="0.3">
      <c r="E58" s="17"/>
      <c r="F58" s="18">
        <v>0.01</v>
      </c>
      <c r="G58" s="18">
        <v>0.34</v>
      </c>
      <c r="H58" s="16"/>
      <c r="I58" s="17"/>
      <c r="J58" s="18">
        <v>0.01</v>
      </c>
      <c r="K58" s="18">
        <v>0.34</v>
      </c>
    </row>
    <row r="59" spans="5:22" x14ac:dyDescent="0.3">
      <c r="E59" s="16"/>
      <c r="F59" s="18">
        <v>0.02</v>
      </c>
      <c r="G59" s="18">
        <v>0.35</v>
      </c>
      <c r="H59" s="16"/>
      <c r="I59" s="16"/>
      <c r="J59" s="18">
        <v>0.02</v>
      </c>
      <c r="K59" s="18">
        <v>0.35</v>
      </c>
    </row>
    <row r="60" spans="5:22" x14ac:dyDescent="0.3">
      <c r="E60" s="16"/>
      <c r="F60" s="18">
        <v>0.05</v>
      </c>
      <c r="G60" s="18">
        <v>0.36499999999999999</v>
      </c>
      <c r="H60" s="16"/>
      <c r="I60" s="16"/>
      <c r="J60" s="18">
        <v>0.05</v>
      </c>
      <c r="K60" s="18">
        <v>0.36499999999999999</v>
      </c>
    </row>
    <row r="61" spans="5:22" x14ac:dyDescent="0.3">
      <c r="E61" s="16"/>
      <c r="F61" s="18">
        <v>0.1</v>
      </c>
      <c r="G61" s="18">
        <v>0.38</v>
      </c>
      <c r="H61" s="16"/>
      <c r="I61" s="16"/>
      <c r="J61" s="18">
        <v>0.1</v>
      </c>
      <c r="K61" s="18">
        <v>0.38</v>
      </c>
    </row>
    <row r="62" spans="5:22" x14ac:dyDescent="0.3">
      <c r="E62" s="16"/>
      <c r="F62" s="18">
        <v>0.2</v>
      </c>
      <c r="G62" s="18">
        <v>0.41</v>
      </c>
      <c r="H62" s="16"/>
      <c r="I62" s="16"/>
      <c r="J62" s="18">
        <v>0.2</v>
      </c>
      <c r="K62" s="18">
        <v>0.41</v>
      </c>
    </row>
    <row r="63" spans="5:22" x14ac:dyDescent="0.3">
      <c r="E63" s="16"/>
      <c r="F63" s="18">
        <v>0.5</v>
      </c>
      <c r="G63" s="18">
        <v>0.45</v>
      </c>
      <c r="H63" s="16"/>
      <c r="I63" s="16"/>
      <c r="J63" s="18">
        <v>0.5</v>
      </c>
      <c r="K63" s="18">
        <v>0.45</v>
      </c>
    </row>
    <row r="64" spans="5:22" x14ac:dyDescent="0.3">
      <c r="E64" s="16"/>
      <c r="F64" s="18">
        <v>1</v>
      </c>
      <c r="G64" s="18">
        <v>0.51</v>
      </c>
      <c r="H64" s="16"/>
      <c r="I64" s="16"/>
      <c r="J64" s="18">
        <v>1</v>
      </c>
      <c r="K64" s="18">
        <v>0.51</v>
      </c>
    </row>
    <row r="65" spans="5:11" x14ac:dyDescent="0.3">
      <c r="E65" s="16"/>
      <c r="F65" s="18">
        <v>2</v>
      </c>
      <c r="G65" s="18">
        <v>0.6</v>
      </c>
      <c r="H65" s="16"/>
      <c r="I65" s="16"/>
      <c r="J65" s="18">
        <v>2</v>
      </c>
      <c r="K65" s="18">
        <v>0.6</v>
      </c>
    </row>
    <row r="66" spans="5:11" x14ac:dyDescent="0.3">
      <c r="E66" s="16"/>
      <c r="F66" s="18">
        <v>5</v>
      </c>
      <c r="G66" s="18">
        <v>0.8</v>
      </c>
      <c r="H66" s="16"/>
      <c r="I66" s="16"/>
      <c r="J66" s="18">
        <v>5</v>
      </c>
      <c r="K66" s="18">
        <v>0.8</v>
      </c>
    </row>
    <row r="67" spans="5:11" x14ac:dyDescent="0.3">
      <c r="E67" s="17"/>
      <c r="F67" s="18">
        <v>10</v>
      </c>
      <c r="G67" s="18">
        <v>0.98</v>
      </c>
      <c r="H67" s="16"/>
      <c r="I67" s="17"/>
      <c r="J67" s="18">
        <v>10</v>
      </c>
      <c r="K67" s="18">
        <v>0.98</v>
      </c>
    </row>
    <row r="68" spans="5:11" x14ac:dyDescent="0.3">
      <c r="E68" s="17"/>
      <c r="F68" s="18">
        <v>20.5</v>
      </c>
      <c r="G68" s="18">
        <v>1.2</v>
      </c>
      <c r="H68" s="16"/>
      <c r="I68" s="17"/>
      <c r="J68" s="18">
        <v>20.5</v>
      </c>
      <c r="K68" s="18">
        <v>1.2</v>
      </c>
    </row>
    <row r="69" spans="5:11" x14ac:dyDescent="0.3">
      <c r="E69" s="19" t="s">
        <v>29</v>
      </c>
      <c r="F69" s="309">
        <v>-1.2</v>
      </c>
      <c r="G69" s="309"/>
      <c r="H69" s="16"/>
      <c r="I69" s="19" t="s">
        <v>29</v>
      </c>
      <c r="J69" s="309">
        <v>-1</v>
      </c>
      <c r="K69" s="309"/>
    </row>
    <row r="70" spans="5:11" ht="15.6" x14ac:dyDescent="0.3">
      <c r="E70" s="19" t="s">
        <v>31</v>
      </c>
      <c r="F70" s="310">
        <v>120</v>
      </c>
      <c r="G70" s="310"/>
      <c r="H70" s="16"/>
      <c r="I70" s="19" t="s">
        <v>31</v>
      </c>
      <c r="J70" s="310">
        <v>120</v>
      </c>
      <c r="K70" s="310"/>
    </row>
  </sheetData>
  <sheetProtection algorithmName="SHA-512" hashValue="rP9lCVKp4ezRtQkiWK3UqN6mZ2zn5hsqN4fSkJXM81m5rwlSb1Spxz/MT2t/X++FzWM+NN6cjDVX95Ybm+co5g==" saltValue="oqSDQgItL5s1u5QwJgcgNQ==" spinCount="100000" sheet="1" objects="1" scenarios="1"/>
  <mergeCells count="6">
    <mergeCell ref="E56:G56"/>
    <mergeCell ref="F69:G69"/>
    <mergeCell ref="F70:G70"/>
    <mergeCell ref="I56:K56"/>
    <mergeCell ref="J69:K69"/>
    <mergeCell ref="J70:K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162</vt:i4>
      </vt:variant>
    </vt:vector>
  </HeadingPairs>
  <TitlesOfParts>
    <vt:vector size="166" baseType="lpstr">
      <vt:lpstr>Pdiss &amp; Compensation</vt:lpstr>
      <vt:lpstr>Control Loop1</vt:lpstr>
      <vt:lpstr>Control Loop2</vt:lpstr>
      <vt:lpstr>Diode Curve</vt:lpstr>
      <vt:lpstr>Adj_buck_hi_rdsON_150</vt:lpstr>
      <vt:lpstr>Adj_buck_lo_rdsON_150</vt:lpstr>
      <vt:lpstr>AVOL_adj</vt:lpstr>
      <vt:lpstr>b_</vt:lpstr>
      <vt:lpstr>Buck_RdsON_factor_5V</vt:lpstr>
      <vt:lpstr>Buck_RdsON_factor_6V</vt:lpstr>
      <vt:lpstr>Buck_RdsON_factor_7V</vt:lpstr>
      <vt:lpstr>Co</vt:lpstr>
      <vt:lpstr>Co_2</vt:lpstr>
      <vt:lpstr>Co_tot</vt:lpstr>
      <vt:lpstr>Cp</vt:lpstr>
      <vt:lpstr>Cp_adj</vt:lpstr>
      <vt:lpstr>Cp_Cstray</vt:lpstr>
      <vt:lpstr>Cp_Cstray_adj</vt:lpstr>
      <vt:lpstr>Cstray</vt:lpstr>
      <vt:lpstr>Cstray_adj</vt:lpstr>
      <vt:lpstr>Cz</vt:lpstr>
      <vt:lpstr>Cz_2</vt:lpstr>
      <vt:lpstr>Cz_2_adj</vt:lpstr>
      <vt:lpstr>Cz_adj</vt:lpstr>
      <vt:lpstr>D_boost_min</vt:lpstr>
      <vt:lpstr>D_max_IC</vt:lpstr>
      <vt:lpstr>dcr</vt:lpstr>
      <vt:lpstr>dcr_2</vt:lpstr>
      <vt:lpstr>ESR</vt:lpstr>
      <vt:lpstr>ESR_2</vt:lpstr>
      <vt:lpstr>FB_Gain1</vt:lpstr>
      <vt:lpstr>FB_Gain2</vt:lpstr>
      <vt:lpstr>fc</vt:lpstr>
      <vt:lpstr>fc_2</vt:lpstr>
      <vt:lpstr>fp_1</vt:lpstr>
      <vt:lpstr>fp_1_2</vt:lpstr>
      <vt:lpstr>fp_2</vt:lpstr>
      <vt:lpstr>fp_2_2</vt:lpstr>
      <vt:lpstr>fsw</vt:lpstr>
      <vt:lpstr>fz_1</vt:lpstr>
      <vt:lpstr>fz_1_2</vt:lpstr>
      <vt:lpstr>Gain1_at_fco</vt:lpstr>
      <vt:lpstr>Gain2_at_fco</vt:lpstr>
      <vt:lpstr>gm_EA1</vt:lpstr>
      <vt:lpstr>gm_EA2</vt:lpstr>
      <vt:lpstr>gm_POWER1</vt:lpstr>
      <vt:lpstr>gm_POWER2</vt:lpstr>
      <vt:lpstr>gmc</vt:lpstr>
      <vt:lpstr>I_reg_ext</vt:lpstr>
      <vt:lpstr>I_step</vt:lpstr>
      <vt:lpstr>I_step2</vt:lpstr>
      <vt:lpstr>I_Vd1</vt:lpstr>
      <vt:lpstr>I_Vd1_boost</vt:lpstr>
      <vt:lpstr>I_Vd3</vt:lpstr>
      <vt:lpstr>I_Vd3_boost</vt:lpstr>
      <vt:lpstr>I_VREG_total</vt:lpstr>
      <vt:lpstr>Icc</vt:lpstr>
      <vt:lpstr>Iout_3V3</vt:lpstr>
      <vt:lpstr>Iout_PreReg</vt:lpstr>
      <vt:lpstr>Iout_sync_buck</vt:lpstr>
      <vt:lpstr>Iout_V5A</vt:lpstr>
      <vt:lpstr>Iout_V5B</vt:lpstr>
      <vt:lpstr>Iout_V5CAN</vt:lpstr>
      <vt:lpstr>Iout_V5P</vt:lpstr>
      <vt:lpstr>K</vt:lpstr>
      <vt:lpstr>K_adj</vt:lpstr>
      <vt:lpstr>k_ripple</vt:lpstr>
      <vt:lpstr>k_ripple2</vt:lpstr>
      <vt:lpstr>L_buck</vt:lpstr>
      <vt:lpstr>L_buck2</vt:lpstr>
      <vt:lpstr>Lout</vt:lpstr>
      <vt:lpstr>m_</vt:lpstr>
      <vt:lpstr>m_c</vt:lpstr>
      <vt:lpstr>mc_adj</vt:lpstr>
      <vt:lpstr>Number_Cout</vt:lpstr>
      <vt:lpstr>Number_Cout2</vt:lpstr>
      <vt:lpstr>P_5V0_LDO</vt:lpstr>
      <vt:lpstr>P_V5_LDO</vt:lpstr>
      <vt:lpstr>Pdiss_total</vt:lpstr>
      <vt:lpstr>Qp</vt:lpstr>
      <vt:lpstr>Qp_adj</vt:lpstr>
      <vt:lpstr>R_ds_ON_boost</vt:lpstr>
      <vt:lpstr>R_load</vt:lpstr>
      <vt:lpstr>R_load2</vt:lpstr>
      <vt:lpstr>RCC</vt:lpstr>
      <vt:lpstr>RCRC</vt:lpstr>
      <vt:lpstr>Rds_ON_150</vt:lpstr>
      <vt:lpstr>Rds_ON_150_6V</vt:lpstr>
      <vt:lpstr>Rds_ON_150_7V</vt:lpstr>
      <vt:lpstr>Rds_ON_25</vt:lpstr>
      <vt:lpstr>Rds_ON_3V3_150</vt:lpstr>
      <vt:lpstr>Rds_ON_3V3_min40</vt:lpstr>
      <vt:lpstr>Rds_on_coeff_150</vt:lpstr>
      <vt:lpstr>Rds_ON_min40</vt:lpstr>
      <vt:lpstr>Rds_ON_min40_6V</vt:lpstr>
      <vt:lpstr>Rds_ON_min40_7V</vt:lpstr>
      <vt:lpstr>Rds_ON_V5A_150</vt:lpstr>
      <vt:lpstr>Rds_ON_V5A_min40</vt:lpstr>
      <vt:lpstr>Rds_ON_V5B_150</vt:lpstr>
      <vt:lpstr>Rds_ON_V5B_min40</vt:lpstr>
      <vt:lpstr>Rds_ON_V5CAN_150</vt:lpstr>
      <vt:lpstr>Rds_ON_V5CAN_min40</vt:lpstr>
      <vt:lpstr>Rds_ON_V5P_150</vt:lpstr>
      <vt:lpstr>Rds_ON_V5P_min40</vt:lpstr>
      <vt:lpstr>Reset</vt:lpstr>
      <vt:lpstr>RFB_1</vt:lpstr>
      <vt:lpstr>RFB_2</vt:lpstr>
      <vt:lpstr>RFB1_adj</vt:lpstr>
      <vt:lpstr>RFB2_adj</vt:lpstr>
      <vt:lpstr>Ri</vt:lpstr>
      <vt:lpstr>Ri_adj</vt:lpstr>
      <vt:lpstr>Ro_adj</vt:lpstr>
      <vt:lpstr>Ro_EA</vt:lpstr>
      <vt:lpstr>Rth_ja</vt:lpstr>
      <vt:lpstr>RTHavg_Vd</vt:lpstr>
      <vt:lpstr>RTHavg_Vd_boost</vt:lpstr>
      <vt:lpstr>Rthj_a_boost_FET</vt:lpstr>
      <vt:lpstr>Rz</vt:lpstr>
      <vt:lpstr>Rz_2</vt:lpstr>
      <vt:lpstr>Rz_2_adj</vt:lpstr>
      <vt:lpstr>Rz_adj</vt:lpstr>
      <vt:lpstr>rz_cal</vt:lpstr>
      <vt:lpstr>Se</vt:lpstr>
      <vt:lpstr>Se_adj</vt:lpstr>
      <vt:lpstr>SLEW_rate</vt:lpstr>
      <vt:lpstr>Sn</vt:lpstr>
      <vt:lpstr>Sn_adj</vt:lpstr>
      <vt:lpstr>t_fall_boost</vt:lpstr>
      <vt:lpstr>t_off_min</vt:lpstr>
      <vt:lpstr>t_on_min_Boost</vt:lpstr>
      <vt:lpstr>t_rise_boost</vt:lpstr>
      <vt:lpstr>Ta</vt:lpstr>
      <vt:lpstr>td</vt:lpstr>
      <vt:lpstr>Tj</vt:lpstr>
      <vt:lpstr>Topology</vt:lpstr>
      <vt:lpstr>Topology1</vt:lpstr>
      <vt:lpstr>Topology2</vt:lpstr>
      <vt:lpstr>Type</vt:lpstr>
      <vt:lpstr>V_AbsMax</vt:lpstr>
      <vt:lpstr>V_transient</vt:lpstr>
      <vt:lpstr>V_transient2</vt:lpstr>
      <vt:lpstr>Vd_1</vt:lpstr>
      <vt:lpstr>Vd_1_boost</vt:lpstr>
      <vt:lpstr>Vd_3</vt:lpstr>
      <vt:lpstr>Vd_3_boost</vt:lpstr>
      <vt:lpstr>vd_boost_temp_coeff</vt:lpstr>
      <vt:lpstr>vd_temp_coeff</vt:lpstr>
      <vt:lpstr>VFB</vt:lpstr>
      <vt:lpstr>VFB_adj</vt:lpstr>
      <vt:lpstr>Vin_max</vt:lpstr>
      <vt:lpstr>Vin_min</vt:lpstr>
      <vt:lpstr>Vin_min_Buck</vt:lpstr>
      <vt:lpstr>Vin_min_transient</vt:lpstr>
      <vt:lpstr>Vin_min_transient2</vt:lpstr>
      <vt:lpstr>Vin_nom</vt:lpstr>
      <vt:lpstr>Vout_5V0</vt:lpstr>
      <vt:lpstr>Vout_sync_buck</vt:lpstr>
      <vt:lpstr>Vout_V5</vt:lpstr>
      <vt:lpstr>Vreg</vt:lpstr>
      <vt:lpstr>w_n</vt:lpstr>
      <vt:lpstr>wn</vt:lpstr>
      <vt:lpstr>wn_adj</vt:lpstr>
      <vt:lpstr>wp</vt:lpstr>
      <vt:lpstr>wp_adj</vt:lpstr>
      <vt:lpstr>wz</vt:lpstr>
      <vt:lpstr>wz_adj</vt:lpstr>
    </vt:vector>
  </TitlesOfParts>
  <Company>Allegro MicroSystems,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Allegro Employee</dc:creator>
  <cp:lastModifiedBy>Eric J Reicher</cp:lastModifiedBy>
  <dcterms:created xsi:type="dcterms:W3CDTF">2013-08-02T15:00:56Z</dcterms:created>
  <dcterms:modified xsi:type="dcterms:W3CDTF">2016-06-01T12:39:46Z</dcterms:modified>
</cp:coreProperties>
</file>