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565" windowWidth="17460" windowHeight="5610"/>
  </bookViews>
  <sheets>
    <sheet name="Component Calculator" sheetId="1" r:id="rId1"/>
  </sheets>
  <definedNames>
    <definedName name="_xlnm.Print_Area" localSheetId="0">'Component Calculator'!$A$1:$E$65</definedName>
  </definedNames>
  <calcPr calcId="145621" iterate="1"/>
</workbook>
</file>

<file path=xl/calcChain.xml><?xml version="1.0" encoding="utf-8"?>
<calcChain xmlns="http://schemas.openxmlformats.org/spreadsheetml/2006/main">
  <c r="H15" i="1" l="1"/>
  <c r="I15" i="1"/>
  <c r="J15" i="1"/>
  <c r="K15" i="1"/>
  <c r="L15" i="1"/>
  <c r="M15" i="1"/>
  <c r="N15" i="1"/>
  <c r="H16" i="1"/>
  <c r="I16" i="1"/>
  <c r="J16" i="1"/>
  <c r="K16" i="1"/>
  <c r="L16" i="1"/>
  <c r="M16" i="1"/>
  <c r="N16" i="1"/>
  <c r="H17" i="1"/>
  <c r="I17" i="1"/>
  <c r="J17" i="1"/>
  <c r="K17" i="1"/>
  <c r="L17" i="1"/>
  <c r="M17" i="1"/>
  <c r="N17" i="1"/>
  <c r="H18" i="1"/>
  <c r="I18" i="1"/>
  <c r="J18" i="1"/>
  <c r="K18" i="1"/>
  <c r="L18" i="1"/>
  <c r="M18" i="1"/>
  <c r="N18" i="1"/>
  <c r="H19" i="1"/>
  <c r="I19" i="1"/>
  <c r="J19" i="1"/>
  <c r="K19" i="1"/>
  <c r="L19" i="1"/>
  <c r="M19" i="1"/>
  <c r="N19" i="1"/>
  <c r="I14" i="1"/>
  <c r="J14" i="1"/>
  <c r="K14" i="1"/>
  <c r="L14" i="1"/>
  <c r="M14" i="1"/>
  <c r="N14" i="1"/>
  <c r="H14" i="1"/>
  <c r="H24" i="1"/>
  <c r="C29" i="1" l="1"/>
  <c r="C30" i="1" s="1"/>
  <c r="C31" i="1" s="1"/>
  <c r="N55" i="1"/>
  <c r="M55" i="1"/>
  <c r="L55" i="1"/>
  <c r="K55" i="1"/>
  <c r="J55" i="1"/>
  <c r="I55" i="1"/>
  <c r="H55" i="1"/>
  <c r="N54" i="1"/>
  <c r="M54" i="1"/>
  <c r="L54" i="1"/>
  <c r="K54" i="1"/>
  <c r="J54" i="1"/>
  <c r="I54" i="1"/>
  <c r="H54" i="1"/>
  <c r="N53" i="1"/>
  <c r="M53" i="1"/>
  <c r="L53" i="1"/>
  <c r="K53" i="1"/>
  <c r="J53" i="1"/>
  <c r="I53" i="1"/>
  <c r="H53" i="1"/>
  <c r="N52" i="1"/>
  <c r="M52" i="1"/>
  <c r="L52" i="1"/>
  <c r="K52" i="1"/>
  <c r="J52" i="1"/>
  <c r="I52" i="1"/>
  <c r="H52" i="1"/>
  <c r="N51" i="1"/>
  <c r="M51" i="1"/>
  <c r="L51" i="1"/>
  <c r="K51" i="1"/>
  <c r="J51" i="1"/>
  <c r="I51" i="1"/>
  <c r="H51" i="1"/>
  <c r="N28" i="1"/>
  <c r="M28" i="1"/>
  <c r="L28" i="1"/>
  <c r="K28" i="1"/>
  <c r="J28" i="1"/>
  <c r="I28" i="1"/>
  <c r="H28" i="1"/>
  <c r="N27" i="1"/>
  <c r="M27" i="1"/>
  <c r="L27" i="1"/>
  <c r="K27" i="1"/>
  <c r="J27" i="1"/>
  <c r="I27" i="1"/>
  <c r="H27" i="1"/>
  <c r="N26" i="1"/>
  <c r="M26" i="1"/>
  <c r="L26" i="1"/>
  <c r="K26" i="1"/>
  <c r="J26" i="1"/>
  <c r="I26" i="1"/>
  <c r="H26" i="1"/>
  <c r="N25" i="1"/>
  <c r="M25" i="1"/>
  <c r="L25" i="1"/>
  <c r="K25" i="1"/>
  <c r="J25" i="1"/>
  <c r="I25" i="1"/>
  <c r="H25" i="1"/>
  <c r="N24" i="1"/>
  <c r="M24" i="1"/>
  <c r="L24" i="1"/>
  <c r="K24" i="1"/>
  <c r="J24" i="1"/>
  <c r="I24" i="1"/>
  <c r="C26" i="1"/>
  <c r="C22" i="1"/>
  <c r="C20" i="1"/>
  <c r="C53" i="1" l="1"/>
  <c r="C54" i="1" s="1"/>
  <c r="C21" i="1"/>
  <c r="C32" i="1" s="1"/>
  <c r="A33" i="1" s="1"/>
  <c r="A44" i="1"/>
  <c r="C28" i="1"/>
  <c r="C58" i="1"/>
  <c r="C64" i="1"/>
  <c r="C43" i="1"/>
  <c r="C36" i="1" l="1"/>
  <c r="C34" i="1"/>
  <c r="A35" i="1" s="1"/>
  <c r="C55" i="1"/>
  <c r="C44" i="1"/>
  <c r="C37" i="1" l="1"/>
  <c r="C38" i="1" s="1"/>
  <c r="C56" i="1"/>
  <c r="C61" i="1"/>
  <c r="A45" i="1" l="1"/>
  <c r="C39" i="1"/>
  <c r="C45" i="1"/>
  <c r="C46" i="1" s="1"/>
  <c r="C40" i="1"/>
  <c r="A41" i="1" s="1"/>
  <c r="C66" i="1"/>
  <c r="C67" i="1" s="1"/>
  <c r="C69" i="1" s="1"/>
</calcChain>
</file>

<file path=xl/comments1.xml><?xml version="1.0" encoding="utf-8"?>
<comments xmlns="http://schemas.openxmlformats.org/spreadsheetml/2006/main">
  <authors>
    <author>ptod</author>
  </authors>
  <commentList>
    <comment ref="C39" authorId="0">
      <text>
        <r>
          <rPr>
            <sz val="10"/>
            <color indexed="81"/>
            <rFont val="Tahoma"/>
            <family val="2"/>
          </rPr>
          <t xml:space="preserve">The minimum inductor current rating is the average LED current plus halve the peak current with a 20% margin added. 
</t>
        </r>
      </text>
    </comment>
  </commentList>
</comments>
</file>

<file path=xl/sharedStrings.xml><?xml version="1.0" encoding="utf-8"?>
<sst xmlns="http://schemas.openxmlformats.org/spreadsheetml/2006/main" count="185" uniqueCount="135">
  <si>
    <t>Notes:</t>
  </si>
  <si>
    <t>Description</t>
  </si>
  <si>
    <t>Unit</t>
  </si>
  <si>
    <t>Remark</t>
  </si>
  <si>
    <t>Input supply voltage</t>
  </si>
  <si>
    <t>Vin</t>
  </si>
  <si>
    <t>V</t>
  </si>
  <si>
    <t>Number of LEDs in output string</t>
  </si>
  <si>
    <t>N</t>
  </si>
  <si>
    <t>Forward voltage of each LED</t>
  </si>
  <si>
    <t>V_f</t>
  </si>
  <si>
    <t>Output LED string voltage</t>
  </si>
  <si>
    <t>Vout</t>
  </si>
  <si>
    <t>Including sense voltage of ~0.2V</t>
  </si>
  <si>
    <t>LED current required</t>
  </si>
  <si>
    <t>i_LED</t>
  </si>
  <si>
    <t>A</t>
  </si>
  <si>
    <t>Ripple current as % of average current</t>
  </si>
  <si>
    <t>%</t>
  </si>
  <si>
    <r>
      <t>A</t>
    </r>
    <r>
      <rPr>
        <sz val="8"/>
        <rFont val="Arial"/>
        <family val="2"/>
      </rPr>
      <t>pk-pk</t>
    </r>
  </si>
  <si>
    <t>Forward voltage drop of schottky diode</t>
  </si>
  <si>
    <t>Vd</t>
  </si>
  <si>
    <t>Sense resistor average voltage (typ. 0.2V)</t>
  </si>
  <si>
    <t>Vs</t>
  </si>
  <si>
    <t>LED current (A)</t>
  </si>
  <si>
    <t>uS</t>
  </si>
  <si>
    <t>Frequency selection constant</t>
  </si>
  <si>
    <t>k</t>
  </si>
  <si>
    <t>Calculated duty Cycle</t>
  </si>
  <si>
    <t>D</t>
  </si>
  <si>
    <t>D=(Vo+Vd)/(Vi+Vd)</t>
  </si>
  <si>
    <t>Calculated sense resistor value</t>
  </si>
  <si>
    <t>Rs = Vs / i_LED</t>
  </si>
  <si>
    <t>Enter preferred sense resistor value</t>
  </si>
  <si>
    <t>Rs</t>
  </si>
  <si>
    <t>Calculated LED current</t>
  </si>
  <si>
    <t>i_LED = Vs / Rs</t>
  </si>
  <si>
    <t>Desired switching frequency</t>
  </si>
  <si>
    <t>MHz</t>
  </si>
  <si>
    <t>Calculated Ton selection resistor</t>
  </si>
  <si>
    <t>kOhm</t>
  </si>
  <si>
    <t>Note: L * f * I = 30</t>
  </si>
  <si>
    <t>Enter preferred resistor value</t>
  </si>
  <si>
    <t>Ron</t>
  </si>
  <si>
    <t>Actual switching frequency</t>
  </si>
  <si>
    <t>f_sw</t>
  </si>
  <si>
    <t>Plot freq as function of current, for a given L (ripple current=20%):</t>
  </si>
  <si>
    <t>Calculated SW on-time</t>
  </si>
  <si>
    <t>Ton</t>
  </si>
  <si>
    <t>L (uH)</t>
  </si>
  <si>
    <t>Calculated SW off-time</t>
  </si>
  <si>
    <t>Toff</t>
  </si>
  <si>
    <t>Toff = 1/f_sw - Ton</t>
  </si>
  <si>
    <t>uH</t>
  </si>
  <si>
    <t>L = (Vin-Vout) * Ton / i_ripple</t>
  </si>
  <si>
    <t>L</t>
  </si>
  <si>
    <t>Calculated ripple current</t>
  </si>
  <si>
    <t>i_ripple</t>
  </si>
  <si>
    <t>Minimum inductor current rating</t>
  </si>
  <si>
    <t>i_sat</t>
  </si>
  <si>
    <t>Including 20% headroom</t>
  </si>
  <si>
    <t>V_ripple</t>
  </si>
  <si>
    <r>
      <t>V</t>
    </r>
    <r>
      <rPr>
        <sz val="8"/>
        <rFont val="Arial"/>
        <family val="2"/>
      </rPr>
      <t>pk-pk</t>
    </r>
  </si>
  <si>
    <t>Keep ripple voltage &gt;= 0.02V</t>
  </si>
  <si>
    <t>Performance summary with preferred values</t>
  </si>
  <si>
    <t>Switching frequency</t>
  </si>
  <si>
    <r>
      <t>Plot freq as function of current, for a given L (ripple current=</t>
    </r>
    <r>
      <rPr>
        <b/>
        <sz val="10"/>
        <color indexed="53"/>
        <rFont val="Arial"/>
        <family val="2"/>
      </rPr>
      <t>30%</t>
    </r>
    <r>
      <rPr>
        <sz val="10"/>
        <color indexed="53"/>
        <rFont val="Arial"/>
        <family val="2"/>
      </rPr>
      <t>):</t>
    </r>
  </si>
  <si>
    <t>typically 20-40% of i_LED</t>
  </si>
  <si>
    <t>Symbol</t>
  </si>
  <si>
    <t>Value</t>
  </si>
  <si>
    <t>Calculated inductor value</t>
  </si>
  <si>
    <t>Input Voltage</t>
  </si>
  <si>
    <t>Thermal Resistance</t>
  </si>
  <si>
    <t>R_θJA</t>
  </si>
  <si>
    <t>°C/W</t>
  </si>
  <si>
    <t>SOIC-8 pn 4-layer PCB</t>
  </si>
  <si>
    <t>from previous section</t>
  </si>
  <si>
    <t>SW on-restsiance at 25°C</t>
  </si>
  <si>
    <t>R_DSON</t>
  </si>
  <si>
    <t>0.25 typ, 0.4 max</t>
  </si>
  <si>
    <t>Resistance increase at hot</t>
  </si>
  <si>
    <t>SW Conduction Loss</t>
  </si>
  <si>
    <t>P_cond</t>
  </si>
  <si>
    <t>W</t>
  </si>
  <si>
    <t>i^2 * R * D</t>
  </si>
  <si>
    <t>SW rise time</t>
  </si>
  <si>
    <t>T_rise</t>
  </si>
  <si>
    <t>nS</t>
  </si>
  <si>
    <t>SW fall time</t>
  </si>
  <si>
    <t>T_fall</t>
  </si>
  <si>
    <t>SW switching loss</t>
  </si>
  <si>
    <t>P_sw</t>
  </si>
  <si>
    <t>Vin * iout * (t_r+t_f)/2 * f_sw</t>
  </si>
  <si>
    <t>Total Power Loss in SW</t>
  </si>
  <si>
    <t>P_total</t>
  </si>
  <si>
    <t>Temperature Rise</t>
  </si>
  <si>
    <t>delta_T</t>
  </si>
  <si>
    <t>°C</t>
  </si>
  <si>
    <t>Ambient Temp</t>
  </si>
  <si>
    <t>T_a</t>
  </si>
  <si>
    <t>T_j</t>
  </si>
  <si>
    <t>Estimated Junction Temp</t>
  </si>
  <si>
    <t>Power Loss Calculation (for IC only)</t>
  </si>
  <si>
    <t>10ns typical</t>
  </si>
  <si>
    <t>5nS typical from SW waveform</t>
  </si>
  <si>
    <t xml:space="preserve">A6217 External Component Value Calculator </t>
  </si>
  <si>
    <t>Estimated LED ripple current</t>
  </si>
  <si>
    <t>typically 0.4 - 0.7V</t>
  </si>
  <si>
    <t>freq=1 / (k * (Ron+6)) + 0.09</t>
  </si>
  <si>
    <t>Ron = 1 / ((f_sw-0.09)* k) -6</t>
  </si>
  <si>
    <t>Ton = 1/fsw * D</t>
  </si>
  <si>
    <t>Min_T_on (worst-case 0.10us)</t>
  </si>
  <si>
    <t>Min_T_off (worst-case 0.15uS)</t>
  </si>
  <si>
    <r>
      <t>40% at 100</t>
    </r>
    <r>
      <rPr>
        <sz val="10"/>
        <rFont val="Calibri"/>
        <family val="2"/>
      </rPr>
      <t>°</t>
    </r>
    <r>
      <rPr>
        <sz val="10"/>
        <rFont val="Arial"/>
        <family val="2"/>
      </rPr>
      <t>C, 60% at 125</t>
    </r>
    <r>
      <rPr>
        <sz val="10"/>
        <rFont val="Calibri"/>
        <family val="2"/>
      </rPr>
      <t>°</t>
    </r>
    <r>
      <rPr>
        <sz val="10"/>
        <rFont val="Arial"/>
        <family val="2"/>
      </rPr>
      <t>C</t>
    </r>
  </si>
  <si>
    <t>i_IN</t>
  </si>
  <si>
    <t>mA</t>
  </si>
  <si>
    <t>P_bias</t>
  </si>
  <si>
    <t>Input current for Vcc bias supply</t>
  </si>
  <si>
    <t>Power for Vcc bias supply</t>
  </si>
  <si>
    <t>Vin * i_IN</t>
  </si>
  <si>
    <t>P_cond + P_sw + P_bias</t>
  </si>
  <si>
    <t>typically 2.5mA</t>
  </si>
  <si>
    <t>Ω</t>
  </si>
  <si>
    <t>Calculated ripple voltage</t>
  </si>
  <si>
    <t>Freq (MHz)</t>
  </si>
  <si>
    <t>(Last updated Aug 30, 2016)</t>
  </si>
  <si>
    <t>1. Enter system data into white cells.</t>
  </si>
  <si>
    <r>
      <t xml:space="preserve">4. Warning messages, if any, are listed below in </t>
    </r>
    <r>
      <rPr>
        <b/>
        <sz val="10"/>
        <color rgb="FFFF0000"/>
        <rFont val="Arial"/>
        <family val="2"/>
      </rPr>
      <t>Red</t>
    </r>
  </si>
  <si>
    <t>Minimum Inductance (uH) required to keep ripple current around 20%</t>
  </si>
  <si>
    <r>
      <t>3. A performance summary is then generated (</t>
    </r>
    <r>
      <rPr>
        <sz val="10"/>
        <color rgb="FF008000"/>
        <rFont val="Arial"/>
        <family val="2"/>
      </rPr>
      <t>G</t>
    </r>
    <r>
      <rPr>
        <b/>
        <sz val="10"/>
        <color rgb="FF008000"/>
        <rFont val="Arial"/>
        <family val="2"/>
      </rPr>
      <t>reen</t>
    </r>
    <r>
      <rPr>
        <sz val="10"/>
        <color theme="0"/>
        <rFont val="Arial"/>
        <family val="2"/>
      </rPr>
      <t xml:space="preserve"> text).</t>
    </r>
  </si>
  <si>
    <r>
      <t xml:space="preserve">2. After component values are calculated, then enter preferred values into cells with </t>
    </r>
    <r>
      <rPr>
        <b/>
        <sz val="10"/>
        <color rgb="FF0000FF"/>
        <rFont val="Arial"/>
        <family val="2"/>
      </rPr>
      <t xml:space="preserve">Blue </t>
    </r>
    <r>
      <rPr>
        <sz val="10"/>
        <color theme="0"/>
        <rFont val="Arial"/>
        <family val="2"/>
      </rPr>
      <t>text</t>
    </r>
  </si>
  <si>
    <r>
      <t>k</t>
    </r>
    <r>
      <rPr>
        <b/>
        <sz val="10"/>
        <color rgb="FF0000FF"/>
        <rFont val="Calibri"/>
        <family val="2"/>
      </rPr>
      <t>Ω</t>
    </r>
  </si>
  <si>
    <t>Enter preferred inductor value, L</t>
  </si>
  <si>
    <t>Rs_cal</t>
  </si>
  <si>
    <r>
      <t>A</t>
    </r>
    <r>
      <rPr>
        <b/>
        <sz val="8"/>
        <color rgb="FF008000"/>
        <rFont val="Arial"/>
        <family val="2"/>
      </rPr>
      <t>pk-pk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</si>
</sst>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%"/>
    <numFmt numFmtId="166" formatCode="0.000"/>
    <numFmt numFmtId="167" formatCode="_-&quot;£&quot;* #,##0.00_-;\-&quot;£&quot;* #,##0.00_-;_-&quot;£&quot;* &quot;-&quot;??_-;_-@_-"/>
    <numFmt numFmtId="168" formatCode="&quot;Vin=&quot;General&quot;V&quot;"/>
    <numFmt numFmtId="169" formatCode="&quot;Vout=&quot;General&quot;V&quot;"/>
  </numFmts>
  <fonts count="2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81"/>
      <name val="Tahoma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color theme="9" tint="-0.249977111117893"/>
      <name val="Arial"/>
      <family val="2"/>
    </font>
    <font>
      <sz val="10"/>
      <color rgb="FF7030A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rgb="FF008000"/>
      <name val="Arial"/>
      <family val="2"/>
    </font>
    <font>
      <sz val="10"/>
      <color rgb="FF008000"/>
      <name val="Arial"/>
      <family val="2"/>
    </font>
    <font>
      <b/>
      <sz val="10"/>
      <color rgb="FF0000FF"/>
      <name val="Calibri"/>
      <family val="2"/>
    </font>
    <font>
      <sz val="10"/>
      <color theme="1"/>
      <name val="Arial"/>
      <family val="2"/>
    </font>
    <font>
      <b/>
      <sz val="8"/>
      <color rgb="FF008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0" fontId="10" fillId="0" borderId="0"/>
  </cellStyleXfs>
  <cellXfs count="179">
    <xf numFmtId="0" fontId="0" fillId="0" borderId="0" xfId="0"/>
    <xf numFmtId="0" fontId="14" fillId="3" borderId="0" xfId="0" applyFont="1" applyFill="1" applyProtection="1"/>
    <xf numFmtId="0" fontId="0" fillId="3" borderId="0" xfId="0" applyFill="1" applyProtection="1"/>
    <xf numFmtId="0" fontId="2" fillId="3" borderId="0" xfId="0" applyFont="1" applyFill="1" applyProtection="1"/>
    <xf numFmtId="0" fontId="11" fillId="3" borderId="0" xfId="0" applyFont="1" applyFill="1" applyProtection="1"/>
    <xf numFmtId="0" fontId="1" fillId="3" borderId="0" xfId="0" applyFont="1" applyFill="1" applyProtection="1"/>
    <xf numFmtId="0" fontId="0" fillId="3" borderId="1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2" fontId="0" fillId="3" borderId="5" xfId="0" applyNumberFormat="1" applyFill="1" applyBorder="1" applyAlignment="1" applyProtection="1">
      <alignment horizontal="center"/>
    </xf>
    <xf numFmtId="2" fontId="0" fillId="3" borderId="6" xfId="0" applyNumberFormat="1" applyFill="1" applyBorder="1" applyAlignment="1" applyProtection="1">
      <alignment horizontal="center"/>
    </xf>
    <xf numFmtId="2" fontId="0" fillId="3" borderId="7" xfId="0" applyNumberForma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>
      <alignment horizontal="center"/>
    </xf>
    <xf numFmtId="2" fontId="0" fillId="3" borderId="0" xfId="0" applyNumberFormat="1" applyFill="1" applyBorder="1" applyAlignment="1" applyProtection="1">
      <alignment horizontal="center"/>
    </xf>
    <xf numFmtId="2" fontId="0" fillId="3" borderId="10" xfId="0" applyNumberFormat="1" applyFill="1" applyBorder="1" applyAlignment="1" applyProtection="1">
      <alignment horizontal="center"/>
    </xf>
    <xf numFmtId="2" fontId="0" fillId="3" borderId="12" xfId="0" applyNumberFormat="1" applyFill="1" applyBorder="1" applyAlignment="1" applyProtection="1">
      <alignment horizontal="center"/>
    </xf>
    <xf numFmtId="2" fontId="0" fillId="3" borderId="13" xfId="0" applyNumberFormat="1" applyFill="1" applyBorder="1" applyAlignment="1" applyProtection="1">
      <alignment horizontal="center"/>
    </xf>
    <xf numFmtId="2" fontId="0" fillId="3" borderId="14" xfId="0" applyNumberFormat="1" applyFill="1" applyBorder="1" applyAlignment="1" applyProtection="1">
      <alignment horizontal="center"/>
    </xf>
    <xf numFmtId="1" fontId="0" fillId="3" borderId="0" xfId="0" applyNumberFormat="1" applyFill="1" applyAlignment="1" applyProtection="1">
      <alignment horizontal="right"/>
    </xf>
    <xf numFmtId="0" fontId="0" fillId="3" borderId="11" xfId="0" applyFill="1" applyBorder="1" applyAlignment="1" applyProtection="1">
      <alignment horizontal="center"/>
    </xf>
    <xf numFmtId="0" fontId="0" fillId="3" borderId="0" xfId="0" applyFill="1" applyBorder="1" applyProtection="1"/>
    <xf numFmtId="0" fontId="0" fillId="3" borderId="0" xfId="0" quotePrefix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5" fillId="3" borderId="0" xfId="0" applyFont="1" applyFill="1" applyBorder="1" applyAlignment="1" applyProtection="1">
      <alignment horizontal="left"/>
    </xf>
    <xf numFmtId="0" fontId="16" fillId="3" borderId="0" xfId="0" applyFont="1" applyFill="1" applyBorder="1" applyAlignment="1" applyProtection="1">
      <alignment horizontal="left"/>
    </xf>
    <xf numFmtId="0" fontId="14" fillId="3" borderId="0" xfId="0" applyFont="1" applyFill="1" applyBorder="1" applyAlignment="1" applyProtection="1">
      <alignment horizontal="left"/>
    </xf>
    <xf numFmtId="0" fontId="14" fillId="3" borderId="0" xfId="0" applyFont="1" applyFill="1" applyBorder="1" applyAlignment="1" applyProtection="1">
      <alignment horizontal="left" vertical="top" wrapText="1"/>
    </xf>
    <xf numFmtId="0" fontId="14" fillId="3" borderId="0" xfId="0" applyFont="1" applyFill="1" applyBorder="1" applyProtection="1"/>
    <xf numFmtId="0" fontId="2" fillId="3" borderId="0" xfId="0" applyFont="1" applyFill="1" applyBorder="1" applyProtection="1"/>
    <xf numFmtId="0" fontId="1" fillId="3" borderId="0" xfId="0" applyFont="1" applyFill="1" applyBorder="1" applyProtection="1"/>
    <xf numFmtId="0" fontId="0" fillId="3" borderId="0" xfId="0" applyFont="1" applyFill="1" applyBorder="1" applyProtection="1"/>
    <xf numFmtId="0" fontId="12" fillId="3" borderId="0" xfId="0" applyFont="1" applyFill="1" applyBorder="1" applyProtection="1"/>
    <xf numFmtId="167" fontId="1" fillId="3" borderId="0" xfId="1" applyFont="1" applyFill="1" applyBorder="1" applyProtection="1"/>
    <xf numFmtId="0" fontId="2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Protection="1"/>
    <xf numFmtId="0" fontId="12" fillId="3" borderId="5" xfId="0" applyFont="1" applyFill="1" applyBorder="1" applyProtection="1"/>
    <xf numFmtId="0" fontId="0" fillId="3" borderId="4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0" fontId="15" fillId="6" borderId="21" xfId="0" applyFont="1" applyFill="1" applyBorder="1" applyAlignment="1" applyProtection="1"/>
    <xf numFmtId="0" fontId="15" fillId="6" borderId="22" xfId="0" applyFont="1" applyFill="1" applyBorder="1" applyAlignment="1" applyProtection="1"/>
    <xf numFmtId="0" fontId="16" fillId="6" borderId="0" xfId="0" applyFont="1" applyFill="1" applyBorder="1" applyAlignment="1" applyProtection="1"/>
    <xf numFmtId="0" fontId="16" fillId="6" borderId="24" xfId="0" applyFont="1" applyFill="1" applyBorder="1" applyAlignment="1" applyProtection="1"/>
    <xf numFmtId="0" fontId="14" fillId="6" borderId="0" xfId="0" applyFont="1" applyFill="1" applyBorder="1" applyAlignment="1" applyProtection="1"/>
    <xf numFmtId="0" fontId="14" fillId="6" borderId="24" xfId="0" applyFont="1" applyFill="1" applyBorder="1" applyAlignment="1" applyProtection="1"/>
    <xf numFmtId="0" fontId="14" fillId="6" borderId="0" xfId="0" applyFont="1" applyFill="1" applyBorder="1" applyAlignment="1" applyProtection="1">
      <alignment vertical="top" wrapText="1"/>
    </xf>
    <xf numFmtId="0" fontId="14" fillId="6" borderId="24" xfId="0" applyFont="1" applyFill="1" applyBorder="1" applyAlignment="1" applyProtection="1">
      <alignment vertical="top" wrapText="1"/>
    </xf>
    <xf numFmtId="0" fontId="14" fillId="6" borderId="25" xfId="0" applyFont="1" applyFill="1" applyBorder="1" applyAlignment="1" applyProtection="1"/>
    <xf numFmtId="0" fontId="14" fillId="6" borderId="26" xfId="0" applyFont="1" applyFill="1" applyBorder="1" applyAlignment="1" applyProtection="1"/>
    <xf numFmtId="0" fontId="14" fillId="6" borderId="27" xfId="0" applyFont="1" applyFill="1" applyBorder="1" applyAlignment="1" applyProtection="1"/>
    <xf numFmtId="9" fontId="0" fillId="3" borderId="0" xfId="0" applyNumberFormat="1" applyFill="1" applyProtection="1"/>
    <xf numFmtId="168" fontId="1" fillId="3" borderId="0" xfId="0" applyNumberFormat="1" applyFont="1" applyFill="1" applyAlignment="1" applyProtection="1">
      <alignment horizontal="center"/>
    </xf>
    <xf numFmtId="169" fontId="0" fillId="3" borderId="0" xfId="0" applyNumberFormat="1" applyFill="1" applyAlignment="1" applyProtection="1">
      <alignment horizontal="center"/>
    </xf>
    <xf numFmtId="0" fontId="0" fillId="3" borderId="5" xfId="0" applyNumberFormat="1" applyFill="1" applyBorder="1" applyAlignment="1" applyProtection="1">
      <alignment horizontal="center"/>
    </xf>
    <xf numFmtId="0" fontId="0" fillId="3" borderId="6" xfId="0" applyNumberFormat="1" applyFill="1" applyBorder="1" applyAlignment="1" applyProtection="1">
      <alignment horizontal="center"/>
    </xf>
    <xf numFmtId="0" fontId="0" fillId="3" borderId="7" xfId="0" applyNumberFormat="1" applyFill="1" applyBorder="1" applyAlignment="1" applyProtection="1">
      <alignment horizontal="center"/>
    </xf>
    <xf numFmtId="0" fontId="0" fillId="3" borderId="9" xfId="0" applyNumberFormat="1" applyFill="1" applyBorder="1" applyAlignment="1" applyProtection="1">
      <alignment horizontal="center"/>
    </xf>
    <xf numFmtId="0" fontId="0" fillId="3" borderId="0" xfId="0" applyNumberFormat="1" applyFill="1" applyBorder="1" applyAlignment="1" applyProtection="1">
      <alignment horizontal="center"/>
    </xf>
    <xf numFmtId="0" fontId="0" fillId="3" borderId="10" xfId="0" applyNumberFormat="1" applyFill="1" applyBorder="1" applyAlignment="1" applyProtection="1">
      <alignment horizontal="center"/>
    </xf>
    <xf numFmtId="0" fontId="0" fillId="3" borderId="12" xfId="0" applyNumberFormat="1" applyFill="1" applyBorder="1" applyAlignment="1" applyProtection="1">
      <alignment horizontal="center"/>
    </xf>
    <xf numFmtId="0" fontId="0" fillId="3" borderId="13" xfId="0" applyNumberFormat="1" applyFill="1" applyBorder="1" applyAlignment="1" applyProtection="1">
      <alignment horizontal="center"/>
    </xf>
    <xf numFmtId="0" fontId="0" fillId="3" borderId="14" xfId="0" applyNumberFormat="1" applyFill="1" applyBorder="1" applyAlignment="1" applyProtection="1">
      <alignment horizontal="center"/>
    </xf>
    <xf numFmtId="0" fontId="13" fillId="5" borderId="17" xfId="0" applyFont="1" applyFill="1" applyBorder="1" applyAlignment="1" applyProtection="1">
      <alignment horizontal="center"/>
    </xf>
    <xf numFmtId="0" fontId="13" fillId="5" borderId="18" xfId="0" applyFont="1" applyFill="1" applyBorder="1" applyAlignment="1" applyProtection="1">
      <alignment horizontal="center"/>
    </xf>
    <xf numFmtId="0" fontId="13" fillId="5" borderId="19" xfId="0" applyFont="1" applyFill="1" applyBorder="1" applyAlignment="1" applyProtection="1">
      <alignment horizontal="center"/>
    </xf>
    <xf numFmtId="0" fontId="15" fillId="6" borderId="20" xfId="0" applyFont="1" applyFill="1" applyBorder="1" applyAlignment="1" applyProtection="1"/>
    <xf numFmtId="0" fontId="15" fillId="6" borderId="21" xfId="0" applyFont="1" applyFill="1" applyBorder="1" applyAlignment="1" applyProtection="1"/>
    <xf numFmtId="0" fontId="16" fillId="6" borderId="23" xfId="0" applyFont="1" applyFill="1" applyBorder="1" applyAlignment="1" applyProtection="1"/>
    <xf numFmtId="0" fontId="16" fillId="6" borderId="0" xfId="0" applyFont="1" applyFill="1" applyBorder="1" applyAlignment="1" applyProtection="1"/>
    <xf numFmtId="0" fontId="14" fillId="6" borderId="23" xfId="0" applyFont="1" applyFill="1" applyBorder="1" applyAlignment="1" applyProtection="1"/>
    <xf numFmtId="0" fontId="14" fillId="6" borderId="0" xfId="0" applyFont="1" applyFill="1" applyBorder="1" applyAlignment="1" applyProtection="1"/>
    <xf numFmtId="0" fontId="14" fillId="6" borderId="23" xfId="0" applyFont="1" applyFill="1" applyBorder="1" applyAlignment="1" applyProtection="1">
      <alignment vertical="top" wrapText="1"/>
    </xf>
    <xf numFmtId="0" fontId="14" fillId="6" borderId="0" xfId="0" applyFont="1" applyFill="1" applyBorder="1" applyAlignment="1" applyProtection="1">
      <alignment vertical="top" wrapText="1"/>
    </xf>
    <xf numFmtId="0" fontId="2" fillId="2" borderId="28" xfId="0" applyFont="1" applyFill="1" applyBorder="1" applyAlignment="1" applyProtection="1">
      <alignment horizontal="right" vertical="center"/>
    </xf>
    <xf numFmtId="0" fontId="2" fillId="2" borderId="29" xfId="0" applyFont="1" applyFill="1" applyBorder="1" applyAlignment="1" applyProtection="1">
      <alignment horizontal="center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vertical="center"/>
    </xf>
    <xf numFmtId="0" fontId="2" fillId="2" borderId="30" xfId="0" applyFont="1" applyFill="1" applyBorder="1" applyAlignment="1" applyProtection="1">
      <alignment vertical="center"/>
    </xf>
    <xf numFmtId="0" fontId="0" fillId="4" borderId="31" xfId="0" applyFill="1" applyBorder="1" applyAlignment="1" applyProtection="1">
      <alignment horizontal="right" vertical="center"/>
    </xf>
    <xf numFmtId="0" fontId="1" fillId="4" borderId="1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right" vertical="center"/>
      <protection locked="0"/>
    </xf>
    <xf numFmtId="0" fontId="2" fillId="4" borderId="3" xfId="0" applyFont="1" applyFill="1" applyBorder="1" applyAlignment="1" applyProtection="1">
      <alignment vertical="center"/>
    </xf>
    <xf numFmtId="0" fontId="1" fillId="4" borderId="32" xfId="0" applyFont="1" applyFill="1" applyBorder="1" applyAlignment="1" applyProtection="1">
      <alignment vertical="center"/>
    </xf>
    <xf numFmtId="0" fontId="1" fillId="4" borderId="31" xfId="0" applyFont="1" applyFill="1" applyBorder="1" applyAlignment="1" applyProtection="1">
      <alignment horizontal="right" vertical="center"/>
    </xf>
    <xf numFmtId="0" fontId="0" fillId="4" borderId="31" xfId="0" applyFont="1" applyFill="1" applyBorder="1" applyAlignment="1" applyProtection="1">
      <alignment horizontal="right" vertical="center"/>
    </xf>
    <xf numFmtId="0" fontId="2" fillId="3" borderId="36" xfId="0" applyFont="1" applyFill="1" applyBorder="1" applyAlignment="1" applyProtection="1">
      <alignment horizontal="right" vertical="center"/>
      <protection locked="0"/>
    </xf>
    <xf numFmtId="0" fontId="0" fillId="4" borderId="32" xfId="0" applyFill="1" applyBorder="1" applyAlignment="1" applyProtection="1">
      <alignment vertical="center"/>
    </xf>
    <xf numFmtId="2" fontId="2" fillId="3" borderId="16" xfId="0" applyNumberFormat="1" applyFont="1" applyFill="1" applyBorder="1" applyAlignment="1" applyProtection="1">
      <alignment horizontal="right" vertical="center"/>
      <protection locked="0"/>
    </xf>
    <xf numFmtId="0" fontId="1" fillId="4" borderId="25" xfId="0" applyFont="1" applyFill="1" applyBorder="1" applyAlignment="1" applyProtection="1">
      <alignment horizontal="center" vertical="center"/>
    </xf>
    <xf numFmtId="0" fontId="1" fillId="4" borderId="26" xfId="0" applyFont="1" applyFill="1" applyBorder="1" applyAlignment="1" applyProtection="1">
      <alignment horizontal="center" vertical="center"/>
    </xf>
    <xf numFmtId="0" fontId="1" fillId="4" borderId="27" xfId="0" applyFont="1" applyFill="1" applyBorder="1" applyAlignment="1" applyProtection="1">
      <alignment horizontal="center" vertical="center"/>
    </xf>
    <xf numFmtId="0" fontId="1" fillId="7" borderId="31" xfId="0" applyFont="1" applyFill="1" applyBorder="1" applyAlignment="1" applyProtection="1">
      <alignment horizontal="right" vertical="center"/>
    </xf>
    <xf numFmtId="0" fontId="1" fillId="7" borderId="15" xfId="0" applyFont="1" applyFill="1" applyBorder="1" applyAlignment="1" applyProtection="1">
      <alignment horizontal="center" vertical="center"/>
    </xf>
    <xf numFmtId="0" fontId="0" fillId="7" borderId="15" xfId="0" applyFill="1" applyBorder="1" applyAlignment="1" applyProtection="1">
      <alignment vertical="center"/>
    </xf>
    <xf numFmtId="0" fontId="1" fillId="7" borderId="15" xfId="0" applyFont="1" applyFill="1" applyBorder="1" applyAlignment="1" applyProtection="1">
      <alignment vertical="center"/>
    </xf>
    <xf numFmtId="0" fontId="1" fillId="7" borderId="32" xfId="0" applyFont="1" applyFill="1" applyBorder="1" applyAlignment="1" applyProtection="1">
      <alignment vertical="center"/>
    </xf>
    <xf numFmtId="0" fontId="0" fillId="7" borderId="31" xfId="0" applyFill="1" applyBorder="1" applyAlignment="1" applyProtection="1">
      <alignment horizontal="right" vertical="center"/>
    </xf>
    <xf numFmtId="164" fontId="1" fillId="7" borderId="8" xfId="0" applyNumberFormat="1" applyFont="1" applyFill="1" applyBorder="1" applyAlignment="1" applyProtection="1">
      <alignment vertical="center"/>
    </xf>
    <xf numFmtId="165" fontId="1" fillId="7" borderId="15" xfId="0" applyNumberFormat="1" applyFont="1" applyFill="1" applyBorder="1" applyAlignment="1" applyProtection="1">
      <alignment vertical="center"/>
    </xf>
    <xf numFmtId="0" fontId="1" fillId="7" borderId="11" xfId="0" applyFont="1" applyFill="1" applyBorder="1" applyAlignment="1" applyProtection="1">
      <alignment vertical="center"/>
    </xf>
    <xf numFmtId="0" fontId="22" fillId="7" borderId="32" xfId="0" applyFont="1" applyFill="1" applyBorder="1" applyAlignment="1" applyProtection="1">
      <alignment vertical="center"/>
    </xf>
    <xf numFmtId="0" fontId="0" fillId="7" borderId="15" xfId="0" applyFill="1" applyBorder="1" applyAlignment="1" applyProtection="1">
      <alignment horizontal="center" vertical="center"/>
    </xf>
    <xf numFmtId="0" fontId="0" fillId="7" borderId="15" xfId="0" applyFont="1" applyFill="1" applyBorder="1" applyAlignment="1" applyProtection="1">
      <alignment vertical="center"/>
    </xf>
    <xf numFmtId="0" fontId="0" fillId="7" borderId="15" xfId="0" applyFont="1" applyFill="1" applyBorder="1" applyAlignment="1" applyProtection="1">
      <alignment horizontal="center" vertical="center"/>
    </xf>
    <xf numFmtId="166" fontId="2" fillId="7" borderId="4" xfId="0" applyNumberFormat="1" applyFont="1" applyFill="1" applyBorder="1" applyAlignment="1" applyProtection="1">
      <alignment vertical="center"/>
    </xf>
    <xf numFmtId="167" fontId="22" fillId="7" borderId="32" xfId="1" applyFont="1" applyFill="1" applyBorder="1" applyAlignment="1" applyProtection="1">
      <alignment vertical="center"/>
    </xf>
    <xf numFmtId="0" fontId="18" fillId="7" borderId="31" xfId="0" applyFont="1" applyFill="1" applyBorder="1" applyAlignment="1" applyProtection="1">
      <alignment horizontal="right" vertical="center"/>
    </xf>
    <xf numFmtId="0" fontId="18" fillId="7" borderId="1" xfId="0" applyFont="1" applyFill="1" applyBorder="1" applyAlignment="1" applyProtection="1">
      <alignment horizontal="center" vertical="center"/>
    </xf>
    <xf numFmtId="166" fontId="4" fillId="3" borderId="16" xfId="0" applyNumberFormat="1" applyFont="1" applyFill="1" applyBorder="1" applyAlignment="1" applyProtection="1">
      <alignment horizontal="right" vertical="center"/>
      <protection locked="0"/>
    </xf>
    <xf numFmtId="0" fontId="18" fillId="7" borderId="3" xfId="0" applyFont="1" applyFill="1" applyBorder="1" applyAlignment="1" applyProtection="1">
      <alignment vertical="center"/>
    </xf>
    <xf numFmtId="166" fontId="0" fillId="7" borderId="11" xfId="0" applyNumberFormat="1" applyFill="1" applyBorder="1" applyAlignment="1" applyProtection="1">
      <alignment horizontal="right" vertical="center"/>
    </xf>
    <xf numFmtId="164" fontId="2" fillId="7" borderId="4" xfId="0" applyNumberFormat="1" applyFont="1" applyFill="1" applyBorder="1" applyAlignment="1" applyProtection="1">
      <alignment vertical="center"/>
    </xf>
    <xf numFmtId="0" fontId="4" fillId="7" borderId="31" xfId="0" applyFont="1" applyFill="1" applyBorder="1" applyAlignment="1" applyProtection="1">
      <alignment horizontal="right" vertical="center"/>
    </xf>
    <xf numFmtId="164" fontId="4" fillId="3" borderId="16" xfId="0" applyNumberFormat="1" applyFont="1" applyFill="1" applyBorder="1" applyAlignment="1" applyProtection="1">
      <alignment vertical="center"/>
      <protection locked="0"/>
    </xf>
    <xf numFmtId="2" fontId="0" fillId="7" borderId="11" xfId="0" applyNumberFormat="1" applyFill="1" applyBorder="1" applyAlignment="1" applyProtection="1">
      <alignment vertical="center"/>
    </xf>
    <xf numFmtId="166" fontId="0" fillId="7" borderId="15" xfId="0" applyNumberFormat="1" applyFill="1" applyBorder="1" applyAlignment="1" applyProtection="1">
      <alignment vertical="center"/>
    </xf>
    <xf numFmtId="0" fontId="17" fillId="7" borderId="33" xfId="0" applyFont="1" applyFill="1" applyBorder="1" applyAlignment="1" applyProtection="1">
      <alignment horizontal="left" vertical="center"/>
    </xf>
    <xf numFmtId="0" fontId="17" fillId="7" borderId="2" xfId="0" applyFont="1" applyFill="1" applyBorder="1" applyAlignment="1" applyProtection="1">
      <alignment horizontal="left" vertical="center"/>
    </xf>
    <xf numFmtId="0" fontId="17" fillId="7" borderId="34" xfId="0" applyFont="1" applyFill="1" applyBorder="1" applyAlignment="1" applyProtection="1">
      <alignment horizontal="left" vertical="center"/>
    </xf>
    <xf numFmtId="166" fontId="2" fillId="7" borderId="11" xfId="0" applyNumberFormat="1" applyFont="1" applyFill="1" applyBorder="1" applyAlignment="1" applyProtection="1">
      <alignment vertical="center"/>
    </xf>
    <xf numFmtId="166" fontId="2" fillId="7" borderId="15" xfId="0" applyNumberFormat="1" applyFont="1" applyFill="1" applyBorder="1" applyAlignment="1" applyProtection="1">
      <alignment vertical="center"/>
    </xf>
    <xf numFmtId="166" fontId="1" fillId="7" borderId="15" xfId="0" applyNumberFormat="1" applyFont="1" applyFill="1" applyBorder="1" applyAlignment="1" applyProtection="1">
      <alignment vertical="center"/>
    </xf>
    <xf numFmtId="0" fontId="17" fillId="7" borderId="46" xfId="0" applyFont="1" applyFill="1" applyBorder="1" applyAlignment="1" applyProtection="1">
      <alignment horizontal="left" vertical="center"/>
    </xf>
    <xf numFmtId="0" fontId="17" fillId="7" borderId="47" xfId="0" applyFont="1" applyFill="1" applyBorder="1" applyAlignment="1" applyProtection="1">
      <alignment horizontal="left" vertical="center"/>
    </xf>
    <xf numFmtId="0" fontId="17" fillId="7" borderId="48" xfId="0" applyFont="1" applyFill="1" applyBorder="1" applyAlignment="1" applyProtection="1">
      <alignment horizontal="left" vertical="center"/>
    </xf>
    <xf numFmtId="0" fontId="2" fillId="2" borderId="44" xfId="0" applyFont="1" applyFill="1" applyBorder="1" applyAlignment="1" applyProtection="1">
      <alignment horizontal="left" vertical="center"/>
    </xf>
    <xf numFmtId="0" fontId="2" fillId="2" borderId="13" xfId="0" applyFont="1" applyFill="1" applyBorder="1" applyAlignment="1" applyProtection="1">
      <alignment horizontal="left" vertical="center"/>
    </xf>
    <xf numFmtId="0" fontId="2" fillId="2" borderId="45" xfId="0" applyFont="1" applyFill="1" applyBorder="1" applyAlignment="1" applyProtection="1">
      <alignment horizontal="left" vertical="center"/>
    </xf>
    <xf numFmtId="0" fontId="19" fillId="7" borderId="31" xfId="0" applyFont="1" applyFill="1" applyBorder="1" applyAlignment="1" applyProtection="1">
      <alignment horizontal="right" vertical="center"/>
    </xf>
    <xf numFmtId="0" fontId="19" fillId="7" borderId="15" xfId="0" applyFont="1" applyFill="1" applyBorder="1" applyAlignment="1" applyProtection="1">
      <alignment vertical="center"/>
    </xf>
    <xf numFmtId="2" fontId="19" fillId="7" borderId="15" xfId="0" applyNumberFormat="1" applyFont="1" applyFill="1" applyBorder="1" applyAlignment="1" applyProtection="1">
      <alignment vertical="center"/>
    </xf>
    <xf numFmtId="0" fontId="0" fillId="7" borderId="32" xfId="0" applyFill="1" applyBorder="1" applyAlignment="1" applyProtection="1">
      <alignment vertical="center"/>
    </xf>
    <xf numFmtId="166" fontId="19" fillId="7" borderId="15" xfId="0" applyNumberFormat="1" applyFont="1" applyFill="1" applyBorder="1" applyAlignment="1" applyProtection="1">
      <alignment vertical="center"/>
    </xf>
    <xf numFmtId="0" fontId="5" fillId="7" borderId="32" xfId="0" applyFont="1" applyFill="1" applyBorder="1" applyAlignment="1" applyProtection="1">
      <alignment vertical="center"/>
    </xf>
    <xf numFmtId="1" fontId="19" fillId="7" borderId="15" xfId="0" applyNumberFormat="1" applyFont="1" applyFill="1" applyBorder="1" applyAlignment="1" applyProtection="1">
      <alignment horizontal="right" vertical="center"/>
    </xf>
    <xf numFmtId="0" fontId="19" fillId="7" borderId="25" xfId="0" applyFont="1" applyFill="1" applyBorder="1" applyAlignment="1" applyProtection="1">
      <alignment horizontal="center" vertical="center"/>
    </xf>
    <xf numFmtId="0" fontId="19" fillId="7" borderId="26" xfId="0" applyFont="1" applyFill="1" applyBorder="1" applyAlignment="1" applyProtection="1">
      <alignment horizontal="center" vertical="center"/>
    </xf>
    <xf numFmtId="0" fontId="19" fillId="7" borderId="27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left" vertical="center"/>
    </xf>
    <xf numFmtId="0" fontId="2" fillId="2" borderId="38" xfId="0" applyFont="1" applyFill="1" applyBorder="1" applyAlignment="1" applyProtection="1">
      <alignment horizontal="left" vertical="center"/>
    </xf>
    <xf numFmtId="0" fontId="2" fillId="2" borderId="21" xfId="0" applyFont="1" applyFill="1" applyBorder="1" applyAlignment="1" applyProtection="1">
      <alignment horizontal="left" vertical="center"/>
    </xf>
    <xf numFmtId="0" fontId="2" fillId="2" borderId="39" xfId="0" applyFont="1" applyFill="1" applyBorder="1" applyAlignment="1" applyProtection="1">
      <alignment horizontal="left" vertical="center"/>
    </xf>
    <xf numFmtId="0" fontId="0" fillId="8" borderId="31" xfId="0" applyFill="1" applyBorder="1" applyAlignment="1" applyProtection="1">
      <alignment horizontal="right" vertical="center"/>
    </xf>
    <xf numFmtId="0" fontId="0" fillId="8" borderId="1" xfId="0" applyFill="1" applyBorder="1" applyAlignment="1" applyProtection="1">
      <alignment horizontal="center" vertical="center"/>
    </xf>
    <xf numFmtId="0" fontId="2" fillId="3" borderId="16" xfId="0" applyNumberFormat="1" applyFont="1" applyFill="1" applyBorder="1" applyAlignment="1" applyProtection="1">
      <alignment horizontal="right" vertical="center"/>
      <protection locked="0"/>
    </xf>
    <xf numFmtId="0" fontId="2" fillId="8" borderId="3" xfId="0" applyFont="1" applyFill="1" applyBorder="1" applyAlignment="1" applyProtection="1">
      <alignment vertical="center"/>
    </xf>
    <xf numFmtId="0" fontId="0" fillId="8" borderId="32" xfId="0" applyFill="1" applyBorder="1" applyAlignment="1" applyProtection="1">
      <alignment vertical="center"/>
    </xf>
    <xf numFmtId="9" fontId="2" fillId="3" borderId="16" xfId="0" applyNumberFormat="1" applyFont="1" applyFill="1" applyBorder="1" applyAlignment="1" applyProtection="1">
      <alignment horizontal="right" vertical="center"/>
      <protection locked="0"/>
    </xf>
    <xf numFmtId="0" fontId="1" fillId="8" borderId="15" xfId="0" applyFont="1" applyFill="1" applyBorder="1" applyAlignment="1" applyProtection="1">
      <alignment horizontal="center" vertical="center"/>
    </xf>
    <xf numFmtId="0" fontId="0" fillId="8" borderId="11" xfId="0" applyNumberFormat="1" applyFont="1" applyFill="1" applyBorder="1" applyAlignment="1" applyProtection="1">
      <alignment horizontal="right" vertical="center"/>
    </xf>
    <xf numFmtId="0" fontId="0" fillId="8" borderId="15" xfId="0" applyFill="1" applyBorder="1" applyAlignment="1" applyProtection="1">
      <alignment vertical="center"/>
    </xf>
    <xf numFmtId="0" fontId="1" fillId="8" borderId="31" xfId="0" applyFont="1" applyFill="1" applyBorder="1" applyAlignment="1" applyProtection="1">
      <alignment horizontal="right" vertical="center"/>
    </xf>
    <xf numFmtId="165" fontId="1" fillId="8" borderId="15" xfId="0" applyNumberFormat="1" applyFont="1" applyFill="1" applyBorder="1" applyAlignment="1" applyProtection="1">
      <alignment vertical="center"/>
    </xf>
    <xf numFmtId="0" fontId="1" fillId="8" borderId="32" xfId="0" applyFont="1" applyFill="1" applyBorder="1" applyAlignment="1" applyProtection="1">
      <alignment vertical="center"/>
    </xf>
    <xf numFmtId="0" fontId="0" fillId="8" borderId="15" xfId="0" applyFill="1" applyBorder="1" applyAlignment="1" applyProtection="1">
      <alignment horizontal="center" vertical="center"/>
    </xf>
    <xf numFmtId="0" fontId="0" fillId="8" borderId="15" xfId="0" applyNumberFormat="1" applyFont="1" applyFill="1" applyBorder="1" applyAlignment="1" applyProtection="1">
      <alignment horizontal="right" vertical="center"/>
    </xf>
    <xf numFmtId="2" fontId="2" fillId="8" borderId="15" xfId="0" applyNumberFormat="1" applyFont="1" applyFill="1" applyBorder="1" applyAlignment="1" applyProtection="1">
      <alignment horizontal="right" vertical="center"/>
    </xf>
    <xf numFmtId="0" fontId="0" fillId="8" borderId="33" xfId="0" applyFill="1" applyBorder="1" applyAlignment="1" applyProtection="1">
      <alignment horizontal="right" vertical="center"/>
    </xf>
    <xf numFmtId="0" fontId="0" fillId="8" borderId="2" xfId="0" applyFill="1" applyBorder="1" applyAlignment="1" applyProtection="1">
      <alignment horizontal="center" vertical="center"/>
    </xf>
    <xf numFmtId="0" fontId="0" fillId="8" borderId="2" xfId="0" applyNumberFormat="1" applyFont="1" applyFill="1" applyBorder="1" applyAlignment="1" applyProtection="1">
      <alignment horizontal="right" vertical="center"/>
    </xf>
    <xf numFmtId="0" fontId="0" fillId="8" borderId="2" xfId="0" applyFill="1" applyBorder="1" applyAlignment="1" applyProtection="1">
      <alignment vertical="center"/>
    </xf>
    <xf numFmtId="0" fontId="0" fillId="8" borderId="34" xfId="0" applyFill="1" applyBorder="1" applyAlignment="1" applyProtection="1">
      <alignment vertical="center"/>
    </xf>
    <xf numFmtId="0" fontId="0" fillId="8" borderId="15" xfId="0" applyFont="1" applyFill="1" applyBorder="1" applyAlignment="1" applyProtection="1">
      <alignment horizontal="center" vertical="center"/>
    </xf>
    <xf numFmtId="1" fontId="0" fillId="8" borderId="15" xfId="0" applyNumberFormat="1" applyFont="1" applyFill="1" applyBorder="1" applyAlignment="1" applyProtection="1">
      <alignment horizontal="right" vertical="center"/>
    </xf>
    <xf numFmtId="0" fontId="0" fillId="8" borderId="32" xfId="0" applyFont="1" applyFill="1" applyBorder="1" applyAlignment="1" applyProtection="1">
      <alignment vertical="center"/>
    </xf>
    <xf numFmtId="0" fontId="1" fillId="8" borderId="33" xfId="0" applyFont="1" applyFill="1" applyBorder="1" applyAlignment="1" applyProtection="1">
      <alignment vertical="center"/>
    </xf>
    <xf numFmtId="1" fontId="0" fillId="8" borderId="2" xfId="0" applyNumberFormat="1" applyFont="1" applyFill="1" applyBorder="1" applyAlignment="1" applyProtection="1">
      <alignment horizontal="right" vertical="center"/>
    </xf>
    <xf numFmtId="0" fontId="1" fillId="8" borderId="34" xfId="0" applyFont="1" applyFill="1" applyBorder="1" applyAlignment="1" applyProtection="1">
      <alignment vertical="center"/>
    </xf>
    <xf numFmtId="0" fontId="2" fillId="8" borderId="15" xfId="0" applyFont="1" applyFill="1" applyBorder="1" applyAlignment="1" applyProtection="1">
      <alignment vertical="center"/>
    </xf>
    <xf numFmtId="0" fontId="0" fillId="8" borderId="33" xfId="0" applyFill="1" applyBorder="1" applyAlignment="1" applyProtection="1">
      <alignment vertical="center"/>
    </xf>
    <xf numFmtId="164" fontId="0" fillId="8" borderId="4" xfId="0" applyNumberFormat="1" applyFont="1" applyFill="1" applyBorder="1" applyAlignment="1" applyProtection="1">
      <alignment horizontal="right" vertical="center"/>
    </xf>
    <xf numFmtId="0" fontId="0" fillId="8" borderId="1" xfId="0" applyFont="1" applyFill="1" applyBorder="1" applyAlignment="1" applyProtection="1">
      <alignment horizontal="center" vertical="center"/>
    </xf>
    <xf numFmtId="0" fontId="0" fillId="3" borderId="16" xfId="0" applyNumberFormat="1" applyFont="1" applyFill="1" applyBorder="1" applyAlignment="1" applyProtection="1">
      <alignment horizontal="right" vertical="center"/>
      <protection locked="0"/>
    </xf>
    <xf numFmtId="0" fontId="0" fillId="8" borderId="3" xfId="0" applyFill="1" applyBorder="1" applyAlignment="1" applyProtection="1">
      <alignment vertical="center"/>
    </xf>
    <xf numFmtId="0" fontId="0" fillId="8" borderId="40" xfId="0" applyFill="1" applyBorder="1" applyAlignment="1" applyProtection="1">
      <alignment horizontal="right" vertical="center"/>
    </xf>
    <xf numFmtId="0" fontId="0" fillId="8" borderId="41" xfId="0" applyFont="1" applyFill="1" applyBorder="1" applyAlignment="1" applyProtection="1">
      <alignment horizontal="center" vertical="center"/>
    </xf>
    <xf numFmtId="164" fontId="2" fillId="8" borderId="42" xfId="0" applyNumberFormat="1" applyFont="1" applyFill="1" applyBorder="1" applyAlignment="1" applyProtection="1">
      <alignment horizontal="right" vertical="center"/>
    </xf>
    <xf numFmtId="0" fontId="0" fillId="8" borderId="41" xfId="0" applyFill="1" applyBorder="1" applyAlignment="1" applyProtection="1">
      <alignment vertical="center"/>
    </xf>
    <xf numFmtId="0" fontId="1" fillId="8" borderId="43" xfId="0" applyFont="1" applyFill="1" applyBorder="1" applyAlignment="1" applyProtection="1">
      <alignment vertic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Minimum Switching Frequency vs. LED current</a:t>
            </a:r>
            <a:r>
              <a:rPr lang="en-US" sz="1200" baseline="0"/>
              <a:t> </a:t>
            </a:r>
          </a:p>
          <a:p>
            <a:pPr>
              <a:defRPr/>
            </a:pPr>
            <a:r>
              <a:rPr lang="en-US" sz="1200" baseline="0"/>
              <a:t>(Vin=24V, Vout=12V, ripple current=20%)</a:t>
            </a:r>
            <a:endParaRPr lang="en-US" sz="1200"/>
          </a:p>
        </c:rich>
      </c:tx>
      <c:layout>
        <c:manualLayout>
          <c:xMode val="edge"/>
          <c:yMode val="edge"/>
          <c:x val="0.1179583273483849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780796150481188"/>
          <c:y val="0.15991453812175926"/>
          <c:w val="0.68153915135608045"/>
          <c:h val="0.71285929197874665"/>
        </c:manualLayout>
      </c:layout>
      <c:scatterChart>
        <c:scatterStyle val="smoothMarker"/>
        <c:varyColors val="0"/>
        <c:ser>
          <c:idx val="4"/>
          <c:order val="0"/>
          <c:tx>
            <c:v>L=10uH</c:v>
          </c:tx>
          <c:xVal>
            <c:numRef>
              <c:f>'Component Calculator'!$H$23:$N$23</c:f>
              <c:numCache>
                <c:formatCode>General</c:formatCode>
                <c:ptCount val="7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</c:numCache>
            </c:numRef>
          </c:xVal>
          <c:yVal>
            <c:numRef>
              <c:f>'Component Calculator'!$H$28:$N$28</c:f>
              <c:numCache>
                <c:formatCode>0.00</c:formatCode>
                <c:ptCount val="7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1.5</c:v>
                </c:pt>
                <c:pt idx="5">
                  <c:v>1.2</c:v>
                </c:pt>
                <c:pt idx="6">
                  <c:v>1</c:v>
                </c:pt>
              </c:numCache>
            </c:numRef>
          </c:yVal>
          <c:smooth val="1"/>
        </c:ser>
        <c:ser>
          <c:idx val="3"/>
          <c:order val="1"/>
          <c:tx>
            <c:v>L=15uH</c:v>
          </c:tx>
          <c:xVal>
            <c:numRef>
              <c:f>'Component Calculator'!$H$23:$N$23</c:f>
              <c:numCache>
                <c:formatCode>General</c:formatCode>
                <c:ptCount val="7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</c:numCache>
            </c:numRef>
          </c:xVal>
          <c:yVal>
            <c:numRef>
              <c:f>'Component Calculator'!$H$27:$N$27</c:f>
              <c:numCache>
                <c:formatCode>0.00</c:formatCode>
                <c:ptCount val="7"/>
                <c:pt idx="0">
                  <c:v>4</c:v>
                </c:pt>
                <c:pt idx="1">
                  <c:v>2.6666666666666665</c:v>
                </c:pt>
                <c:pt idx="2">
                  <c:v>2</c:v>
                </c:pt>
                <c:pt idx="3">
                  <c:v>1.3333333333333333</c:v>
                </c:pt>
                <c:pt idx="4">
                  <c:v>1</c:v>
                </c:pt>
                <c:pt idx="5">
                  <c:v>0.8</c:v>
                </c:pt>
                <c:pt idx="6">
                  <c:v>0.66666666666666663</c:v>
                </c:pt>
              </c:numCache>
            </c:numRef>
          </c:yVal>
          <c:smooth val="1"/>
        </c:ser>
        <c:ser>
          <c:idx val="2"/>
          <c:order val="2"/>
          <c:tx>
            <c:v>L=22uH</c:v>
          </c:tx>
          <c:marker>
            <c:symbol val="plus"/>
            <c:size val="5"/>
          </c:marker>
          <c:xVal>
            <c:numRef>
              <c:f>'Component Calculator'!$H$23:$N$23</c:f>
              <c:numCache>
                <c:formatCode>General</c:formatCode>
                <c:ptCount val="7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</c:numCache>
            </c:numRef>
          </c:xVal>
          <c:yVal>
            <c:numRef>
              <c:f>'Component Calculator'!$H$26:$N$26</c:f>
              <c:numCache>
                <c:formatCode>0.00</c:formatCode>
                <c:ptCount val="7"/>
                <c:pt idx="0">
                  <c:v>2.7272727272727271</c:v>
                </c:pt>
                <c:pt idx="1">
                  <c:v>1.8181818181818181</c:v>
                </c:pt>
                <c:pt idx="2">
                  <c:v>1.3636363636363635</c:v>
                </c:pt>
                <c:pt idx="3">
                  <c:v>0.90909090909090906</c:v>
                </c:pt>
                <c:pt idx="4">
                  <c:v>0.68181818181818177</c:v>
                </c:pt>
                <c:pt idx="5">
                  <c:v>0.54545454545454541</c:v>
                </c:pt>
                <c:pt idx="6">
                  <c:v>0.45454545454545453</c:v>
                </c:pt>
              </c:numCache>
            </c:numRef>
          </c:yVal>
          <c:smooth val="1"/>
        </c:ser>
        <c:ser>
          <c:idx val="1"/>
          <c:order val="3"/>
          <c:tx>
            <c:v>L=33uH</c:v>
          </c:tx>
          <c:marker>
            <c:symbol val="diamond"/>
            <c:size val="5"/>
            <c:spPr>
              <a:noFill/>
            </c:spPr>
          </c:marker>
          <c:xVal>
            <c:numRef>
              <c:f>'Component Calculator'!$H$23:$N$23</c:f>
              <c:numCache>
                <c:formatCode>General</c:formatCode>
                <c:ptCount val="7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</c:numCache>
            </c:numRef>
          </c:xVal>
          <c:yVal>
            <c:numRef>
              <c:f>'Component Calculator'!$H$25:$N$25</c:f>
              <c:numCache>
                <c:formatCode>0.00</c:formatCode>
                <c:ptCount val="7"/>
                <c:pt idx="0">
                  <c:v>1.8181818181818181</c:v>
                </c:pt>
                <c:pt idx="1">
                  <c:v>1.2121212121212122</c:v>
                </c:pt>
                <c:pt idx="2">
                  <c:v>0.90909090909090906</c:v>
                </c:pt>
                <c:pt idx="3">
                  <c:v>0.60606060606060608</c:v>
                </c:pt>
                <c:pt idx="4">
                  <c:v>0.45454545454545453</c:v>
                </c:pt>
                <c:pt idx="5">
                  <c:v>0.36363636363636365</c:v>
                </c:pt>
                <c:pt idx="6">
                  <c:v>0.30303030303030304</c:v>
                </c:pt>
              </c:numCache>
            </c:numRef>
          </c:yVal>
          <c:smooth val="1"/>
        </c:ser>
        <c:ser>
          <c:idx val="0"/>
          <c:order val="4"/>
          <c:tx>
            <c:v>L=47uH</c:v>
          </c:tx>
          <c:marker>
            <c:symbol val="square"/>
            <c:size val="5"/>
            <c:spPr>
              <a:noFill/>
            </c:spPr>
          </c:marker>
          <c:xVal>
            <c:numRef>
              <c:f>'Component Calculator'!$H$23:$N$23</c:f>
              <c:numCache>
                <c:formatCode>General</c:formatCode>
                <c:ptCount val="7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</c:numCache>
            </c:numRef>
          </c:xVal>
          <c:yVal>
            <c:numRef>
              <c:f>'Component Calculator'!$H$24:$N$24</c:f>
              <c:numCache>
                <c:formatCode>0.00</c:formatCode>
                <c:ptCount val="7"/>
                <c:pt idx="0">
                  <c:v>1.2765957446808511</c:v>
                </c:pt>
                <c:pt idx="1">
                  <c:v>0.85106382978723405</c:v>
                </c:pt>
                <c:pt idx="2">
                  <c:v>0.63829787234042556</c:v>
                </c:pt>
                <c:pt idx="3">
                  <c:v>0.42553191489361702</c:v>
                </c:pt>
                <c:pt idx="4">
                  <c:v>0.31914893617021278</c:v>
                </c:pt>
                <c:pt idx="5">
                  <c:v>0.25531914893617025</c:v>
                </c:pt>
                <c:pt idx="6">
                  <c:v>0.21276595744680851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01376"/>
        <c:axId val="81101952"/>
      </c:scatterChart>
      <c:valAx>
        <c:axId val="81101376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LED Current (A)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101952"/>
        <c:crosses val="autoZero"/>
        <c:crossBetween val="midCat"/>
        <c:majorUnit val="0.5"/>
      </c:valAx>
      <c:valAx>
        <c:axId val="81101952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Switching Frequency (MHz)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81101376"/>
        <c:crosses val="autoZero"/>
        <c:crossBetween val="midCat"/>
        <c:majorUnit val="0.2"/>
      </c:valAx>
    </c:plotArea>
    <c:legend>
      <c:legendPos val="r"/>
      <c:layout>
        <c:manualLayout>
          <c:xMode val="edge"/>
          <c:yMode val="edge"/>
          <c:x val="0.81044308262848497"/>
          <c:y val="0.3170841651264163"/>
          <c:w val="0.16875550049590562"/>
          <c:h val="0.3658663443766342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Minimum Switching Frequency vs. LED current</a:t>
            </a:r>
            <a:r>
              <a:rPr lang="en-US" sz="1200" baseline="0"/>
              <a:t> </a:t>
            </a:r>
          </a:p>
          <a:p>
            <a:pPr>
              <a:defRPr/>
            </a:pPr>
            <a:r>
              <a:rPr lang="en-US" sz="1200" baseline="0"/>
              <a:t>(Vin=24V, Vout=12V, ripple current=30%)</a:t>
            </a:r>
            <a:endParaRPr lang="en-US" sz="1200"/>
          </a:p>
        </c:rich>
      </c:tx>
      <c:layout>
        <c:manualLayout>
          <c:xMode val="edge"/>
          <c:yMode val="edge"/>
          <c:x val="0.1179583273483849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780796150481188"/>
          <c:y val="0.15991453812175932"/>
          <c:w val="0.68153915135608045"/>
          <c:h val="0.71285929197874665"/>
        </c:manualLayout>
      </c:layout>
      <c:scatterChart>
        <c:scatterStyle val="smoothMarker"/>
        <c:varyColors val="0"/>
        <c:ser>
          <c:idx val="4"/>
          <c:order val="0"/>
          <c:tx>
            <c:v>L=10uH</c:v>
          </c:tx>
          <c:xVal>
            <c:numRef>
              <c:f>'Component Calculator'!$H$50:$N$50</c:f>
              <c:numCache>
                <c:formatCode>General</c:formatCode>
                <c:ptCount val="7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</c:numCache>
            </c:numRef>
          </c:xVal>
          <c:yVal>
            <c:numRef>
              <c:f>'Component Calculator'!$H$55:$N$55</c:f>
              <c:numCache>
                <c:formatCode>0.00</c:formatCode>
                <c:ptCount val="7"/>
                <c:pt idx="0">
                  <c:v>4</c:v>
                </c:pt>
                <c:pt idx="1">
                  <c:v>2.6666666666666665</c:v>
                </c:pt>
                <c:pt idx="2">
                  <c:v>2</c:v>
                </c:pt>
                <c:pt idx="3">
                  <c:v>1.3333333333333333</c:v>
                </c:pt>
                <c:pt idx="4">
                  <c:v>1</c:v>
                </c:pt>
                <c:pt idx="5">
                  <c:v>0.8</c:v>
                </c:pt>
                <c:pt idx="6">
                  <c:v>0.66666666666666663</c:v>
                </c:pt>
              </c:numCache>
            </c:numRef>
          </c:yVal>
          <c:smooth val="1"/>
        </c:ser>
        <c:ser>
          <c:idx val="3"/>
          <c:order val="1"/>
          <c:tx>
            <c:v>L=15uH</c:v>
          </c:tx>
          <c:xVal>
            <c:numRef>
              <c:f>'Component Calculator'!$H$50:$N$50</c:f>
              <c:numCache>
                <c:formatCode>General</c:formatCode>
                <c:ptCount val="7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</c:numCache>
            </c:numRef>
          </c:xVal>
          <c:yVal>
            <c:numRef>
              <c:f>'Component Calculator'!$H$54:$N$54</c:f>
              <c:numCache>
                <c:formatCode>0.00</c:formatCode>
                <c:ptCount val="7"/>
                <c:pt idx="0">
                  <c:v>2.6666666666666665</c:v>
                </c:pt>
                <c:pt idx="1">
                  <c:v>1.7777777777777777</c:v>
                </c:pt>
                <c:pt idx="2">
                  <c:v>1.3333333333333333</c:v>
                </c:pt>
                <c:pt idx="3">
                  <c:v>0.88888888888888884</c:v>
                </c:pt>
                <c:pt idx="4">
                  <c:v>0.66666666666666663</c:v>
                </c:pt>
                <c:pt idx="5">
                  <c:v>0.53333333333333333</c:v>
                </c:pt>
                <c:pt idx="6">
                  <c:v>0.44444444444444442</c:v>
                </c:pt>
              </c:numCache>
            </c:numRef>
          </c:yVal>
          <c:smooth val="1"/>
        </c:ser>
        <c:ser>
          <c:idx val="2"/>
          <c:order val="2"/>
          <c:tx>
            <c:v>L=22uH</c:v>
          </c:tx>
          <c:marker>
            <c:symbol val="plus"/>
            <c:size val="5"/>
          </c:marker>
          <c:xVal>
            <c:numRef>
              <c:f>'Component Calculator'!$H$50:$N$50</c:f>
              <c:numCache>
                <c:formatCode>General</c:formatCode>
                <c:ptCount val="7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</c:numCache>
            </c:numRef>
          </c:xVal>
          <c:yVal>
            <c:numRef>
              <c:f>'Component Calculator'!$H$53:$N$53</c:f>
              <c:numCache>
                <c:formatCode>0.00</c:formatCode>
                <c:ptCount val="7"/>
                <c:pt idx="0">
                  <c:v>1.8181818181818181</c:v>
                </c:pt>
                <c:pt idx="1">
                  <c:v>1.2121212121212122</c:v>
                </c:pt>
                <c:pt idx="2">
                  <c:v>0.90909090909090906</c:v>
                </c:pt>
                <c:pt idx="3">
                  <c:v>0.60606060606060608</c:v>
                </c:pt>
                <c:pt idx="4">
                  <c:v>0.45454545454545453</c:v>
                </c:pt>
                <c:pt idx="5">
                  <c:v>0.36363636363636365</c:v>
                </c:pt>
                <c:pt idx="6">
                  <c:v>0.30303030303030304</c:v>
                </c:pt>
              </c:numCache>
            </c:numRef>
          </c:yVal>
          <c:smooth val="1"/>
        </c:ser>
        <c:ser>
          <c:idx val="1"/>
          <c:order val="3"/>
          <c:tx>
            <c:v>L=33uH</c:v>
          </c:tx>
          <c:marker>
            <c:symbol val="diamond"/>
            <c:size val="5"/>
            <c:spPr>
              <a:noFill/>
            </c:spPr>
          </c:marker>
          <c:xVal>
            <c:numRef>
              <c:f>'Component Calculator'!$H$50:$N$50</c:f>
              <c:numCache>
                <c:formatCode>General</c:formatCode>
                <c:ptCount val="7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</c:numCache>
            </c:numRef>
          </c:xVal>
          <c:yVal>
            <c:numRef>
              <c:f>'Component Calculator'!$H$52:$N$52</c:f>
              <c:numCache>
                <c:formatCode>0.00</c:formatCode>
                <c:ptCount val="7"/>
                <c:pt idx="0">
                  <c:v>1.2121212121212122</c:v>
                </c:pt>
                <c:pt idx="1">
                  <c:v>0.80808080808080807</c:v>
                </c:pt>
                <c:pt idx="2">
                  <c:v>0.60606060606060608</c:v>
                </c:pt>
                <c:pt idx="3">
                  <c:v>0.40404040404040403</c:v>
                </c:pt>
                <c:pt idx="4">
                  <c:v>0.30303030303030304</c:v>
                </c:pt>
                <c:pt idx="5">
                  <c:v>0.24242424242424243</c:v>
                </c:pt>
                <c:pt idx="6">
                  <c:v>0.20202020202020202</c:v>
                </c:pt>
              </c:numCache>
            </c:numRef>
          </c:yVal>
          <c:smooth val="1"/>
        </c:ser>
        <c:ser>
          <c:idx val="0"/>
          <c:order val="4"/>
          <c:tx>
            <c:v>L=47uH</c:v>
          </c:tx>
          <c:marker>
            <c:symbol val="square"/>
            <c:size val="5"/>
            <c:spPr>
              <a:noFill/>
            </c:spPr>
          </c:marker>
          <c:xVal>
            <c:numRef>
              <c:f>'Component Calculator'!$H$50:$N$50</c:f>
              <c:numCache>
                <c:formatCode>General</c:formatCode>
                <c:ptCount val="7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</c:numCache>
            </c:numRef>
          </c:xVal>
          <c:yVal>
            <c:numRef>
              <c:f>'Component Calculator'!$H$51:$N$51</c:f>
              <c:numCache>
                <c:formatCode>0.00</c:formatCode>
                <c:ptCount val="7"/>
                <c:pt idx="0">
                  <c:v>0.85106382978723405</c:v>
                </c:pt>
                <c:pt idx="1">
                  <c:v>0.56737588652482274</c:v>
                </c:pt>
                <c:pt idx="2">
                  <c:v>0.42553191489361702</c:v>
                </c:pt>
                <c:pt idx="3">
                  <c:v>0.28368794326241137</c:v>
                </c:pt>
                <c:pt idx="4">
                  <c:v>0.21276595744680851</c:v>
                </c:pt>
                <c:pt idx="5">
                  <c:v>0.1702127659574468</c:v>
                </c:pt>
                <c:pt idx="6">
                  <c:v>0.14184397163120568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05984"/>
        <c:axId val="81106560"/>
      </c:scatterChart>
      <c:valAx>
        <c:axId val="81105984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LED Current (A)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106560"/>
        <c:crosses val="autoZero"/>
        <c:crossBetween val="midCat"/>
        <c:majorUnit val="0.5"/>
      </c:valAx>
      <c:valAx>
        <c:axId val="81106560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Switching Frequency (MHz)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81105984"/>
        <c:crosses val="autoZero"/>
        <c:crossBetween val="midCat"/>
        <c:majorUnit val="0.2"/>
      </c:valAx>
    </c:plotArea>
    <c:legend>
      <c:legendPos val="r"/>
      <c:layout>
        <c:manualLayout>
          <c:xMode val="edge"/>
          <c:yMode val="edge"/>
          <c:x val="0.81044308262848497"/>
          <c:y val="0.3170841651264163"/>
          <c:w val="0.16875550049590562"/>
          <c:h val="0.3658663443766342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1550670</xdr:colOff>
      <xdr:row>66</xdr:row>
      <xdr:rowOff>0</xdr:rowOff>
    </xdr:from>
    <xdr:ext cx="65" cy="206467"/>
    <xdr:sp macro="" textlink="">
      <xdr:nvSpPr>
        <xdr:cNvPr id="2" name="Rectangle 366"/>
        <xdr:cNvSpPr>
          <a:spLocks noChangeAspect="1" noChangeArrowheads="1"/>
        </xdr:cNvSpPr>
      </xdr:nvSpPr>
      <xdr:spPr bwMode="auto">
        <a:xfrm>
          <a:off x="1550670" y="10715625"/>
          <a:ext cx="65" cy="206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1</xdr:col>
      <xdr:colOff>514350</xdr:colOff>
      <xdr:row>66</xdr:row>
      <xdr:rowOff>0</xdr:rowOff>
    </xdr:from>
    <xdr:to>
      <xdr:col>1</xdr:col>
      <xdr:colOff>514350</xdr:colOff>
      <xdr:row>66</xdr:row>
      <xdr:rowOff>104775</xdr:rowOff>
    </xdr:to>
    <xdr:sp macro="" textlink="">
      <xdr:nvSpPr>
        <xdr:cNvPr id="1221" name="Rectangle 368"/>
        <xdr:cNvSpPr>
          <a:spLocks noChangeAspect="1" noChangeArrowheads="1"/>
        </xdr:cNvSpPr>
      </xdr:nvSpPr>
      <xdr:spPr bwMode="auto">
        <a:xfrm>
          <a:off x="2971800" y="10715625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66674</xdr:colOff>
      <xdr:row>28</xdr:row>
      <xdr:rowOff>76200</xdr:rowOff>
    </xdr:from>
    <xdr:to>
      <xdr:col>13</xdr:col>
      <xdr:colOff>590549</xdr:colOff>
      <xdr:row>46</xdr:row>
      <xdr:rowOff>66675</xdr:rowOff>
    </xdr:to>
    <xdr:graphicFrame macro="">
      <xdr:nvGraphicFramePr>
        <xdr:cNvPr id="122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</xdr:colOff>
      <xdr:row>55</xdr:row>
      <xdr:rowOff>47625</xdr:rowOff>
    </xdr:from>
    <xdr:to>
      <xdr:col>14</xdr:col>
      <xdr:colOff>9525</xdr:colOff>
      <xdr:row>72</xdr:row>
      <xdr:rowOff>114300</xdr:rowOff>
    </xdr:to>
    <xdr:graphicFrame macro="">
      <xdr:nvGraphicFramePr>
        <xdr:cNvPr id="12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633357</xdr:colOff>
      <xdr:row>1</xdr:row>
      <xdr:rowOff>85724</xdr:rowOff>
    </xdr:from>
    <xdr:to>
      <xdr:col>4</xdr:col>
      <xdr:colOff>1787526</xdr:colOff>
      <xdr:row>4</xdr:row>
      <xdr:rowOff>142874</xdr:rowOff>
    </xdr:to>
    <xdr:pic>
      <xdr:nvPicPr>
        <xdr:cNvPr id="7" name="Picture 6" descr="Allegro logo USA 2013 with TM.eps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05182" y="295274"/>
          <a:ext cx="2382894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tabSelected="1" workbookViewId="0">
      <selection activeCell="C10" sqref="C10"/>
    </sheetView>
  </sheetViews>
  <sheetFormatPr defaultRowHeight="12.75" x14ac:dyDescent="0.2"/>
  <cols>
    <col min="1" max="1" width="36.85546875" style="2" customWidth="1"/>
    <col min="2" max="2" width="10.7109375" style="2" customWidth="1"/>
    <col min="3" max="3" width="9.7109375" style="2" customWidth="1"/>
    <col min="4" max="4" width="8.7109375" style="2" customWidth="1"/>
    <col min="5" max="5" width="27.7109375" style="2" customWidth="1"/>
    <col min="6" max="6" width="2.5703125" style="20" customWidth="1"/>
    <col min="7" max="7" width="10.28515625" style="2" customWidth="1"/>
    <col min="8" max="16384" width="9.140625" style="2"/>
  </cols>
  <sheetData>
    <row r="1" spans="1:16" ht="16.5" thickBot="1" x14ac:dyDescent="0.3">
      <c r="A1" s="62" t="s">
        <v>105</v>
      </c>
      <c r="B1" s="63"/>
      <c r="C1" s="63"/>
      <c r="D1" s="63"/>
      <c r="E1" s="64"/>
      <c r="F1" s="22"/>
      <c r="G1" s="1"/>
      <c r="H1" s="1"/>
      <c r="I1" s="1"/>
      <c r="J1" s="1"/>
      <c r="K1" s="1"/>
      <c r="L1" s="1"/>
      <c r="M1" s="1"/>
      <c r="N1" s="1"/>
    </row>
    <row r="2" spans="1:16" x14ac:dyDescent="0.2">
      <c r="A2" s="65" t="s">
        <v>125</v>
      </c>
      <c r="B2" s="66"/>
      <c r="C2" s="66"/>
      <c r="D2" s="39"/>
      <c r="E2" s="40"/>
      <c r="F2" s="23"/>
    </row>
    <row r="3" spans="1:16" ht="15.75" customHeight="1" x14ac:dyDescent="0.2">
      <c r="A3" s="67" t="s">
        <v>0</v>
      </c>
      <c r="B3" s="68"/>
      <c r="C3" s="68"/>
      <c r="D3" s="41"/>
      <c r="E3" s="42"/>
      <c r="F3" s="24"/>
    </row>
    <row r="4" spans="1:16" ht="12.75" customHeight="1" x14ac:dyDescent="0.2">
      <c r="A4" s="69" t="s">
        <v>126</v>
      </c>
      <c r="B4" s="70"/>
      <c r="C4" s="70"/>
      <c r="D4" s="43"/>
      <c r="E4" s="44"/>
      <c r="F4" s="25"/>
    </row>
    <row r="5" spans="1:16" ht="28.5" customHeight="1" x14ac:dyDescent="0.2">
      <c r="A5" s="71" t="s">
        <v>130</v>
      </c>
      <c r="B5" s="72"/>
      <c r="C5" s="72"/>
      <c r="D5" s="45"/>
      <c r="E5" s="46"/>
      <c r="F5" s="26"/>
    </row>
    <row r="6" spans="1:16" ht="12.75" customHeight="1" x14ac:dyDescent="0.2">
      <c r="A6" s="69" t="s">
        <v>129</v>
      </c>
      <c r="B6" s="70"/>
      <c r="C6" s="70"/>
      <c r="D6" s="43"/>
      <c r="E6" s="44"/>
      <c r="F6" s="25"/>
    </row>
    <row r="7" spans="1:16" ht="15.75" customHeight="1" x14ac:dyDescent="0.2">
      <c r="A7" s="69" t="s">
        <v>127</v>
      </c>
      <c r="B7" s="70"/>
      <c r="C7" s="70"/>
      <c r="D7" s="43"/>
      <c r="E7" s="44"/>
      <c r="F7" s="27"/>
    </row>
    <row r="8" spans="1:16" ht="13.5" thickBot="1" x14ac:dyDescent="0.25">
      <c r="A8" s="47"/>
      <c r="B8" s="48"/>
      <c r="C8" s="48"/>
      <c r="D8" s="48"/>
      <c r="E8" s="49"/>
      <c r="F8" s="27"/>
    </row>
    <row r="9" spans="1:16" s="3" customFormat="1" ht="18" customHeight="1" thickBot="1" x14ac:dyDescent="0.25">
      <c r="A9" s="73" t="s">
        <v>1</v>
      </c>
      <c r="B9" s="74" t="s">
        <v>68</v>
      </c>
      <c r="C9" s="75" t="s">
        <v>69</v>
      </c>
      <c r="D9" s="76" t="s">
        <v>2</v>
      </c>
      <c r="E9" s="77" t="s">
        <v>3</v>
      </c>
      <c r="F9" s="28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" customHeight="1" thickBot="1" x14ac:dyDescent="0.25">
      <c r="A10" s="78" t="s">
        <v>4</v>
      </c>
      <c r="B10" s="79" t="s">
        <v>5</v>
      </c>
      <c r="C10" s="80">
        <v>12</v>
      </c>
      <c r="D10" s="81" t="s">
        <v>6</v>
      </c>
      <c r="E10" s="82"/>
      <c r="F10" s="29"/>
      <c r="G10" s="4" t="s">
        <v>128</v>
      </c>
    </row>
    <row r="11" spans="1:16" ht="15" customHeight="1" thickBot="1" x14ac:dyDescent="0.25">
      <c r="A11" s="83" t="s">
        <v>14</v>
      </c>
      <c r="B11" s="79" t="s">
        <v>15</v>
      </c>
      <c r="C11" s="80">
        <v>2</v>
      </c>
      <c r="D11" s="81" t="s">
        <v>16</v>
      </c>
      <c r="E11" s="82"/>
      <c r="F11" s="29"/>
      <c r="G11" s="51">
        <v>12</v>
      </c>
      <c r="H11" s="52">
        <v>6</v>
      </c>
      <c r="I11" s="50">
        <v>0.2</v>
      </c>
      <c r="L11" s="5" t="s">
        <v>41</v>
      </c>
    </row>
    <row r="12" spans="1:16" ht="15" customHeight="1" thickBot="1" x14ac:dyDescent="0.25">
      <c r="A12" s="83" t="s">
        <v>7</v>
      </c>
      <c r="B12" s="79" t="s">
        <v>8</v>
      </c>
      <c r="C12" s="80">
        <v>2</v>
      </c>
      <c r="D12" s="81"/>
      <c r="E12" s="82"/>
      <c r="F12" s="29"/>
      <c r="H12" s="5" t="s">
        <v>24</v>
      </c>
    </row>
    <row r="13" spans="1:16" ht="15" customHeight="1" thickBot="1" x14ac:dyDescent="0.25">
      <c r="A13" s="83" t="s">
        <v>9</v>
      </c>
      <c r="B13" s="79" t="s">
        <v>10</v>
      </c>
      <c r="C13" s="80">
        <v>3</v>
      </c>
      <c r="D13" s="81" t="s">
        <v>6</v>
      </c>
      <c r="E13" s="82"/>
      <c r="F13" s="29"/>
      <c r="G13" s="35" t="s">
        <v>124</v>
      </c>
      <c r="H13" s="6">
        <v>0.5</v>
      </c>
      <c r="I13" s="7">
        <v>0.75</v>
      </c>
      <c r="J13" s="7">
        <v>1</v>
      </c>
      <c r="K13" s="7">
        <v>1.5</v>
      </c>
      <c r="L13" s="7">
        <v>2</v>
      </c>
      <c r="M13" s="7">
        <v>2.5</v>
      </c>
      <c r="N13" s="8">
        <v>3</v>
      </c>
    </row>
    <row r="14" spans="1:16" ht="15" customHeight="1" thickBot="1" x14ac:dyDescent="0.25">
      <c r="A14" s="84" t="s">
        <v>17</v>
      </c>
      <c r="B14" s="79"/>
      <c r="C14" s="85">
        <v>20</v>
      </c>
      <c r="D14" s="81" t="s">
        <v>18</v>
      </c>
      <c r="E14" s="86" t="s">
        <v>67</v>
      </c>
      <c r="F14" s="29"/>
      <c r="G14" s="36">
        <v>0.33329999999999999</v>
      </c>
      <c r="H14" s="53">
        <f>IF(($G$11-$H$11)*$H$11/$G$11/(H$13*$I$11*$G14)&lt;10,ROUNDUP(($G$11-$H$11)*$H$11/$G$11/(H$13*$I$11*$G14),1),ROUNDUP(($G$11-$H$11)*$H$11/$G$11/(H$13*$I$11*$G14),0))</f>
        <v>91</v>
      </c>
      <c r="I14" s="54">
        <f t="shared" ref="I14:N19" si="0">IF(($G$11-$H$11)*$H$11/$G$11/(I$13*$I$11*$G14)&lt;10,ROUNDUP(($G$11-$H$11)*$H$11/$G$11/(I$13*$I$11*$G14),1),ROUNDUP(($G$11-$H$11)*$H$11/$G$11/(I$13*$I$11*$G14),0))</f>
        <v>61</v>
      </c>
      <c r="J14" s="54">
        <f t="shared" si="0"/>
        <v>46</v>
      </c>
      <c r="K14" s="54">
        <f t="shared" si="0"/>
        <v>31</v>
      </c>
      <c r="L14" s="54">
        <f t="shared" si="0"/>
        <v>23</v>
      </c>
      <c r="M14" s="54">
        <f t="shared" si="0"/>
        <v>19</v>
      </c>
      <c r="N14" s="55">
        <f t="shared" si="0"/>
        <v>16</v>
      </c>
    </row>
    <row r="15" spans="1:16" ht="15" customHeight="1" thickBot="1" x14ac:dyDescent="0.25">
      <c r="A15" s="83" t="s">
        <v>20</v>
      </c>
      <c r="B15" s="79" t="s">
        <v>21</v>
      </c>
      <c r="C15" s="80">
        <v>0.5</v>
      </c>
      <c r="D15" s="81" t="s">
        <v>6</v>
      </c>
      <c r="E15" s="86" t="s">
        <v>107</v>
      </c>
      <c r="G15" s="37">
        <v>0.5</v>
      </c>
      <c r="H15" s="56">
        <f t="shared" ref="H15:H19" si="1">IF(($G$11-$H$11)*$H$11/$G$11/(H$13*$I$11*$G15)&lt;10,ROUNDUP(($G$11-$H$11)*$H$11/$G$11/(H$13*$I$11*$G15),1),ROUNDUP(($G$11-$H$11)*$H$11/$G$11/(H$13*$I$11*$G15),0))</f>
        <v>60</v>
      </c>
      <c r="I15" s="57">
        <f t="shared" si="0"/>
        <v>40</v>
      </c>
      <c r="J15" s="57">
        <f t="shared" si="0"/>
        <v>30</v>
      </c>
      <c r="K15" s="57">
        <f t="shared" si="0"/>
        <v>20</v>
      </c>
      <c r="L15" s="57">
        <f t="shared" si="0"/>
        <v>15</v>
      </c>
      <c r="M15" s="57">
        <f t="shared" si="0"/>
        <v>12</v>
      </c>
      <c r="N15" s="58">
        <f t="shared" si="0"/>
        <v>10</v>
      </c>
    </row>
    <row r="16" spans="1:16" ht="15" customHeight="1" thickBot="1" x14ac:dyDescent="0.25">
      <c r="A16" s="83" t="s">
        <v>37</v>
      </c>
      <c r="B16" s="79"/>
      <c r="C16" s="87">
        <v>2</v>
      </c>
      <c r="D16" s="81" t="s">
        <v>38</v>
      </c>
      <c r="E16" s="82"/>
      <c r="G16" s="37">
        <v>0.75</v>
      </c>
      <c r="H16" s="56">
        <f t="shared" si="1"/>
        <v>40</v>
      </c>
      <c r="I16" s="57">
        <f t="shared" si="0"/>
        <v>27</v>
      </c>
      <c r="J16" s="57">
        <f t="shared" si="0"/>
        <v>20</v>
      </c>
      <c r="K16" s="57">
        <f t="shared" si="0"/>
        <v>14</v>
      </c>
      <c r="L16" s="57">
        <f t="shared" si="0"/>
        <v>10</v>
      </c>
      <c r="M16" s="57">
        <f t="shared" si="0"/>
        <v>8</v>
      </c>
      <c r="N16" s="58">
        <f t="shared" si="0"/>
        <v>6.6999999999999993</v>
      </c>
    </row>
    <row r="17" spans="1:14" ht="13.5" thickBot="1" x14ac:dyDescent="0.25">
      <c r="A17" s="88"/>
      <c r="B17" s="89"/>
      <c r="C17" s="89"/>
      <c r="D17" s="89"/>
      <c r="E17" s="90"/>
      <c r="F17" s="29"/>
      <c r="G17" s="37">
        <v>1</v>
      </c>
      <c r="H17" s="56">
        <f t="shared" si="1"/>
        <v>30</v>
      </c>
      <c r="I17" s="57">
        <f t="shared" si="0"/>
        <v>20</v>
      </c>
      <c r="J17" s="57">
        <f t="shared" si="0"/>
        <v>15</v>
      </c>
      <c r="K17" s="57">
        <f t="shared" si="0"/>
        <v>10</v>
      </c>
      <c r="L17" s="57">
        <f t="shared" si="0"/>
        <v>7.5</v>
      </c>
      <c r="M17" s="57">
        <f t="shared" si="0"/>
        <v>6</v>
      </c>
      <c r="N17" s="58">
        <f t="shared" si="0"/>
        <v>5</v>
      </c>
    </row>
    <row r="18" spans="1:14" ht="17.25" customHeight="1" x14ac:dyDescent="0.2">
      <c r="A18" s="73" t="s">
        <v>1</v>
      </c>
      <c r="B18" s="74" t="s">
        <v>68</v>
      </c>
      <c r="C18" s="75" t="s">
        <v>69</v>
      </c>
      <c r="D18" s="76" t="s">
        <v>2</v>
      </c>
      <c r="E18" s="77" t="s">
        <v>3</v>
      </c>
      <c r="G18" s="37">
        <v>1.5</v>
      </c>
      <c r="H18" s="56">
        <f t="shared" si="1"/>
        <v>20</v>
      </c>
      <c r="I18" s="57">
        <f t="shared" si="0"/>
        <v>14</v>
      </c>
      <c r="J18" s="57">
        <f t="shared" si="0"/>
        <v>10</v>
      </c>
      <c r="K18" s="57">
        <f t="shared" si="0"/>
        <v>6.6999999999999993</v>
      </c>
      <c r="L18" s="57">
        <f t="shared" si="0"/>
        <v>5</v>
      </c>
      <c r="M18" s="57">
        <f t="shared" si="0"/>
        <v>4</v>
      </c>
      <c r="N18" s="58">
        <f t="shared" si="0"/>
        <v>3.4</v>
      </c>
    </row>
    <row r="19" spans="1:14" ht="15" customHeight="1" x14ac:dyDescent="0.2">
      <c r="A19" s="91" t="s">
        <v>22</v>
      </c>
      <c r="B19" s="92" t="s">
        <v>23</v>
      </c>
      <c r="C19" s="93">
        <v>0.2</v>
      </c>
      <c r="D19" s="94" t="s">
        <v>6</v>
      </c>
      <c r="E19" s="95"/>
      <c r="F19" s="29"/>
      <c r="G19" s="19">
        <v>2</v>
      </c>
      <c r="H19" s="59">
        <f t="shared" si="1"/>
        <v>15</v>
      </c>
      <c r="I19" s="60">
        <f t="shared" si="0"/>
        <v>10</v>
      </c>
      <c r="J19" s="60">
        <f t="shared" si="0"/>
        <v>7.5</v>
      </c>
      <c r="K19" s="60">
        <f t="shared" si="0"/>
        <v>5</v>
      </c>
      <c r="L19" s="60">
        <f t="shared" si="0"/>
        <v>3.8000000000000003</v>
      </c>
      <c r="M19" s="60">
        <f t="shared" si="0"/>
        <v>3</v>
      </c>
      <c r="N19" s="61">
        <f t="shared" si="0"/>
        <v>2.5</v>
      </c>
    </row>
    <row r="20" spans="1:14" ht="15" customHeight="1" x14ac:dyDescent="0.2">
      <c r="A20" s="96" t="s">
        <v>11</v>
      </c>
      <c r="B20" s="92" t="s">
        <v>12</v>
      </c>
      <c r="C20" s="97">
        <f>C12*C13+C19</f>
        <v>6.2</v>
      </c>
      <c r="D20" s="93" t="s">
        <v>6</v>
      </c>
      <c r="E20" s="95" t="s">
        <v>13</v>
      </c>
      <c r="F20" s="30"/>
    </row>
    <row r="21" spans="1:14" ht="15" customHeight="1" x14ac:dyDescent="0.2">
      <c r="A21" s="91" t="s">
        <v>28</v>
      </c>
      <c r="B21" s="92" t="s">
        <v>29</v>
      </c>
      <c r="C21" s="98">
        <f>(C20+C15)/(C10+C15)</f>
        <v>0.53600000000000003</v>
      </c>
      <c r="D21" s="93"/>
      <c r="E21" s="95" t="s">
        <v>30</v>
      </c>
      <c r="F21" s="30"/>
      <c r="G21" s="4" t="s">
        <v>46</v>
      </c>
    </row>
    <row r="22" spans="1:14" ht="15" customHeight="1" x14ac:dyDescent="0.2">
      <c r="A22" s="96" t="s">
        <v>106</v>
      </c>
      <c r="B22" s="92"/>
      <c r="C22" s="99">
        <f>C11*C14/100</f>
        <v>0.4</v>
      </c>
      <c r="D22" s="94" t="s">
        <v>19</v>
      </c>
      <c r="E22" s="100"/>
      <c r="F22" s="31"/>
      <c r="H22" s="5" t="s">
        <v>24</v>
      </c>
    </row>
    <row r="23" spans="1:14" ht="15" customHeight="1" x14ac:dyDescent="0.2">
      <c r="A23" s="96" t="s">
        <v>111</v>
      </c>
      <c r="B23" s="101"/>
      <c r="C23" s="93">
        <v>0.1</v>
      </c>
      <c r="D23" s="94" t="s">
        <v>25</v>
      </c>
      <c r="E23" s="100"/>
      <c r="F23" s="29"/>
      <c r="G23" s="38" t="s">
        <v>49</v>
      </c>
      <c r="H23" s="6">
        <v>0.5</v>
      </c>
      <c r="I23" s="7">
        <v>0.75</v>
      </c>
      <c r="J23" s="7">
        <v>1</v>
      </c>
      <c r="K23" s="7">
        <v>1.5</v>
      </c>
      <c r="L23" s="7">
        <v>2</v>
      </c>
      <c r="M23" s="7">
        <v>2.5</v>
      </c>
      <c r="N23" s="8">
        <v>3</v>
      </c>
    </row>
    <row r="24" spans="1:14" ht="15" customHeight="1" x14ac:dyDescent="0.2">
      <c r="A24" s="96" t="s">
        <v>112</v>
      </c>
      <c r="B24" s="101"/>
      <c r="C24" s="93">
        <v>0.15</v>
      </c>
      <c r="D24" s="94" t="s">
        <v>25</v>
      </c>
      <c r="E24" s="100"/>
      <c r="F24" s="32"/>
      <c r="G24" s="36">
        <v>47</v>
      </c>
      <c r="H24" s="9">
        <f>30/$G24/H$23</f>
        <v>1.2765957446808511</v>
      </c>
      <c r="I24" s="10">
        <f t="shared" ref="H24:N28" si="2">30/$G24/I$23</f>
        <v>0.85106382978723405</v>
      </c>
      <c r="J24" s="10">
        <f t="shared" si="2"/>
        <v>0.63829787234042556</v>
      </c>
      <c r="K24" s="10">
        <f t="shared" si="2"/>
        <v>0.42553191489361702</v>
      </c>
      <c r="L24" s="10">
        <f t="shared" si="2"/>
        <v>0.31914893617021278</v>
      </c>
      <c r="M24" s="10">
        <f t="shared" si="2"/>
        <v>0.25531914893617025</v>
      </c>
      <c r="N24" s="11">
        <f t="shared" si="2"/>
        <v>0.21276595744680851</v>
      </c>
    </row>
    <row r="25" spans="1:14" ht="15" customHeight="1" x14ac:dyDescent="0.2">
      <c r="A25" s="91" t="s">
        <v>26</v>
      </c>
      <c r="B25" s="92" t="s">
        <v>27</v>
      </c>
      <c r="C25" s="102">
        <v>1.4E-2</v>
      </c>
      <c r="D25" s="93"/>
      <c r="E25" s="100" t="s">
        <v>108</v>
      </c>
      <c r="F25" s="29"/>
      <c r="G25" s="37">
        <v>33</v>
      </c>
      <c r="H25" s="12">
        <f t="shared" si="2"/>
        <v>1.8181818181818181</v>
      </c>
      <c r="I25" s="13">
        <f t="shared" si="2"/>
        <v>1.2121212121212122</v>
      </c>
      <c r="J25" s="13">
        <f t="shared" si="2"/>
        <v>0.90909090909090906</v>
      </c>
      <c r="K25" s="13">
        <f t="shared" si="2"/>
        <v>0.60606060606060608</v>
      </c>
      <c r="L25" s="13">
        <f t="shared" si="2"/>
        <v>0.45454545454545453</v>
      </c>
      <c r="M25" s="13">
        <f t="shared" si="2"/>
        <v>0.36363636363636365</v>
      </c>
      <c r="N25" s="14">
        <f t="shared" si="2"/>
        <v>0.30303030303030304</v>
      </c>
    </row>
    <row r="26" spans="1:14" ht="15" customHeight="1" thickBot="1" x14ac:dyDescent="0.25">
      <c r="A26" s="91" t="s">
        <v>31</v>
      </c>
      <c r="B26" s="103" t="s">
        <v>133</v>
      </c>
      <c r="C26" s="104">
        <f>C19/C11</f>
        <v>0.1</v>
      </c>
      <c r="D26" s="94" t="s">
        <v>122</v>
      </c>
      <c r="E26" s="105" t="s">
        <v>32</v>
      </c>
      <c r="F26" s="29"/>
      <c r="G26" s="37">
        <v>22</v>
      </c>
      <c r="H26" s="12">
        <f t="shared" si="2"/>
        <v>2.7272727272727271</v>
      </c>
      <c r="I26" s="13">
        <f t="shared" si="2"/>
        <v>1.8181818181818181</v>
      </c>
      <c r="J26" s="13">
        <f t="shared" si="2"/>
        <v>1.3636363636363635</v>
      </c>
      <c r="K26" s="13">
        <f t="shared" si="2"/>
        <v>0.90909090909090906</v>
      </c>
      <c r="L26" s="13">
        <f t="shared" si="2"/>
        <v>0.68181818181818177</v>
      </c>
      <c r="M26" s="13">
        <f t="shared" si="2"/>
        <v>0.54545454545454541</v>
      </c>
      <c r="N26" s="14">
        <f t="shared" si="2"/>
        <v>0.45454545454545453</v>
      </c>
    </row>
    <row r="27" spans="1:14" ht="15" customHeight="1" thickBot="1" x14ac:dyDescent="0.25">
      <c r="A27" s="106" t="s">
        <v>33</v>
      </c>
      <c r="B27" s="107" t="s">
        <v>34</v>
      </c>
      <c r="C27" s="108">
        <v>0.4</v>
      </c>
      <c r="D27" s="109" t="s">
        <v>122</v>
      </c>
      <c r="E27" s="100"/>
      <c r="F27" s="29"/>
      <c r="G27" s="37">
        <v>15</v>
      </c>
      <c r="H27" s="12">
        <f t="shared" si="2"/>
        <v>4</v>
      </c>
      <c r="I27" s="13">
        <f t="shared" si="2"/>
        <v>2.6666666666666665</v>
      </c>
      <c r="J27" s="13">
        <f t="shared" si="2"/>
        <v>2</v>
      </c>
      <c r="K27" s="13">
        <f t="shared" si="2"/>
        <v>1.3333333333333333</v>
      </c>
      <c r="L27" s="13">
        <f t="shared" si="2"/>
        <v>1</v>
      </c>
      <c r="M27" s="13">
        <f t="shared" si="2"/>
        <v>0.8</v>
      </c>
      <c r="N27" s="14">
        <f t="shared" si="2"/>
        <v>0.66666666666666663</v>
      </c>
    </row>
    <row r="28" spans="1:14" ht="15" customHeight="1" x14ac:dyDescent="0.2">
      <c r="A28" s="96" t="s">
        <v>35</v>
      </c>
      <c r="B28" s="101" t="s">
        <v>15</v>
      </c>
      <c r="C28" s="110">
        <f>C19/C27</f>
        <v>0.5</v>
      </c>
      <c r="D28" s="94" t="s">
        <v>16</v>
      </c>
      <c r="E28" s="100" t="s">
        <v>36</v>
      </c>
      <c r="F28" s="31"/>
      <c r="G28" s="19">
        <v>10</v>
      </c>
      <c r="H28" s="15">
        <f t="shared" si="2"/>
        <v>6</v>
      </c>
      <c r="I28" s="16">
        <f t="shared" si="2"/>
        <v>4</v>
      </c>
      <c r="J28" s="16">
        <f t="shared" si="2"/>
        <v>3</v>
      </c>
      <c r="K28" s="16">
        <f t="shared" si="2"/>
        <v>2</v>
      </c>
      <c r="L28" s="16">
        <f t="shared" si="2"/>
        <v>1.5</v>
      </c>
      <c r="M28" s="16">
        <f t="shared" si="2"/>
        <v>1.2</v>
      </c>
      <c r="N28" s="17">
        <f t="shared" si="2"/>
        <v>1</v>
      </c>
    </row>
    <row r="29" spans="1:14" ht="15" customHeight="1" thickBot="1" x14ac:dyDescent="0.25">
      <c r="A29" s="91" t="s">
        <v>39</v>
      </c>
      <c r="B29" s="101"/>
      <c r="C29" s="111">
        <f>1/((C16-0.09)*C25) -6</f>
        <v>31.397157816005986</v>
      </c>
      <c r="D29" s="93" t="s">
        <v>40</v>
      </c>
      <c r="E29" s="100" t="s">
        <v>109</v>
      </c>
      <c r="F29" s="29"/>
    </row>
    <row r="30" spans="1:14" ht="15" customHeight="1" thickBot="1" x14ac:dyDescent="0.25">
      <c r="A30" s="112" t="s">
        <v>42</v>
      </c>
      <c r="B30" s="107" t="s">
        <v>43</v>
      </c>
      <c r="C30" s="113">
        <f>C29</f>
        <v>31.397157816005986</v>
      </c>
      <c r="D30" s="109" t="s">
        <v>131</v>
      </c>
      <c r="E30" s="100"/>
      <c r="F30" s="29"/>
    </row>
    <row r="31" spans="1:14" ht="15" customHeight="1" x14ac:dyDescent="0.2">
      <c r="A31" s="91" t="s">
        <v>44</v>
      </c>
      <c r="B31" s="92" t="s">
        <v>45</v>
      </c>
      <c r="C31" s="114">
        <f>1/(C25*(C30+6)) + 0.09</f>
        <v>2</v>
      </c>
      <c r="D31" s="94" t="s">
        <v>38</v>
      </c>
      <c r="E31" s="100"/>
      <c r="F31" s="31"/>
    </row>
    <row r="32" spans="1:14" ht="15" customHeight="1" x14ac:dyDescent="0.2">
      <c r="A32" s="91" t="s">
        <v>47</v>
      </c>
      <c r="B32" s="92" t="s">
        <v>48</v>
      </c>
      <c r="C32" s="115">
        <f>1/C31 * C21</f>
        <v>0.26800000000000002</v>
      </c>
      <c r="D32" s="94" t="s">
        <v>25</v>
      </c>
      <c r="E32" s="100" t="s">
        <v>110</v>
      </c>
      <c r="F32" s="29"/>
    </row>
    <row r="33" spans="1:7" ht="15" customHeight="1" x14ac:dyDescent="0.2">
      <c r="A33" s="116" t="str">
        <f>IF(C32&lt;C23,"Min T_on violated, Select lower frequency or higher Vout","")</f>
        <v/>
      </c>
      <c r="B33" s="117"/>
      <c r="C33" s="117"/>
      <c r="D33" s="117"/>
      <c r="E33" s="118"/>
      <c r="F33" s="29"/>
      <c r="G33" s="18"/>
    </row>
    <row r="34" spans="1:7" ht="15" customHeight="1" x14ac:dyDescent="0.2">
      <c r="A34" s="91" t="s">
        <v>50</v>
      </c>
      <c r="B34" s="92" t="s">
        <v>51</v>
      </c>
      <c r="C34" s="115">
        <f>1/C31 - C32</f>
        <v>0.23199999999999998</v>
      </c>
      <c r="D34" s="94" t="s">
        <v>25</v>
      </c>
      <c r="E34" s="100" t="s">
        <v>52</v>
      </c>
      <c r="F34" s="29"/>
    </row>
    <row r="35" spans="1:7" ht="15" customHeight="1" x14ac:dyDescent="0.2">
      <c r="A35" s="116" t="str">
        <f>IF(C34&lt;C24,"Min T_off violated, Select lower frequency or lower Vout","")</f>
        <v/>
      </c>
      <c r="B35" s="117"/>
      <c r="C35" s="117"/>
      <c r="D35" s="117"/>
      <c r="E35" s="118"/>
      <c r="F35" s="29"/>
    </row>
    <row r="36" spans="1:7" ht="15" customHeight="1" thickBot="1" x14ac:dyDescent="0.25">
      <c r="A36" s="96" t="s">
        <v>70</v>
      </c>
      <c r="B36" s="101"/>
      <c r="C36" s="111">
        <f>(C10-C20)*C32/C22</f>
        <v>3.8859999999999997</v>
      </c>
      <c r="D36" s="93" t="s">
        <v>53</v>
      </c>
      <c r="E36" s="100" t="s">
        <v>54</v>
      </c>
      <c r="F36" s="29"/>
    </row>
    <row r="37" spans="1:7" ht="15" customHeight="1" thickBot="1" x14ac:dyDescent="0.25">
      <c r="A37" s="106" t="s">
        <v>132</v>
      </c>
      <c r="B37" s="107" t="s">
        <v>55</v>
      </c>
      <c r="C37" s="113">
        <f>C36</f>
        <v>3.8859999999999997</v>
      </c>
      <c r="D37" s="109" t="s">
        <v>53</v>
      </c>
      <c r="E37" s="100"/>
      <c r="F37" s="29"/>
    </row>
    <row r="38" spans="1:7" ht="15" customHeight="1" x14ac:dyDescent="0.2">
      <c r="A38" s="91" t="s">
        <v>56</v>
      </c>
      <c r="B38" s="92" t="s">
        <v>57</v>
      </c>
      <c r="C38" s="119">
        <f>(C10-C20)/C37*C32</f>
        <v>0.4</v>
      </c>
      <c r="D38" s="94" t="s">
        <v>16</v>
      </c>
      <c r="E38" s="95"/>
      <c r="F38" s="29"/>
    </row>
    <row r="39" spans="1:7" ht="15" customHeight="1" x14ac:dyDescent="0.2">
      <c r="A39" s="91" t="s">
        <v>58</v>
      </c>
      <c r="B39" s="92" t="s">
        <v>59</v>
      </c>
      <c r="C39" s="120">
        <f>(C28+C38/2) * 1.2</f>
        <v>0.84</v>
      </c>
      <c r="D39" s="94" t="s">
        <v>16</v>
      </c>
      <c r="E39" s="95" t="s">
        <v>60</v>
      </c>
      <c r="F39" s="29"/>
    </row>
    <row r="40" spans="1:7" ht="15" customHeight="1" x14ac:dyDescent="0.2">
      <c r="A40" s="96" t="s">
        <v>123</v>
      </c>
      <c r="B40" s="92" t="s">
        <v>61</v>
      </c>
      <c r="C40" s="121">
        <f>C38*C27</f>
        <v>0.16000000000000003</v>
      </c>
      <c r="D40" s="94" t="s">
        <v>62</v>
      </c>
      <c r="E40" s="95" t="s">
        <v>63</v>
      </c>
      <c r="F40" s="33"/>
    </row>
    <row r="41" spans="1:7" ht="13.5" thickBot="1" x14ac:dyDescent="0.25">
      <c r="A41" s="122" t="str">
        <f>IF(C40&lt;0.02, "Ripple voltage too low. Select an inductor that produces a voltage greater than 0.02V","")</f>
        <v/>
      </c>
      <c r="B41" s="123"/>
      <c r="C41" s="123"/>
      <c r="D41" s="123"/>
      <c r="E41" s="124"/>
    </row>
    <row r="42" spans="1:7" x14ac:dyDescent="0.2">
      <c r="A42" s="125" t="s">
        <v>64</v>
      </c>
      <c r="B42" s="126"/>
      <c r="C42" s="126"/>
      <c r="D42" s="126"/>
      <c r="E42" s="127"/>
      <c r="F42" s="34"/>
    </row>
    <row r="43" spans="1:7" ht="15" customHeight="1" x14ac:dyDescent="0.2">
      <c r="A43" s="128" t="s">
        <v>65</v>
      </c>
      <c r="B43" s="129"/>
      <c r="C43" s="130">
        <f>C31</f>
        <v>2</v>
      </c>
      <c r="D43" s="129" t="s">
        <v>38</v>
      </c>
      <c r="E43" s="131"/>
      <c r="F43" s="29"/>
    </row>
    <row r="44" spans="1:7" ht="15" customHeight="1" x14ac:dyDescent="0.2">
      <c r="A44" s="128" t="str">
        <f xml:space="preserve"> "Average LED current with Rs= " &amp; TEXT(C27,"#.##") &amp; "Ω"</f>
        <v>Average LED current with Rs= .4Ω</v>
      </c>
      <c r="B44" s="129"/>
      <c r="C44" s="132">
        <f>C28</f>
        <v>0.5</v>
      </c>
      <c r="D44" s="129" t="s">
        <v>16</v>
      </c>
      <c r="E44" s="133"/>
      <c r="F44" s="29"/>
    </row>
    <row r="45" spans="1:7" ht="15" customHeight="1" x14ac:dyDescent="0.2">
      <c r="A45" s="128" t="str">
        <f xml:space="preserve"> "LED ripple current with L= " &amp; TEXT(C37,"##.#") &amp; "uH"</f>
        <v>LED ripple current with L= 3.9uH</v>
      </c>
      <c r="B45" s="129"/>
      <c r="C45" s="132">
        <f>C38</f>
        <v>0.4</v>
      </c>
      <c r="D45" s="129" t="s">
        <v>134</v>
      </c>
      <c r="E45" s="95"/>
      <c r="F45" s="33"/>
    </row>
    <row r="46" spans="1:7" ht="15" customHeight="1" x14ac:dyDescent="0.2">
      <c r="A46" s="128" t="s">
        <v>17</v>
      </c>
      <c r="B46" s="129"/>
      <c r="C46" s="134">
        <f>C45*100/C44</f>
        <v>80</v>
      </c>
      <c r="D46" s="129" t="s">
        <v>18</v>
      </c>
      <c r="E46" s="95"/>
    </row>
    <row r="47" spans="1:7" ht="13.5" thickBot="1" x14ac:dyDescent="0.25">
      <c r="A47" s="135"/>
      <c r="B47" s="136"/>
      <c r="C47" s="136"/>
      <c r="D47" s="136"/>
      <c r="E47" s="137"/>
    </row>
    <row r="48" spans="1:7" ht="13.5" thickBot="1" x14ac:dyDescent="0.25">
      <c r="A48" s="138" t="s">
        <v>102</v>
      </c>
      <c r="B48" s="139"/>
      <c r="C48" s="140"/>
      <c r="D48" s="139"/>
      <c r="E48" s="141"/>
      <c r="G48" s="4" t="s">
        <v>66</v>
      </c>
    </row>
    <row r="49" spans="1:14" ht="15" customHeight="1" thickBot="1" x14ac:dyDescent="0.25">
      <c r="A49" s="142" t="s">
        <v>71</v>
      </c>
      <c r="B49" s="143" t="s">
        <v>5</v>
      </c>
      <c r="C49" s="144">
        <v>12</v>
      </c>
      <c r="D49" s="145" t="s">
        <v>6</v>
      </c>
      <c r="E49" s="146" t="s">
        <v>76</v>
      </c>
      <c r="H49" s="5" t="s">
        <v>24</v>
      </c>
    </row>
    <row r="50" spans="1:14" ht="15" customHeight="1" thickBot="1" x14ac:dyDescent="0.25">
      <c r="A50" s="142" t="s">
        <v>72</v>
      </c>
      <c r="B50" s="143" t="s">
        <v>73</v>
      </c>
      <c r="C50" s="144">
        <v>35</v>
      </c>
      <c r="D50" s="145" t="s">
        <v>74</v>
      </c>
      <c r="E50" s="146" t="s">
        <v>75</v>
      </c>
      <c r="G50" s="38" t="s">
        <v>49</v>
      </c>
      <c r="H50" s="6">
        <v>0.5</v>
      </c>
      <c r="I50" s="7">
        <v>0.75</v>
      </c>
      <c r="J50" s="7">
        <v>1</v>
      </c>
      <c r="K50" s="7">
        <v>1.5</v>
      </c>
      <c r="L50" s="7">
        <v>2</v>
      </c>
      <c r="M50" s="7">
        <v>2.5</v>
      </c>
      <c r="N50" s="8">
        <v>3</v>
      </c>
    </row>
    <row r="51" spans="1:14" ht="15" customHeight="1" thickBot="1" x14ac:dyDescent="0.25">
      <c r="A51" s="142" t="s">
        <v>77</v>
      </c>
      <c r="B51" s="143" t="s">
        <v>78</v>
      </c>
      <c r="C51" s="144">
        <v>0.4</v>
      </c>
      <c r="D51" s="145" t="s">
        <v>122</v>
      </c>
      <c r="E51" s="146" t="s">
        <v>79</v>
      </c>
      <c r="F51" s="29"/>
      <c r="G51" s="36">
        <v>47</v>
      </c>
      <c r="H51" s="9">
        <f>20/$G51/H$23</f>
        <v>0.85106382978723405</v>
      </c>
      <c r="I51" s="10">
        <f t="shared" ref="I51:N51" si="3">20/$G51/I$23</f>
        <v>0.56737588652482274</v>
      </c>
      <c r="J51" s="10">
        <f t="shared" si="3"/>
        <v>0.42553191489361702</v>
      </c>
      <c r="K51" s="10">
        <f t="shared" si="3"/>
        <v>0.28368794326241137</v>
      </c>
      <c r="L51" s="10">
        <f t="shared" si="3"/>
        <v>0.21276595744680851</v>
      </c>
      <c r="M51" s="10">
        <f t="shared" si="3"/>
        <v>0.1702127659574468</v>
      </c>
      <c r="N51" s="11">
        <f t="shared" si="3"/>
        <v>0.14184397163120568</v>
      </c>
    </row>
    <row r="52" spans="1:14" ht="15" customHeight="1" thickBot="1" x14ac:dyDescent="0.25">
      <c r="A52" s="142" t="s">
        <v>80</v>
      </c>
      <c r="B52" s="143"/>
      <c r="C52" s="147">
        <v>0.5</v>
      </c>
      <c r="D52" s="145"/>
      <c r="E52" s="146" t="s">
        <v>113</v>
      </c>
      <c r="G52" s="37">
        <v>33</v>
      </c>
      <c r="H52" s="12">
        <f t="shared" ref="H52:N55" si="4">20/$G52/H$23</f>
        <v>1.2121212121212122</v>
      </c>
      <c r="I52" s="13">
        <f t="shared" si="4"/>
        <v>0.80808080808080807</v>
      </c>
      <c r="J52" s="13">
        <f t="shared" si="4"/>
        <v>0.60606060606060608</v>
      </c>
      <c r="K52" s="13">
        <f t="shared" si="4"/>
        <v>0.40404040404040403</v>
      </c>
      <c r="L52" s="13">
        <f t="shared" si="4"/>
        <v>0.30303030303030304</v>
      </c>
      <c r="M52" s="13">
        <f t="shared" si="4"/>
        <v>0.24242424242424243</v>
      </c>
      <c r="N52" s="14">
        <f t="shared" si="4"/>
        <v>0.20202020202020202</v>
      </c>
    </row>
    <row r="53" spans="1:14" ht="15" customHeight="1" x14ac:dyDescent="0.2">
      <c r="A53" s="142" t="s">
        <v>11</v>
      </c>
      <c r="B53" s="148" t="s">
        <v>12</v>
      </c>
      <c r="C53" s="149">
        <f>C20</f>
        <v>6.2</v>
      </c>
      <c r="D53" s="150" t="s">
        <v>6</v>
      </c>
      <c r="E53" s="146" t="s">
        <v>76</v>
      </c>
      <c r="G53" s="37">
        <v>22</v>
      </c>
      <c r="H53" s="12">
        <f t="shared" si="4"/>
        <v>1.8181818181818181</v>
      </c>
      <c r="I53" s="13">
        <f t="shared" si="4"/>
        <v>1.2121212121212122</v>
      </c>
      <c r="J53" s="13">
        <f t="shared" si="4"/>
        <v>0.90909090909090906</v>
      </c>
      <c r="K53" s="13">
        <f t="shared" si="4"/>
        <v>0.60606060606060608</v>
      </c>
      <c r="L53" s="13">
        <f t="shared" si="4"/>
        <v>0.45454545454545453</v>
      </c>
      <c r="M53" s="13">
        <f t="shared" si="4"/>
        <v>0.36363636363636365</v>
      </c>
      <c r="N53" s="14">
        <f t="shared" si="4"/>
        <v>0.30303030303030304</v>
      </c>
    </row>
    <row r="54" spans="1:14" ht="15" customHeight="1" x14ac:dyDescent="0.2">
      <c r="A54" s="151" t="s">
        <v>28</v>
      </c>
      <c r="B54" s="148" t="s">
        <v>29</v>
      </c>
      <c r="C54" s="152">
        <f>(C53+C15)/(C49+C15)</f>
        <v>0.53600000000000003</v>
      </c>
      <c r="D54" s="150"/>
      <c r="E54" s="153" t="s">
        <v>30</v>
      </c>
      <c r="G54" s="37">
        <v>15</v>
      </c>
      <c r="H54" s="12">
        <f t="shared" si="4"/>
        <v>2.6666666666666665</v>
      </c>
      <c r="I54" s="13">
        <f t="shared" si="4"/>
        <v>1.7777777777777777</v>
      </c>
      <c r="J54" s="13">
        <f t="shared" si="4"/>
        <v>1.3333333333333333</v>
      </c>
      <c r="K54" s="13">
        <f t="shared" si="4"/>
        <v>0.88888888888888884</v>
      </c>
      <c r="L54" s="13">
        <f t="shared" si="4"/>
        <v>0.66666666666666663</v>
      </c>
      <c r="M54" s="13">
        <f t="shared" si="4"/>
        <v>0.53333333333333333</v>
      </c>
      <c r="N54" s="14">
        <f t="shared" si="4"/>
        <v>0.44444444444444442</v>
      </c>
    </row>
    <row r="55" spans="1:14" ht="15" customHeight="1" x14ac:dyDescent="0.2">
      <c r="A55" s="142" t="s">
        <v>35</v>
      </c>
      <c r="B55" s="154" t="s">
        <v>15</v>
      </c>
      <c r="C55" s="155">
        <f>C28</f>
        <v>0.5</v>
      </c>
      <c r="D55" s="150" t="s">
        <v>16</v>
      </c>
      <c r="E55" s="146" t="s">
        <v>76</v>
      </c>
      <c r="G55" s="19">
        <v>10</v>
      </c>
      <c r="H55" s="15">
        <f t="shared" si="4"/>
        <v>4</v>
      </c>
      <c r="I55" s="16">
        <f t="shared" si="4"/>
        <v>2.6666666666666665</v>
      </c>
      <c r="J55" s="16">
        <f t="shared" si="4"/>
        <v>2</v>
      </c>
      <c r="K55" s="16">
        <f t="shared" si="4"/>
        <v>1.3333333333333333</v>
      </c>
      <c r="L55" s="16">
        <f t="shared" si="4"/>
        <v>1</v>
      </c>
      <c r="M55" s="16">
        <f t="shared" si="4"/>
        <v>0.8</v>
      </c>
      <c r="N55" s="17">
        <f t="shared" si="4"/>
        <v>0.66666666666666663</v>
      </c>
    </row>
    <row r="56" spans="1:14" ht="15" customHeight="1" x14ac:dyDescent="0.2">
      <c r="A56" s="142" t="s">
        <v>81</v>
      </c>
      <c r="B56" s="154" t="s">
        <v>82</v>
      </c>
      <c r="C56" s="156">
        <f>C55*C55*C51*(1+C52) * C54</f>
        <v>8.0400000000000013E-2</v>
      </c>
      <c r="D56" s="150" t="s">
        <v>83</v>
      </c>
      <c r="E56" s="146" t="s">
        <v>84</v>
      </c>
      <c r="F56" s="30"/>
    </row>
    <row r="57" spans="1:14" ht="15" customHeight="1" x14ac:dyDescent="0.2">
      <c r="A57" s="157"/>
      <c r="B57" s="158"/>
      <c r="C57" s="159"/>
      <c r="D57" s="160"/>
      <c r="E57" s="161"/>
    </row>
    <row r="58" spans="1:14" ht="15" customHeight="1" x14ac:dyDescent="0.2">
      <c r="A58" s="142" t="s">
        <v>65</v>
      </c>
      <c r="B58" s="148" t="s">
        <v>45</v>
      </c>
      <c r="C58" s="155">
        <f>C31</f>
        <v>2</v>
      </c>
      <c r="D58" s="150" t="s">
        <v>38</v>
      </c>
      <c r="E58" s="146" t="s">
        <v>76</v>
      </c>
    </row>
    <row r="59" spans="1:14" ht="15" customHeight="1" x14ac:dyDescent="0.2">
      <c r="A59" s="142" t="s">
        <v>85</v>
      </c>
      <c r="B59" s="162" t="s">
        <v>86</v>
      </c>
      <c r="C59" s="163">
        <v>5</v>
      </c>
      <c r="D59" s="150" t="s">
        <v>87</v>
      </c>
      <c r="E59" s="164" t="s">
        <v>104</v>
      </c>
      <c r="F59" s="29"/>
    </row>
    <row r="60" spans="1:14" ht="15" customHeight="1" x14ac:dyDescent="0.2">
      <c r="A60" s="142" t="s">
        <v>88</v>
      </c>
      <c r="B60" s="162" t="s">
        <v>89</v>
      </c>
      <c r="C60" s="155">
        <v>10</v>
      </c>
      <c r="D60" s="150" t="s">
        <v>87</v>
      </c>
      <c r="E60" s="146" t="s">
        <v>103</v>
      </c>
    </row>
    <row r="61" spans="1:14" ht="15" customHeight="1" x14ac:dyDescent="0.2">
      <c r="A61" s="142" t="s">
        <v>90</v>
      </c>
      <c r="B61" s="162" t="s">
        <v>91</v>
      </c>
      <c r="C61" s="156">
        <f>C49*C55*(C59+C60)/2000 *C58</f>
        <v>0.09</v>
      </c>
      <c r="D61" s="150" t="s">
        <v>83</v>
      </c>
      <c r="E61" s="146" t="s">
        <v>92</v>
      </c>
      <c r="G61" s="18"/>
    </row>
    <row r="62" spans="1:14" ht="15" customHeight="1" x14ac:dyDescent="0.2">
      <c r="A62" s="165"/>
      <c r="B62" s="160"/>
      <c r="C62" s="166"/>
      <c r="D62" s="160"/>
      <c r="E62" s="167"/>
    </row>
    <row r="63" spans="1:14" ht="15" customHeight="1" x14ac:dyDescent="0.2">
      <c r="A63" s="142" t="s">
        <v>117</v>
      </c>
      <c r="B63" s="162" t="s">
        <v>114</v>
      </c>
      <c r="C63" s="150">
        <v>2.5</v>
      </c>
      <c r="D63" s="150" t="s">
        <v>115</v>
      </c>
      <c r="E63" s="146" t="s">
        <v>121</v>
      </c>
    </row>
    <row r="64" spans="1:14" ht="15" customHeight="1" x14ac:dyDescent="0.2">
      <c r="A64" s="142" t="s">
        <v>118</v>
      </c>
      <c r="B64" s="154" t="s">
        <v>116</v>
      </c>
      <c r="C64" s="168">
        <f>C63/1000 * C49</f>
        <v>0.03</v>
      </c>
      <c r="D64" s="150" t="s">
        <v>83</v>
      </c>
      <c r="E64" s="146" t="s">
        <v>119</v>
      </c>
      <c r="F64" s="29"/>
    </row>
    <row r="65" spans="1:6" ht="15" customHeight="1" x14ac:dyDescent="0.2">
      <c r="A65" s="169"/>
      <c r="B65" s="160"/>
      <c r="C65" s="160"/>
      <c r="D65" s="160"/>
      <c r="E65" s="161"/>
      <c r="F65" s="29"/>
    </row>
    <row r="66" spans="1:6" ht="15" customHeight="1" x14ac:dyDescent="0.2">
      <c r="A66" s="142" t="s">
        <v>93</v>
      </c>
      <c r="B66" s="162" t="s">
        <v>94</v>
      </c>
      <c r="C66" s="156">
        <f>C56+C61+C64</f>
        <v>0.20039999999999999</v>
      </c>
      <c r="D66" s="150" t="s">
        <v>83</v>
      </c>
      <c r="E66" s="146" t="s">
        <v>120</v>
      </c>
      <c r="F66" s="29"/>
    </row>
    <row r="67" spans="1:6" ht="15" customHeight="1" thickBot="1" x14ac:dyDescent="0.25">
      <c r="A67" s="142" t="s">
        <v>95</v>
      </c>
      <c r="B67" s="162" t="s">
        <v>96</v>
      </c>
      <c r="C67" s="170">
        <f>C66*C50</f>
        <v>7.0140000000000002</v>
      </c>
      <c r="D67" s="150" t="s">
        <v>97</v>
      </c>
      <c r="E67" s="153"/>
    </row>
    <row r="68" spans="1:6" ht="15" customHeight="1" thickBot="1" x14ac:dyDescent="0.25">
      <c r="A68" s="142" t="s">
        <v>98</v>
      </c>
      <c r="B68" s="171" t="s">
        <v>99</v>
      </c>
      <c r="C68" s="172">
        <v>85</v>
      </c>
      <c r="D68" s="173" t="s">
        <v>97</v>
      </c>
      <c r="E68" s="153"/>
    </row>
    <row r="69" spans="1:6" ht="15" customHeight="1" thickBot="1" x14ac:dyDescent="0.25">
      <c r="A69" s="174" t="s">
        <v>101</v>
      </c>
      <c r="B69" s="175" t="s">
        <v>100</v>
      </c>
      <c r="C69" s="176">
        <f>C68+C67</f>
        <v>92.013999999999996</v>
      </c>
      <c r="D69" s="177" t="s">
        <v>97</v>
      </c>
      <c r="E69" s="178"/>
    </row>
    <row r="71" spans="1:6" x14ac:dyDescent="0.2">
      <c r="A71" s="20"/>
      <c r="B71" s="20"/>
      <c r="C71" s="20"/>
      <c r="D71" s="20"/>
      <c r="E71" s="20"/>
    </row>
    <row r="72" spans="1:6" x14ac:dyDescent="0.2">
      <c r="A72" s="20"/>
      <c r="B72" s="20"/>
      <c r="C72" s="20"/>
      <c r="D72" s="20"/>
      <c r="E72" s="20"/>
    </row>
    <row r="73" spans="1:6" x14ac:dyDescent="0.2">
      <c r="A73" s="20"/>
      <c r="B73" s="20"/>
      <c r="C73" s="20"/>
      <c r="D73" s="20"/>
      <c r="E73" s="20"/>
    </row>
    <row r="74" spans="1:6" x14ac:dyDescent="0.2">
      <c r="A74" s="20"/>
      <c r="B74" s="20"/>
      <c r="C74" s="20"/>
      <c r="D74" s="20"/>
      <c r="E74" s="20"/>
    </row>
    <row r="75" spans="1:6" x14ac:dyDescent="0.2">
      <c r="A75" s="20"/>
      <c r="B75" s="20"/>
      <c r="C75" s="20"/>
      <c r="D75" s="20"/>
      <c r="E75" s="20"/>
    </row>
    <row r="76" spans="1:6" x14ac:dyDescent="0.2">
      <c r="A76" s="20"/>
      <c r="B76" s="20"/>
      <c r="C76" s="20"/>
      <c r="D76" s="20"/>
      <c r="E76" s="20"/>
    </row>
    <row r="77" spans="1:6" x14ac:dyDescent="0.2">
      <c r="A77" s="20"/>
      <c r="B77" s="20"/>
      <c r="C77" s="20"/>
      <c r="D77" s="20"/>
      <c r="E77" s="20"/>
    </row>
    <row r="78" spans="1:6" x14ac:dyDescent="0.2">
      <c r="A78" s="20"/>
      <c r="B78" s="20"/>
      <c r="C78" s="20"/>
      <c r="D78" s="20"/>
      <c r="E78" s="20"/>
    </row>
    <row r="79" spans="1:6" x14ac:dyDescent="0.2">
      <c r="A79" s="20"/>
      <c r="B79" s="20"/>
      <c r="C79" s="20"/>
      <c r="D79" s="20"/>
      <c r="E79" s="20"/>
    </row>
    <row r="80" spans="1:6" x14ac:dyDescent="0.2">
      <c r="A80" s="20"/>
      <c r="B80" s="20"/>
      <c r="C80" s="20"/>
      <c r="D80" s="20"/>
      <c r="E80" s="20"/>
    </row>
    <row r="81" spans="1:5" x14ac:dyDescent="0.2">
      <c r="A81" s="20"/>
      <c r="B81" s="20"/>
      <c r="C81" s="20"/>
      <c r="D81" s="20"/>
      <c r="E81" s="20"/>
    </row>
    <row r="82" spans="1:5" x14ac:dyDescent="0.2">
      <c r="A82" s="20"/>
      <c r="B82" s="20"/>
      <c r="C82" s="20"/>
      <c r="D82" s="20"/>
      <c r="E82" s="20"/>
    </row>
    <row r="83" spans="1:5" x14ac:dyDescent="0.2">
      <c r="A83" s="20"/>
      <c r="B83" s="20"/>
      <c r="C83" s="20"/>
      <c r="D83" s="20"/>
      <c r="E83" s="20"/>
    </row>
    <row r="84" spans="1:5" x14ac:dyDescent="0.2">
      <c r="A84" s="20"/>
      <c r="B84" s="20"/>
      <c r="C84" s="20"/>
      <c r="D84" s="20"/>
      <c r="E84" s="20"/>
    </row>
    <row r="85" spans="1:5" x14ac:dyDescent="0.2">
      <c r="A85" s="20"/>
      <c r="B85" s="20"/>
      <c r="C85" s="20"/>
      <c r="D85" s="20"/>
      <c r="E85" s="20"/>
    </row>
    <row r="86" spans="1:5" x14ac:dyDescent="0.2">
      <c r="A86" s="21"/>
      <c r="B86" s="20"/>
      <c r="C86" s="20"/>
      <c r="D86" s="20"/>
      <c r="E86" s="20"/>
    </row>
  </sheetData>
  <sheetProtection password="CA34" sheet="1" objects="1" scenarios="1" selectLockedCells="1"/>
  <mergeCells count="14">
    <mergeCell ref="A42:E42"/>
    <mergeCell ref="A48:E48"/>
    <mergeCell ref="A1:E1"/>
    <mergeCell ref="A2:C2"/>
    <mergeCell ref="A3:C3"/>
    <mergeCell ref="A4:C4"/>
    <mergeCell ref="A5:C5"/>
    <mergeCell ref="A6:C6"/>
    <mergeCell ref="A7:C7"/>
    <mergeCell ref="A41:E41"/>
    <mergeCell ref="A35:E35"/>
    <mergeCell ref="A33:E33"/>
    <mergeCell ref="A17:E17"/>
    <mergeCell ref="A47:E47"/>
  </mergeCells>
  <pageMargins left="0.75" right="0.5" top="0.75" bottom="0.25" header="0.5" footer="0.25"/>
  <pageSetup scale="96" orientation="portrait" horizontalDpi="4294967292" r:id="rId1"/>
  <headerFooter alignWithMargins="0">
    <oddHeader>&amp;L&amp;F&amp;C&amp;D&amp;R&amp;A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Component Calculator</vt:lpstr>
      <vt:lpstr>'Component Calculator'!Print_Area</vt:lpstr>
    </vt:vector>
  </TitlesOfParts>
  <Company>Allegro MicroSystems,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Allegro Employee</dc:creator>
  <cp:lastModifiedBy>Garvey, Richard</cp:lastModifiedBy>
  <dcterms:created xsi:type="dcterms:W3CDTF">2011-05-24T13:36:41Z</dcterms:created>
  <dcterms:modified xsi:type="dcterms:W3CDTF">2016-08-31T18:03:19Z</dcterms:modified>
</cp:coreProperties>
</file>