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30" windowWidth="17270" windowHeight="8060" activeTab="2"/>
  </bookViews>
  <sheets>
    <sheet name="BOOST" sheetId="1" r:id="rId1"/>
    <sheet name="BUCK-BOOST" sheetId="4" r:id="rId2"/>
    <sheet name="BUCK" sheetId="5" r:id="rId3"/>
  </sheets>
  <externalReferences>
    <externalReference r:id="rId4"/>
    <externalReference r:id="rId5"/>
  </externalReferences>
  <definedNames>
    <definedName name="_xlnm.Print_Area" localSheetId="1">'BUCK-BOOST'!$A$1:$F$36</definedName>
  </definedNames>
  <calcPr calcId="145621" iterate="1"/>
</workbook>
</file>

<file path=xl/calcChain.xml><?xml version="1.0" encoding="utf-8"?>
<calcChain xmlns="http://schemas.openxmlformats.org/spreadsheetml/2006/main">
  <c r="B61" i="5" l="1"/>
  <c r="A61" i="5"/>
  <c r="A59" i="5"/>
  <c r="B58" i="5"/>
  <c r="E56" i="5"/>
  <c r="C56" i="5"/>
  <c r="A56" i="5"/>
  <c r="D52" i="5"/>
  <c r="I50" i="5"/>
  <c r="B43" i="5"/>
  <c r="B39" i="5"/>
  <c r="B40" i="5" s="1"/>
  <c r="B34" i="5"/>
  <c r="H52" i="5" s="1"/>
  <c r="B33" i="5"/>
  <c r="B35" i="5" s="1"/>
  <c r="B36" i="5" s="1"/>
  <c r="B30" i="5"/>
  <c r="B25" i="5"/>
  <c r="B24" i="5"/>
  <c r="B27" i="5" s="1"/>
  <c r="B23" i="5"/>
  <c r="B19" i="5"/>
  <c r="B18" i="5"/>
  <c r="B21" i="5" s="1"/>
  <c r="B17" i="5"/>
  <c r="B16" i="5"/>
  <c r="C12" i="5"/>
  <c r="B37" i="5" l="1"/>
  <c r="I51" i="5"/>
  <c r="A35" i="5"/>
  <c r="H51" i="5"/>
  <c r="H53" i="5"/>
  <c r="A67" i="4" l="1"/>
  <c r="B66" i="4"/>
  <c r="A65" i="4"/>
  <c r="B64" i="4"/>
  <c r="E62" i="4"/>
  <c r="A62" i="4"/>
  <c r="D58" i="4"/>
  <c r="A53" i="4"/>
  <c r="B49" i="4"/>
  <c r="B35" i="4"/>
  <c r="B28" i="4"/>
  <c r="B21" i="4"/>
  <c r="B22" i="4" s="1"/>
  <c r="B16" i="4"/>
  <c r="B19" i="4" s="1"/>
  <c r="J10" i="4"/>
  <c r="J9" i="4"/>
  <c r="J12" i="4" s="1"/>
  <c r="J8" i="4"/>
  <c r="J13" i="4" s="1"/>
  <c r="B20" i="4" l="1"/>
  <c r="B26" i="4" s="1"/>
  <c r="B38" i="4"/>
  <c r="B39" i="4" s="1"/>
  <c r="B45" i="4"/>
  <c r="B46" i="4" s="1"/>
  <c r="B40" i="4"/>
  <c r="B29" i="4"/>
  <c r="B32" i="4" s="1"/>
  <c r="B41" i="4" l="1"/>
  <c r="B42" i="4" s="1"/>
  <c r="I56" i="4"/>
  <c r="A41" i="4"/>
  <c r="H59" i="4"/>
  <c r="H57" i="4"/>
  <c r="H58" i="4"/>
  <c r="B23" i="4"/>
  <c r="B24" i="4" s="1"/>
  <c r="I57" i="4" l="1"/>
  <c r="B43" i="4"/>
  <c r="B30" i="4"/>
  <c r="H9" i="1" l="1"/>
  <c r="B19" i="1"/>
  <c r="H21" i="1" l="1"/>
  <c r="H23" i="1" s="1"/>
  <c r="H22" i="1" l="1"/>
  <c r="H10" i="1"/>
  <c r="H8" i="1"/>
  <c r="B21" i="1"/>
  <c r="B22" i="1" s="1"/>
  <c r="A65" i="1" l="1"/>
  <c r="B28" i="1"/>
  <c r="E62" i="1"/>
  <c r="D58" i="1"/>
  <c r="A67" i="1"/>
  <c r="B49" i="1"/>
  <c r="A53" i="1"/>
  <c r="A62" i="1"/>
  <c r="B66" i="1"/>
  <c r="B64" i="1"/>
  <c r="B35" i="1"/>
  <c r="B45" i="1" s="1"/>
  <c r="B46" i="1" s="1"/>
  <c r="C13" i="1"/>
  <c r="B20" i="1"/>
  <c r="B23" i="1" s="1"/>
  <c r="B24" i="1" s="1"/>
  <c r="B29" i="1"/>
  <c r="B32" i="1"/>
  <c r="B38" i="1"/>
  <c r="B39" i="1" s="1"/>
  <c r="B40" i="1"/>
  <c r="H57" i="1" s="1"/>
  <c r="H58" i="1"/>
  <c r="B26" i="1" l="1"/>
  <c r="A41" i="1"/>
  <c r="B41" i="1"/>
  <c r="B42" i="1" s="1"/>
  <c r="I56" i="1"/>
  <c r="B30" i="1"/>
  <c r="H59" i="1"/>
  <c r="I57" i="1" l="1"/>
  <c r="B43" i="1"/>
  <c r="H12" i="1"/>
  <c r="H13" i="1"/>
</calcChain>
</file>

<file path=xl/comments1.xml><?xml version="1.0" encoding="utf-8"?>
<comments xmlns="http://schemas.openxmlformats.org/spreadsheetml/2006/main">
  <authors>
    <author>Peter Tod</author>
  </authors>
  <commentList>
    <comment ref="B10" authorId="0">
      <text>
        <r>
          <rPr>
            <sz val="9"/>
            <color indexed="81"/>
            <rFont val="Tahoma"/>
            <family val="2"/>
          </rPr>
          <t xml:space="preserve">
This parameter can be taken from the quoted value in the LED datasheet assuming the test current is similar to the application operating current. Note: the dynamic resistance varies with operating current.
The dynamic resistance can also be found from the forward voltage drop, Vf versus forward current, If curve. Take the operating point (LED current) and run a tangential line to another point close to this current value (say within 5 to 10% of this value). The gradient (</t>
        </r>
        <r>
          <rPr>
            <sz val="9"/>
            <color indexed="81"/>
            <rFont val="Calibri"/>
            <family val="2"/>
          </rPr>
          <t xml:space="preserve">ΔV/ ΔI) </t>
        </r>
        <r>
          <rPr>
            <sz val="9"/>
            <color indexed="81"/>
            <rFont val="Tahoma"/>
            <family val="2"/>
          </rPr>
          <t xml:space="preserve">can be determined and the effective dynamic resistance.
Alternatively, if the LED data is not available a reasonable estimate can determined by measurement:
Set up a power supply across the LED string or individual LED with the current limit set to the LED operating current (ILED1). Increase the power supply voltage until the LEDs  are fully on and the supply just operates at current limit. Note the power supply voltage (Vf1). Then reduce the current limit slightly, say by 5 to 10% and note the current (ILED2) and power supply voltage (Vf2). The dynamic resistance of either the individual LED or LED stack can be determined: 
Rdyn = (Vf1 - Vf2)/ (ILED1 - ILED2)  </t>
        </r>
      </text>
    </comment>
    <comment ref="H13" authorId="0">
      <text>
        <r>
          <rPr>
            <sz val="9"/>
            <color indexed="81"/>
            <rFont val="Tahoma"/>
            <family val="2"/>
          </rPr>
          <t xml:space="preserve">
Use quadratic formulae to solve for maximum D. </t>
        </r>
      </text>
    </comment>
    <comment ref="B16" authorId="0">
      <text>
        <r>
          <rPr>
            <sz val="9"/>
            <color indexed="81"/>
            <rFont val="Tahoma"/>
            <family val="2"/>
          </rPr>
          <t xml:space="preserve">
The MOSFET Rds should factor in the minimum Vgs (at minimum VIN) and the approximate maximum junction temperature.
</t>
        </r>
      </text>
    </comment>
    <comment ref="B17" authorId="0">
      <text>
        <r>
          <rPr>
            <sz val="9"/>
            <color indexed="81"/>
            <rFont val="Tahoma"/>
            <family val="2"/>
          </rPr>
          <t xml:space="preserve">
From a size, reliability andperformance point of view, select a quality ceramic dielectric such as X7R or X8R</t>
        </r>
      </text>
    </comment>
    <comment ref="B20" authorId="0">
      <text>
        <r>
          <rPr>
            <sz val="9"/>
            <color indexed="81"/>
            <rFont val="Tahoma"/>
            <family val="2"/>
          </rPr>
          <t xml:space="preserve">
This is the average current. The inductor should be chosen so that the average or rms current is greater than this value with some margin. 
It is also important to consider the temperature rise that the inductor rms current is specified with. The inductor temperature rating can be given as the ambient plus the effects of self-heating. </t>
        </r>
      </text>
    </comment>
    <comment ref="B23" authorId="0">
      <text>
        <r>
          <rPr>
            <sz val="9"/>
            <color indexed="81"/>
            <rFont val="Tahoma"/>
            <charset val="1"/>
          </rPr>
          <t xml:space="preserve">
The ripple current is reduced at &lt;5.1V to try and minimise the effects of too large ripple at higher line voltages.
</t>
        </r>
      </text>
    </comment>
    <comment ref="B26" authorId="0">
      <text>
        <r>
          <rPr>
            <sz val="9"/>
            <color indexed="81"/>
            <rFont val="Tahoma"/>
            <family val="2"/>
          </rPr>
          <t xml:space="preserve">
This is the peak current. The inductor should be chosen so that the saturation current is greater than this value with some margin; perhaps  10 to 20%. Note that the effects of power loss in the driver circuit has not been factored in. </t>
        </r>
      </text>
    </comment>
    <comment ref="B29" authorId="0">
      <text>
        <r>
          <rPr>
            <sz val="9"/>
            <color indexed="81"/>
            <rFont val="Tahoma"/>
            <family val="2"/>
          </rPr>
          <t xml:space="preserve">
Based on formula derived by Ridley: 
ramp slope = down slope x (1 - (0.18/Dmax)) </t>
        </r>
      </text>
    </comment>
    <comment ref="B30" authorId="0">
      <text>
        <r>
          <rPr>
            <sz val="9"/>
            <color indexed="81"/>
            <rFont val="Tahoma"/>
            <family val="2"/>
          </rPr>
          <t xml:space="preserve">
MOSFET sense resistor has to factor in both the inductor current during MOSFET on time plus the effects of the slope compensation and bias current.
Set the peak sense voltage on the SP pin to be 20% below the minimum Vids voltage (380mV) = 320mV</t>
        </r>
      </text>
    </comment>
    <comment ref="B32" authorId="0">
      <text>
        <r>
          <rPr>
            <sz val="9"/>
            <color indexed="81"/>
            <rFont val="Tahoma"/>
            <family val="2"/>
          </rPr>
          <t xml:space="preserve">
Slope compensation resistor = 
Slope compensation x Rss  divided by the internal current ramp amplitude in 1us. </t>
        </r>
      </text>
    </comment>
    <comment ref="B39" authorId="0">
      <text>
        <r>
          <rPr>
            <sz val="9"/>
            <color indexed="81"/>
            <rFont val="Tahoma"/>
            <family val="2"/>
          </rPr>
          <t xml:space="preserve">
To minimise the negative effects of the right hand plane zero (increased gain and reduced phase margin), the crossover frequency is chosen to be a fifth of the RHP zero position at minimum input voltage.  </t>
        </r>
      </text>
    </comment>
    <comment ref="B41" authorId="0">
      <text>
        <r>
          <rPr>
            <sz val="9"/>
            <color indexed="81"/>
            <rFont val="Tahoma"/>
            <family val="2"/>
          </rPr>
          <t xml:space="preserve">
Assumes a single pole roll off at -20dB/decade from error amplifier pole to crossover frequency. This achieves a phase margin of approximately 90 degrees.</t>
        </r>
      </text>
    </comment>
    <comment ref="B45" authorId="0">
      <text>
        <r>
          <rPr>
            <sz val="9"/>
            <color indexed="81"/>
            <rFont val="Tahoma"/>
            <family val="2"/>
          </rPr>
          <t xml:space="preserve">
To ensure a 20dB/dec roll off the output power pole and the error amplifier zero must occur at the same frequency. There are enough knowns to find the output power pole.</t>
        </r>
      </text>
    </comment>
  </commentList>
</comments>
</file>

<file path=xl/comments2.xml><?xml version="1.0" encoding="utf-8"?>
<comments xmlns="http://schemas.openxmlformats.org/spreadsheetml/2006/main">
  <authors>
    <author>Peter Tod</author>
  </authors>
  <commentList>
    <comment ref="B10" authorId="0">
      <text>
        <r>
          <rPr>
            <sz val="9"/>
            <color indexed="81"/>
            <rFont val="Tahoma"/>
            <family val="2"/>
          </rPr>
          <t xml:space="preserve">
This parameter can be taken from the quoted value in the LED datasheet assuming the test current is similar to the application operating current. Note: the dynamic resistance varies with operating current.
The dynamic resistance can also be found from the forward voltage drop, Vf versus forward current, If curve. Take the operating point (LED current) and run a tangential line to another point close to this current value (say within 5 to 10% of this value). The gradient (</t>
        </r>
        <r>
          <rPr>
            <sz val="9"/>
            <color indexed="81"/>
            <rFont val="Calibri"/>
            <family val="2"/>
          </rPr>
          <t xml:space="preserve">ΔV/ ΔI) </t>
        </r>
        <r>
          <rPr>
            <sz val="9"/>
            <color indexed="81"/>
            <rFont val="Tahoma"/>
            <family val="2"/>
          </rPr>
          <t xml:space="preserve">can be determined and the effective dynamic resistance.
Alternatively, if the LED data is not available a reasonable estimate can determined by measurement:
Set up a power supply across the LED string or individual LED with the current limit set to the LED operating current (ILED1). Increase the power supply voltage until the LEDs  are fully on and the supply just operates at current limit. Note the power supply voltage (Vf1). Then reduce the current limit slightly, say by 5 to 10% and note the current (ILED2) and power supply voltage (Vf2). The dynamic resistance of either the individual LED or LED stack can be determined: 
Rdyn = (Vf1 - Vf2)/ (ILED1 - ILED2)  </t>
        </r>
      </text>
    </comment>
    <comment ref="J12" authorId="0">
      <text>
        <r>
          <rPr>
            <sz val="9"/>
            <color indexed="81"/>
            <rFont val="Tahoma"/>
            <family val="2"/>
          </rPr>
          <t xml:space="preserve">
Use quadratic formulae to solve for maximum D. </t>
        </r>
      </text>
    </comment>
    <comment ref="B16" authorId="0">
      <text>
        <r>
          <rPr>
            <sz val="9"/>
            <color indexed="81"/>
            <rFont val="Tahoma"/>
            <charset val="1"/>
          </rPr>
          <t xml:space="preserve">
The MOSFET Rds should factor in the minimum Vgs (at minimum VIN) and the approximate maximum junction temperature.
</t>
        </r>
      </text>
    </comment>
    <comment ref="B17" authorId="0">
      <text>
        <r>
          <rPr>
            <sz val="9"/>
            <color indexed="81"/>
            <rFont val="Tahoma"/>
            <family val="2"/>
          </rPr>
          <t xml:space="preserve">
From a size, reliability andperformance point of view, select a quality ceramic dielectric such as X7R or X8R</t>
        </r>
      </text>
    </comment>
    <comment ref="B20" authorId="0">
      <text>
        <r>
          <rPr>
            <sz val="9"/>
            <color indexed="81"/>
            <rFont val="Tahoma"/>
            <family val="2"/>
          </rPr>
          <t xml:space="preserve">
This is the average current. The inductor should be chosen so that the average or rms current is greater than this value with some margin. 
It is also important to consider the temperature rise that the inductor rms current is specified with. The inductor temperature rating can be given as the ambient plus the effects of self-heating. </t>
        </r>
      </text>
    </comment>
    <comment ref="B22" authorId="0">
      <text>
        <r>
          <rPr>
            <sz val="9"/>
            <color indexed="81"/>
            <rFont val="Tahoma"/>
            <charset val="1"/>
          </rPr>
          <t xml:space="preserve">
At nominal input voltage
</t>
        </r>
      </text>
    </comment>
    <comment ref="B26" authorId="0">
      <text>
        <r>
          <rPr>
            <sz val="9"/>
            <color indexed="81"/>
            <rFont val="Tahoma"/>
            <family val="2"/>
          </rPr>
          <t xml:space="preserve">
This is the peak current. The inductor should be chosen so that the saturation current is greater than this value with some margin; perhaps  10 to 20%. Note that the effects of power loss in the driver circuit has not been factored in. </t>
        </r>
      </text>
    </comment>
    <comment ref="B29" authorId="0">
      <text>
        <r>
          <rPr>
            <sz val="9"/>
            <color indexed="81"/>
            <rFont val="Tahoma"/>
            <family val="2"/>
          </rPr>
          <t xml:space="preserve">
Based on formula derived by Ridley: 
ramp slope = down slope x (1 - (0.18/Dmax)) </t>
        </r>
      </text>
    </comment>
    <comment ref="B30" authorId="0">
      <text>
        <r>
          <rPr>
            <sz val="9"/>
            <color indexed="81"/>
            <rFont val="Tahoma"/>
            <family val="2"/>
          </rPr>
          <t xml:space="preserve">
MOSFET sense resistor has to factor in both the inductor current during MOSFET on time plus the effects of the slope compensation and bias current.
Set the peak sense voltage on the SP pin to be 20% below the minimum Vids voltage (380mV) = 320mV</t>
        </r>
      </text>
    </comment>
    <comment ref="B32" authorId="0">
      <text>
        <r>
          <rPr>
            <sz val="9"/>
            <color indexed="81"/>
            <rFont val="Tahoma"/>
            <family val="2"/>
          </rPr>
          <t xml:space="preserve">
Slope compensation resistor = 
Slope compensation x Rss  divided by the internal current ramp amplitude in 1us. </t>
        </r>
      </text>
    </comment>
    <comment ref="B39" authorId="0">
      <text>
        <r>
          <rPr>
            <sz val="9"/>
            <color indexed="81"/>
            <rFont val="Tahoma"/>
            <family val="2"/>
          </rPr>
          <t xml:space="preserve">
To minimise the negative effects of the right hand plane zero (increased gain and reduced phase margin), the crossover frequency is chosen to be a sixth
 of the RHP zero position at minimum input voltage.  </t>
        </r>
      </text>
    </comment>
    <comment ref="B41" authorId="0">
      <text>
        <r>
          <rPr>
            <sz val="9"/>
            <color indexed="81"/>
            <rFont val="Tahoma"/>
            <family val="2"/>
          </rPr>
          <t xml:space="preserve">
Assumes a single pole roll off at -20dB/decade from error amplifier pole to crossover frequency. This achieves a phase margin of approximately 90 degrees.</t>
        </r>
      </text>
    </comment>
    <comment ref="B45" authorId="0">
      <text>
        <r>
          <rPr>
            <sz val="9"/>
            <color indexed="81"/>
            <rFont val="Tahoma"/>
            <family val="2"/>
          </rPr>
          <t xml:space="preserve">
To ensure a 20dB/dec roll off the output power pole and the error amplifier zero must occur at the same frequency. There are enough knowns to find the output power pole.</t>
        </r>
      </text>
    </comment>
  </commentList>
</comments>
</file>

<file path=xl/comments3.xml><?xml version="1.0" encoding="utf-8"?>
<comments xmlns="http://schemas.openxmlformats.org/spreadsheetml/2006/main">
  <authors>
    <author>Peter Tod</author>
  </authors>
  <commentList>
    <comment ref="B9" authorId="0">
      <text>
        <r>
          <rPr>
            <sz val="9"/>
            <color indexed="81"/>
            <rFont val="Tahoma"/>
            <family val="2"/>
          </rPr>
          <t xml:space="preserve">
This parameter can be taken from the quoted value in the LED datasheet assuming the test current is similar to the application operating current. Note: the dynamic resistance varies with operating current.
The dynamic resistance can also be found from the forward voltage drop, Vf versus forward current, If curve. Take the operating point (LED current) and run a tangential line to another point close to this current value (say within 5 to 10% of this value). The gradient (</t>
        </r>
        <r>
          <rPr>
            <sz val="9"/>
            <color indexed="81"/>
            <rFont val="Calibri"/>
            <family val="2"/>
          </rPr>
          <t xml:space="preserve">ΔV/ ΔI) </t>
        </r>
        <r>
          <rPr>
            <sz val="9"/>
            <color indexed="81"/>
            <rFont val="Tahoma"/>
            <family val="2"/>
          </rPr>
          <t xml:space="preserve">can be determined and the effective dynamic resistance.
Alternatively, if the LED data is not available a reasonable estimate can determined by measurement:
Set up a power supply across the LED string or individual LED with the current limit set to the LED operating current (ILED1). Increase the power supply voltage until the LEDs  are fully on and the supply just operates at current limit. Note the power supply voltage (Vf1). Then reduce the current limit slightly, say by 5 to 10% and note the current (ILED2) and power supply voltage (Vf2). The dynamic resistance of either the individual LED or LED stack can be determined: 
Rdyn = (Vf1 - Vf2)/ (ILED1 - ILED2)  </t>
        </r>
      </text>
    </comment>
    <comment ref="B14" authorId="0">
      <text>
        <r>
          <rPr>
            <sz val="9"/>
            <color indexed="81"/>
            <rFont val="Tahoma"/>
            <family val="2"/>
          </rPr>
          <t xml:space="preserve">
From a size, reliability andperformance point of view, select a quality ceramic dielectric such as X7R or X8R</t>
        </r>
      </text>
    </comment>
    <comment ref="B17" authorId="0">
      <text>
        <r>
          <rPr>
            <sz val="9"/>
            <color indexed="81"/>
            <rFont val="Tahoma"/>
            <family val="2"/>
          </rPr>
          <t xml:space="preserve">
This is the average current. The inductor should be chosen so that the average or rms current is greater than this value with some margin. 
It is also important to consider the temperature rise that the inductor rms current is specified with. The inductor temperature rating can be given as the ambient plus the effects of self-heating. </t>
        </r>
      </text>
    </comment>
    <comment ref="B21" authorId="0">
      <text>
        <r>
          <rPr>
            <sz val="9"/>
            <color indexed="81"/>
            <rFont val="Tahoma"/>
            <family val="2"/>
          </rPr>
          <t xml:space="preserve">
This is the peak current. The inductor should be chosen so that the saturation current is greater than this value with some margin; perhaps  10 to 20%. Note that the effects of power loss in the driver circuit has not been factored in. </t>
        </r>
      </text>
    </comment>
    <comment ref="B24" authorId="0">
      <text>
        <r>
          <rPr>
            <sz val="9"/>
            <color indexed="81"/>
            <rFont val="Tahoma"/>
            <family val="2"/>
          </rPr>
          <t xml:space="preserve">
Slope compensation simply 3/4 of the downslope.</t>
        </r>
      </text>
    </comment>
    <comment ref="B25" authorId="0">
      <text>
        <r>
          <rPr>
            <sz val="9"/>
            <color indexed="81"/>
            <rFont val="Tahoma"/>
            <family val="2"/>
          </rPr>
          <t xml:space="preserve">
MOSFET sense resistor has to factor in both the inductor current during MOSFET on time plus the effects of the slope compensation and bias current.
Set the peak sense voltage on the SP pin to be 20% below the minimum Vids voltage (380mV) = 320mV</t>
        </r>
      </text>
    </comment>
    <comment ref="B27" authorId="0">
      <text>
        <r>
          <rPr>
            <sz val="9"/>
            <color indexed="81"/>
            <rFont val="Tahoma"/>
            <family val="2"/>
          </rPr>
          <t xml:space="preserve">
Slope compensation resistor = 
Slope compensation x Rss  divided by the internal current ramp amplitude in 1us. </t>
        </r>
      </text>
    </comment>
    <comment ref="B33" authorId="0">
      <text>
        <r>
          <rPr>
            <sz val="9"/>
            <color indexed="81"/>
            <rFont val="Tahoma"/>
            <family val="2"/>
          </rPr>
          <t xml:space="preserve">
Set the cross over frequency to be a 1/13 of the switching frequency.  </t>
        </r>
      </text>
    </comment>
    <comment ref="B35" authorId="0">
      <text>
        <r>
          <rPr>
            <sz val="9"/>
            <color indexed="81"/>
            <rFont val="Tahoma"/>
            <family val="2"/>
          </rPr>
          <t xml:space="preserve">
Assumes a single pole roll off at -20dB/decade from error amplifier pole to crossover frequency. This achieves a phase margin of approximately 90 degrees.</t>
        </r>
      </text>
    </comment>
    <comment ref="B39" authorId="0">
      <text>
        <r>
          <rPr>
            <sz val="9"/>
            <color indexed="81"/>
            <rFont val="Tahoma"/>
            <family val="2"/>
          </rPr>
          <t xml:space="preserve">
To ensure a 20dB/dec roll off the output power pole and the error amplifier zero must occur at the same frequency. There are enough knowns to find the output power pole.</t>
        </r>
      </text>
    </comment>
  </commentList>
</comments>
</file>

<file path=xl/sharedStrings.xml><?xml version="1.0" encoding="utf-8"?>
<sst xmlns="http://schemas.openxmlformats.org/spreadsheetml/2006/main" count="244" uniqueCount="72">
  <si>
    <t>V</t>
  </si>
  <si>
    <t>A</t>
  </si>
  <si>
    <t>kHz</t>
  </si>
  <si>
    <t>Hz</t>
  </si>
  <si>
    <t>nF</t>
  </si>
  <si>
    <t>Ω</t>
  </si>
  <si>
    <t>Calculated Inductor</t>
  </si>
  <si>
    <t>Selected Inductor</t>
  </si>
  <si>
    <r>
      <rPr>
        <sz val="10"/>
        <color theme="1"/>
        <rFont val="Calibri"/>
        <family val="2"/>
      </rPr>
      <t>µ</t>
    </r>
    <r>
      <rPr>
        <sz val="10"/>
        <color theme="1"/>
        <rFont val="Arial"/>
        <family val="2"/>
      </rPr>
      <t>H</t>
    </r>
  </si>
  <si>
    <t>Output Capacitor</t>
  </si>
  <si>
    <t>Enter data in greyed out cells</t>
  </si>
  <si>
    <t>Maximum LED Vf</t>
  </si>
  <si>
    <t>Number of LEDs</t>
  </si>
  <si>
    <t>LED Current</t>
  </si>
  <si>
    <t>Switching Frequency</t>
  </si>
  <si>
    <t>LED Dynamic Resistance</t>
  </si>
  <si>
    <t>Maximum Input Voltage</t>
  </si>
  <si>
    <t>Minimum Input Voltage</t>
  </si>
  <si>
    <t>mA</t>
  </si>
  <si>
    <t>Minimum LED Vf</t>
  </si>
  <si>
    <t xml:space="preserve">Recirculation Diode Vf (Max) </t>
  </si>
  <si>
    <t>Inductor Maximum Mean Current</t>
  </si>
  <si>
    <t>Maximum Duty Cycle</t>
  </si>
  <si>
    <t>Zero RHP</t>
  </si>
  <si>
    <r>
      <t>Current Sense Resistor, R</t>
    </r>
    <r>
      <rPr>
        <vertAlign val="subscript"/>
        <sz val="10"/>
        <color theme="1"/>
        <rFont val="Arial"/>
        <family val="2"/>
      </rPr>
      <t>SL</t>
    </r>
  </si>
  <si>
    <t>Inductor rating (minimal)</t>
  </si>
  <si>
    <t>Crossover Frequency</t>
  </si>
  <si>
    <t>µF</t>
  </si>
  <si>
    <t>A/µs</t>
  </si>
  <si>
    <t>Inductor Current Downslope di/dt</t>
  </si>
  <si>
    <t>Optimum Slope Compensation di/dt</t>
  </si>
  <si>
    <t>Slope Compensation Resistor, Rslope</t>
  </si>
  <si>
    <t>Switching MOSFET Sense Resistor, Rss</t>
  </si>
  <si>
    <t>Selected MOSFET Sense Resistor, Rss</t>
  </si>
  <si>
    <t xml:space="preserve">DC Gain of System </t>
  </si>
  <si>
    <t>F</t>
  </si>
  <si>
    <t>COMP Resistor</t>
  </si>
  <si>
    <t>Selected COMP Capacitor</t>
  </si>
  <si>
    <t>COMP Capacitor</t>
  </si>
  <si>
    <t>Frequency of Error Amplifier Pole</t>
  </si>
  <si>
    <t>Position of Output Pole and Error Amp Zero</t>
  </si>
  <si>
    <t>Gain</t>
  </si>
  <si>
    <t>Frequency</t>
  </si>
  <si>
    <t>A6271 Component Calculator for Boost Mode</t>
  </si>
  <si>
    <t>Selected Compensation Resistor, Rslope</t>
  </si>
  <si>
    <t>Selected COMP Resistor</t>
  </si>
  <si>
    <t>Oscillator Resistor</t>
  </si>
  <si>
    <t>Selected Oscillator Resistor</t>
  </si>
  <si>
    <t>kΩ</t>
  </si>
  <si>
    <t>Selected Current Sense Resistor, RSL</t>
  </si>
  <si>
    <t>Inductor Series Resistance</t>
  </si>
  <si>
    <t>Switching MOSFET Rds</t>
  </si>
  <si>
    <t>Nominal Duty Cycle</t>
  </si>
  <si>
    <t xml:space="preserve">Inductor Nominal Mean Current </t>
  </si>
  <si>
    <t>Nominal Input Voltage</t>
  </si>
  <si>
    <t>a</t>
  </si>
  <si>
    <t>b</t>
  </si>
  <si>
    <t>c</t>
  </si>
  <si>
    <t>Solution 1</t>
  </si>
  <si>
    <t>Solution 2</t>
  </si>
  <si>
    <t>Max D</t>
  </si>
  <si>
    <t>Inductor I</t>
  </si>
  <si>
    <t>Ripple I</t>
  </si>
  <si>
    <t>D at 34V</t>
  </si>
  <si>
    <t xml:space="preserve">Inductor Ripple Current </t>
  </si>
  <si>
    <t>A6271 Component Calculator for Buck Boost Mode</t>
  </si>
  <si>
    <t>Solution1</t>
  </si>
  <si>
    <t>Solution2</t>
  </si>
  <si>
    <t>Inductor Nominal Mean Current</t>
  </si>
  <si>
    <t>Inductor Ripple Current (15%) at maximum D</t>
  </si>
  <si>
    <t>A6271 Component Calculator for Buck Mode</t>
  </si>
  <si>
    <t>Inductor Ripple Current (30%)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</si>
</sst>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12" x14ac:knownFonts="1">
    <font>
      <sz val="11"/>
      <color theme="1"/>
      <name val="Calibri"/>
      <family val="2"/>
      <scheme val="minor"/>
    </font>
    <font>
      <b/>
      <sz val="14"/>
      <color theme="1"/>
      <name val="Calibri"/>
      <family val="2"/>
      <scheme val="minor"/>
    </font>
    <font>
      <sz val="14"/>
      <color theme="1"/>
      <name val="Calibri"/>
      <family val="2"/>
      <scheme val="minor"/>
    </font>
    <font>
      <sz val="10"/>
      <color theme="1"/>
      <name val="Arial"/>
      <family val="2"/>
    </font>
    <font>
      <sz val="10"/>
      <color theme="1"/>
      <name val="Calibri"/>
      <family val="2"/>
    </font>
    <font>
      <sz val="10"/>
      <color rgb="FFFF0000"/>
      <name val="Arial"/>
      <family val="2"/>
    </font>
    <font>
      <sz val="10"/>
      <name val="Arial"/>
      <family val="2"/>
    </font>
    <font>
      <sz val="9"/>
      <color indexed="81"/>
      <name val="Tahoma"/>
      <family val="2"/>
    </font>
    <font>
      <sz val="9"/>
      <color indexed="81"/>
      <name val="Calibri"/>
      <family val="2"/>
    </font>
    <font>
      <vertAlign val="subscript"/>
      <sz val="10"/>
      <color theme="1"/>
      <name val="Arial"/>
      <family val="2"/>
    </font>
    <font>
      <b/>
      <sz val="10"/>
      <color theme="1"/>
      <name val="Arial"/>
      <family val="2"/>
    </font>
    <font>
      <sz val="9"/>
      <color indexed="81"/>
      <name val="Tahoma"/>
      <charset val="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
    <border>
      <left/>
      <right/>
      <top/>
      <bottom/>
      <diagonal/>
    </border>
  </borders>
  <cellStyleXfs count="1">
    <xf numFmtId="0" fontId="0" fillId="0" borderId="0"/>
  </cellStyleXfs>
  <cellXfs count="37">
    <xf numFmtId="0" fontId="0" fillId="0" borderId="0" xfId="0"/>
    <xf numFmtId="0" fontId="0" fillId="0" borderId="0" xfId="0" applyAlignment="1">
      <alignment horizontal="center"/>
    </xf>
    <xf numFmtId="2" fontId="0" fillId="0" borderId="0" xfId="0" applyNumberFormat="1"/>
    <xf numFmtId="164" fontId="0" fillId="0" borderId="0" xfId="0" applyNumberFormat="1"/>
    <xf numFmtId="1" fontId="0" fillId="0" borderId="0" xfId="0" applyNumberFormat="1"/>
    <xf numFmtId="0" fontId="0" fillId="0" borderId="0" xfId="0" applyAlignment="1">
      <alignment horizontal="right"/>
    </xf>
    <xf numFmtId="0" fontId="3" fillId="0" borderId="0" xfId="0" applyFont="1" applyAlignment="1">
      <alignment horizontal="center"/>
    </xf>
    <xf numFmtId="0" fontId="3" fillId="0" borderId="0" xfId="0" applyFont="1"/>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2" fontId="3" fillId="0" borderId="0" xfId="0" applyNumberFormat="1" applyFont="1" applyAlignment="1">
      <alignment horizontal="right"/>
    </xf>
    <xf numFmtId="0" fontId="3" fillId="2" borderId="0" xfId="0" applyFont="1" applyFill="1" applyAlignment="1">
      <alignment horizontal="right"/>
    </xf>
    <xf numFmtId="165" fontId="3" fillId="3" borderId="0" xfId="0" applyNumberFormat="1" applyFont="1" applyFill="1" applyAlignment="1">
      <alignment horizontal="right"/>
    </xf>
    <xf numFmtId="1" fontId="3" fillId="3" borderId="0" xfId="0" applyNumberFormat="1" applyFont="1" applyFill="1" applyAlignment="1">
      <alignment horizontal="right"/>
    </xf>
    <xf numFmtId="0" fontId="10" fillId="2" borderId="0" xfId="0" applyFont="1" applyFill="1" applyAlignment="1">
      <alignment horizontal="right"/>
    </xf>
    <xf numFmtId="165" fontId="10" fillId="2" borderId="0" xfId="0" applyNumberFormat="1" applyFont="1" applyFill="1" applyAlignment="1">
      <alignment horizontal="right"/>
    </xf>
    <xf numFmtId="1" fontId="3" fillId="0" borderId="0" xfId="0" applyNumberFormat="1" applyFont="1" applyAlignment="1">
      <alignment horizontal="right"/>
    </xf>
    <xf numFmtId="11" fontId="3" fillId="0" borderId="0" xfId="0" applyNumberFormat="1" applyFont="1" applyAlignment="1">
      <alignment horizontal="right"/>
    </xf>
    <xf numFmtId="1" fontId="10" fillId="2" borderId="0" xfId="0" applyNumberFormat="1" applyFont="1" applyFill="1" applyAlignment="1">
      <alignment horizontal="right"/>
    </xf>
    <xf numFmtId="165" fontId="3" fillId="0" borderId="0" xfId="0" applyNumberFormat="1" applyFont="1" applyAlignment="1">
      <alignment horizontal="center"/>
    </xf>
    <xf numFmtId="0" fontId="3" fillId="0" borderId="0" xfId="0" applyFont="1" applyAlignment="1"/>
    <xf numFmtId="166" fontId="3" fillId="0" borderId="0" xfId="0" applyNumberFormat="1" applyFont="1"/>
    <xf numFmtId="1" fontId="3" fillId="0" borderId="0" xfId="0" applyNumberFormat="1" applyFont="1"/>
    <xf numFmtId="0" fontId="3" fillId="0" borderId="0" xfId="0" applyFont="1" applyAlignment="1">
      <alignment horizontal="left" indent="9"/>
    </xf>
    <xf numFmtId="0" fontId="3" fillId="0" borderId="0" xfId="0" applyFont="1" applyAlignment="1">
      <alignment horizontal="left" indent="1"/>
    </xf>
    <xf numFmtId="2" fontId="3" fillId="0" borderId="0" xfId="0" applyNumberFormat="1" applyFont="1" applyAlignment="1">
      <alignment horizontal="center"/>
    </xf>
    <xf numFmtId="165" fontId="3" fillId="2" borderId="0" xfId="0" applyNumberFormat="1" applyFont="1" applyFill="1" applyAlignment="1">
      <alignment horizontal="right"/>
    </xf>
    <xf numFmtId="165" fontId="3" fillId="0" borderId="0" xfId="0" applyNumberFormat="1" applyFont="1"/>
    <xf numFmtId="2" fontId="3" fillId="0" borderId="0" xfId="0" applyNumberFormat="1" applyFont="1"/>
    <xf numFmtId="0" fontId="1" fillId="0" borderId="0" xfId="0" applyFont="1" applyAlignment="1">
      <alignment horizontal="center"/>
    </xf>
    <xf numFmtId="0" fontId="2" fillId="0" borderId="0" xfId="0" applyFont="1" applyAlignment="1">
      <alignment horizontal="center"/>
    </xf>
    <xf numFmtId="0" fontId="10" fillId="0" borderId="0" xfId="0" applyFont="1" applyAlignment="1">
      <alignment horizontal="left"/>
    </xf>
    <xf numFmtId="2" fontId="6" fillId="0" borderId="0" xfId="0" applyNumberFormat="1" applyFont="1" applyAlignment="1">
      <alignment horizontal="right"/>
    </xf>
    <xf numFmtId="1" fontId="3" fillId="0" borderId="0" xfId="0" applyNumberFormat="1"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200"/>
              <a:t>Small signal loop response</a:t>
            </a:r>
          </a:p>
        </c:rich>
      </c:tx>
      <c:layout/>
      <c:overlay val="0"/>
    </c:title>
    <c:autoTitleDeleted val="0"/>
    <c:plotArea>
      <c:layout/>
      <c:scatterChart>
        <c:scatterStyle val="lineMarker"/>
        <c:varyColors val="0"/>
        <c:ser>
          <c:idx val="0"/>
          <c:order val="0"/>
          <c:spPr>
            <a:ln>
              <a:solidFill>
                <a:schemeClr val="tx1"/>
              </a:solidFill>
            </a:ln>
          </c:spPr>
          <c:dLbls>
            <c:dLbl>
              <c:idx val="0"/>
              <c:layout>
                <c:manualLayout>
                  <c:x val="-4.4336904705798597E-2"/>
                  <c:y val="-4.7058823529411813E-2"/>
                </c:manualLayout>
              </c:layout>
              <c:showLegendKey val="0"/>
              <c:showVal val="0"/>
              <c:showCatName val="1"/>
              <c:showSerName val="0"/>
              <c:showPercent val="0"/>
              <c:showBubbleSize val="0"/>
            </c:dLbl>
            <c:dLbl>
              <c:idx val="2"/>
              <c:layout>
                <c:manualLayout>
                  <c:x val="-8.3131287212705619E-3"/>
                  <c:y val="-3.9215686274509845E-2"/>
                </c:manualLayout>
              </c:layout>
              <c:showLegendKey val="0"/>
              <c:showVal val="1"/>
              <c:showCatName val="0"/>
              <c:showSerName val="0"/>
              <c:showPercent val="0"/>
              <c:showBubbleSize val="0"/>
            </c:dLbl>
            <c:showLegendKey val="0"/>
            <c:showVal val="0"/>
            <c:showCatName val="0"/>
            <c:showSerName val="0"/>
            <c:showPercent val="0"/>
            <c:showBubbleSize val="0"/>
          </c:dLbls>
          <c:xVal>
            <c:numRef>
              <c:f>BOOST!$I$56:$I$58</c:f>
              <c:numCache>
                <c:formatCode>0.00</c:formatCode>
                <c:ptCount val="3"/>
                <c:pt idx="0" formatCode="0">
                  <c:v>1172.3453870465526</c:v>
                </c:pt>
                <c:pt idx="1">
                  <c:v>0.13059737067868044</c:v>
                </c:pt>
                <c:pt idx="2" formatCode="General">
                  <c:v>0.1</c:v>
                </c:pt>
              </c:numCache>
            </c:numRef>
          </c:xVal>
          <c:yVal>
            <c:numRef>
              <c:f>BOOST!$H$56:$H$58</c:f>
              <c:numCache>
                <c:formatCode>0.0</c:formatCode>
                <c:ptCount val="3"/>
                <c:pt idx="0" formatCode="General">
                  <c:v>0</c:v>
                </c:pt>
                <c:pt idx="1">
                  <c:v>79.062422910958702</c:v>
                </c:pt>
                <c:pt idx="2">
                  <c:v>79.062422910958702</c:v>
                </c:pt>
              </c:numCache>
            </c:numRef>
          </c:yVal>
          <c:smooth val="0"/>
        </c:ser>
        <c:ser>
          <c:idx val="1"/>
          <c:order val="1"/>
          <c:dLbls>
            <c:dLbl>
              <c:idx val="0"/>
              <c:layout>
                <c:manualLayout>
                  <c:x val="-4.1565643606353057E-2"/>
                  <c:y val="0.54296093870619111"/>
                </c:manualLayout>
              </c:layout>
              <c:showLegendKey val="0"/>
              <c:showVal val="0"/>
              <c:showCatName val="1"/>
              <c:showSerName val="0"/>
              <c:showPercent val="0"/>
              <c:showBubbleSize val="0"/>
            </c:dLbl>
            <c:showLegendKey val="0"/>
            <c:showVal val="0"/>
            <c:showCatName val="1"/>
            <c:showSerName val="0"/>
            <c:showPercent val="0"/>
            <c:showBubbleSize val="0"/>
            <c:showLeaderLines val="0"/>
          </c:dLbls>
          <c:xVal>
            <c:numRef>
              <c:f>BOOST!$I$57</c:f>
              <c:numCache>
                <c:formatCode>0.00</c:formatCode>
                <c:ptCount val="1"/>
                <c:pt idx="0">
                  <c:v>0.13059737067868044</c:v>
                </c:pt>
              </c:numCache>
            </c:numRef>
          </c:xVal>
          <c:yVal>
            <c:numRef>
              <c:f>BOOST!$H$57</c:f>
              <c:numCache>
                <c:formatCode>0.0</c:formatCode>
                <c:ptCount val="1"/>
                <c:pt idx="0">
                  <c:v>79.062422910958702</c:v>
                </c:pt>
              </c:numCache>
            </c:numRef>
          </c:yVal>
          <c:smooth val="0"/>
        </c:ser>
        <c:dLbls>
          <c:showLegendKey val="0"/>
          <c:showVal val="1"/>
          <c:showCatName val="0"/>
          <c:showSerName val="0"/>
          <c:showPercent val="0"/>
          <c:showBubbleSize val="0"/>
        </c:dLbls>
        <c:axId val="97716480"/>
        <c:axId val="97717056"/>
      </c:scatterChart>
      <c:valAx>
        <c:axId val="97716480"/>
        <c:scaling>
          <c:logBase val="10"/>
          <c:orientation val="minMax"/>
          <c:max val="20000"/>
          <c:min val="0.1"/>
        </c:scaling>
        <c:delete val="0"/>
        <c:axPos val="b"/>
        <c:minorGridlines/>
        <c:title>
          <c:tx>
            <c:rich>
              <a:bodyPr/>
              <a:lstStyle/>
              <a:p>
                <a:pPr>
                  <a:defRPr/>
                </a:pPr>
                <a:r>
                  <a:rPr lang="en-US"/>
                  <a:t>Frequency (Hz)</a:t>
                </a:r>
              </a:p>
            </c:rich>
          </c:tx>
          <c:layout/>
          <c:overlay val="0"/>
        </c:title>
        <c:numFmt formatCode="0" sourceLinked="1"/>
        <c:majorTickMark val="out"/>
        <c:minorTickMark val="in"/>
        <c:tickLblPos val="nextTo"/>
        <c:crossAx val="97717056"/>
        <c:crosses val="autoZero"/>
        <c:crossBetween val="midCat"/>
      </c:valAx>
      <c:valAx>
        <c:axId val="97717056"/>
        <c:scaling>
          <c:orientation val="minMax"/>
          <c:max val="95"/>
          <c:min val="0"/>
        </c:scaling>
        <c:delete val="0"/>
        <c:axPos val="l"/>
        <c:majorGridlines/>
        <c:title>
          <c:tx>
            <c:rich>
              <a:bodyPr rot="0" vert="horz"/>
              <a:lstStyle/>
              <a:p>
                <a:pPr>
                  <a:defRPr/>
                </a:pPr>
                <a:r>
                  <a:rPr lang="en-US"/>
                  <a:t>Gain (dB)</a:t>
                </a:r>
              </a:p>
            </c:rich>
          </c:tx>
          <c:layout/>
          <c:overlay val="0"/>
        </c:title>
        <c:numFmt formatCode="General" sourceLinked="1"/>
        <c:majorTickMark val="out"/>
        <c:minorTickMark val="none"/>
        <c:tickLblPos val="nextTo"/>
        <c:crossAx val="97716480"/>
        <c:crossesAt val="1.0000000000000005E-2"/>
        <c:crossBetween val="midCat"/>
      </c:valAx>
    </c:plotArea>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200"/>
              <a:t>Small signal loop response</a:t>
            </a:r>
          </a:p>
        </c:rich>
      </c:tx>
      <c:layout/>
      <c:overlay val="0"/>
    </c:title>
    <c:autoTitleDeleted val="0"/>
    <c:plotArea>
      <c:layout/>
      <c:scatterChart>
        <c:scatterStyle val="lineMarker"/>
        <c:varyColors val="0"/>
        <c:ser>
          <c:idx val="0"/>
          <c:order val="0"/>
          <c:spPr>
            <a:ln>
              <a:solidFill>
                <a:schemeClr val="tx1"/>
              </a:solidFill>
            </a:ln>
          </c:spPr>
          <c:dLbls>
            <c:dLbl>
              <c:idx val="0"/>
              <c:layout>
                <c:manualLayout>
                  <c:x val="-4.4336904705798597E-2"/>
                  <c:y val="-4.7058823529411813E-2"/>
                </c:manualLayout>
              </c:layout>
              <c:showLegendKey val="0"/>
              <c:showVal val="0"/>
              <c:showCatName val="1"/>
              <c:showSerName val="0"/>
              <c:showPercent val="0"/>
              <c:showBubbleSize val="0"/>
            </c:dLbl>
            <c:dLbl>
              <c:idx val="2"/>
              <c:layout>
                <c:manualLayout>
                  <c:x val="-8.3131287212705619E-3"/>
                  <c:y val="-3.9215686274509845E-2"/>
                </c:manualLayout>
              </c:layout>
              <c:showLegendKey val="0"/>
              <c:showVal val="1"/>
              <c:showCatName val="0"/>
              <c:showSerName val="0"/>
              <c:showPercent val="0"/>
              <c:showBubbleSize val="0"/>
            </c:dLbl>
            <c:showLegendKey val="0"/>
            <c:showVal val="0"/>
            <c:showCatName val="0"/>
            <c:showSerName val="0"/>
            <c:showPercent val="0"/>
            <c:showBubbleSize val="0"/>
          </c:dLbls>
          <c:xVal>
            <c:numRef>
              <c:f>'BUCK-BOOST'!$I$56:$I$58</c:f>
              <c:numCache>
                <c:formatCode>0.00</c:formatCode>
                <c:ptCount val="3"/>
                <c:pt idx="0" formatCode="0">
                  <c:v>1168.8963648453337</c:v>
                </c:pt>
                <c:pt idx="1">
                  <c:v>0.18319723628467391</c:v>
                </c:pt>
                <c:pt idx="2" formatCode="General">
                  <c:v>0.1</c:v>
                </c:pt>
              </c:numCache>
            </c:numRef>
          </c:xVal>
          <c:yVal>
            <c:numRef>
              <c:f>'BUCK-BOOST'!$H$56:$H$58</c:f>
              <c:numCache>
                <c:formatCode>0.0</c:formatCode>
                <c:ptCount val="3"/>
                <c:pt idx="0" formatCode="General">
                  <c:v>0</c:v>
                </c:pt>
                <c:pt idx="1">
                  <c:v>76.097141808223796</c:v>
                </c:pt>
                <c:pt idx="2">
                  <c:v>76.097141808223796</c:v>
                </c:pt>
              </c:numCache>
            </c:numRef>
          </c:yVal>
          <c:smooth val="0"/>
        </c:ser>
        <c:ser>
          <c:idx val="1"/>
          <c:order val="1"/>
          <c:dLbls>
            <c:dLbl>
              <c:idx val="0"/>
              <c:layout>
                <c:manualLayout>
                  <c:x val="-4.1565643606353057E-2"/>
                  <c:y val="0.54296093870619111"/>
                </c:manualLayout>
              </c:layout>
              <c:showLegendKey val="0"/>
              <c:showVal val="0"/>
              <c:showCatName val="1"/>
              <c:showSerName val="0"/>
              <c:showPercent val="0"/>
              <c:showBubbleSize val="0"/>
            </c:dLbl>
            <c:showLegendKey val="0"/>
            <c:showVal val="0"/>
            <c:showCatName val="1"/>
            <c:showSerName val="0"/>
            <c:showPercent val="0"/>
            <c:showBubbleSize val="0"/>
            <c:showLeaderLines val="0"/>
          </c:dLbls>
          <c:xVal>
            <c:numRef>
              <c:f>'BUCK-BOOST'!$I$57</c:f>
              <c:numCache>
                <c:formatCode>0.00</c:formatCode>
                <c:ptCount val="1"/>
                <c:pt idx="0">
                  <c:v>0.18319723628467391</c:v>
                </c:pt>
              </c:numCache>
            </c:numRef>
          </c:xVal>
          <c:yVal>
            <c:numRef>
              <c:f>'BUCK-BOOST'!$H$57</c:f>
              <c:numCache>
                <c:formatCode>0.0</c:formatCode>
                <c:ptCount val="1"/>
                <c:pt idx="0">
                  <c:v>76.097141808223796</c:v>
                </c:pt>
              </c:numCache>
            </c:numRef>
          </c:yVal>
          <c:smooth val="0"/>
        </c:ser>
        <c:dLbls>
          <c:showLegendKey val="0"/>
          <c:showVal val="1"/>
          <c:showCatName val="0"/>
          <c:showSerName val="0"/>
          <c:showPercent val="0"/>
          <c:showBubbleSize val="0"/>
        </c:dLbls>
        <c:axId val="50439296"/>
        <c:axId val="50439872"/>
      </c:scatterChart>
      <c:valAx>
        <c:axId val="50439296"/>
        <c:scaling>
          <c:logBase val="10"/>
          <c:orientation val="minMax"/>
          <c:max val="20000"/>
          <c:min val="0.1"/>
        </c:scaling>
        <c:delete val="0"/>
        <c:axPos val="b"/>
        <c:minorGridlines/>
        <c:title>
          <c:tx>
            <c:rich>
              <a:bodyPr/>
              <a:lstStyle/>
              <a:p>
                <a:pPr>
                  <a:defRPr/>
                </a:pPr>
                <a:r>
                  <a:rPr lang="en-US"/>
                  <a:t>Frequency (Hz)</a:t>
                </a:r>
              </a:p>
            </c:rich>
          </c:tx>
          <c:layout/>
          <c:overlay val="0"/>
        </c:title>
        <c:numFmt formatCode="0" sourceLinked="1"/>
        <c:majorTickMark val="out"/>
        <c:minorTickMark val="in"/>
        <c:tickLblPos val="nextTo"/>
        <c:crossAx val="50439872"/>
        <c:crosses val="autoZero"/>
        <c:crossBetween val="midCat"/>
      </c:valAx>
      <c:valAx>
        <c:axId val="50439872"/>
        <c:scaling>
          <c:orientation val="minMax"/>
          <c:max val="95"/>
          <c:min val="0"/>
        </c:scaling>
        <c:delete val="0"/>
        <c:axPos val="l"/>
        <c:majorGridlines/>
        <c:title>
          <c:tx>
            <c:rich>
              <a:bodyPr rot="0" vert="horz"/>
              <a:lstStyle/>
              <a:p>
                <a:pPr>
                  <a:defRPr/>
                </a:pPr>
                <a:r>
                  <a:rPr lang="en-US"/>
                  <a:t>Gain (dB)</a:t>
                </a:r>
              </a:p>
            </c:rich>
          </c:tx>
          <c:layout/>
          <c:overlay val="0"/>
        </c:title>
        <c:numFmt formatCode="General" sourceLinked="1"/>
        <c:majorTickMark val="out"/>
        <c:minorTickMark val="none"/>
        <c:tickLblPos val="nextTo"/>
        <c:crossAx val="50439296"/>
        <c:crossesAt val="1.0000000000000005E-2"/>
        <c:crossBetween val="midCat"/>
      </c:valAx>
    </c:plotArea>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200"/>
              <a:t>Small signal loop response</a:t>
            </a:r>
          </a:p>
        </c:rich>
      </c:tx>
      <c:layout/>
      <c:overlay val="0"/>
    </c:title>
    <c:autoTitleDeleted val="0"/>
    <c:plotArea>
      <c:layout/>
      <c:scatterChart>
        <c:scatterStyle val="lineMarker"/>
        <c:varyColors val="0"/>
        <c:ser>
          <c:idx val="0"/>
          <c:order val="0"/>
          <c:spPr>
            <a:ln>
              <a:solidFill>
                <a:schemeClr val="tx1"/>
              </a:solidFill>
            </a:ln>
          </c:spPr>
          <c:dLbls>
            <c:dLbl>
              <c:idx val="0"/>
              <c:layout>
                <c:manualLayout>
                  <c:x val="-4.4336904705798506E-2"/>
                  <c:y val="-4.7058823529411813E-2"/>
                </c:manualLayout>
              </c:layout>
              <c:showLegendKey val="0"/>
              <c:showVal val="0"/>
              <c:showCatName val="1"/>
              <c:showSerName val="0"/>
              <c:showPercent val="0"/>
              <c:showBubbleSize val="0"/>
            </c:dLbl>
            <c:dLbl>
              <c:idx val="2"/>
              <c:layout>
                <c:manualLayout>
                  <c:x val="-8.3131287212705619E-3"/>
                  <c:y val="-3.9215686274509845E-2"/>
                </c:manualLayout>
              </c:layout>
              <c:showLegendKey val="0"/>
              <c:showVal val="1"/>
              <c:showCatName val="0"/>
              <c:showSerName val="0"/>
              <c:showPercent val="0"/>
              <c:showBubbleSize val="0"/>
            </c:dLbl>
            <c:showLegendKey val="0"/>
            <c:showVal val="0"/>
            <c:showCatName val="0"/>
            <c:showSerName val="0"/>
            <c:showPercent val="0"/>
            <c:showBubbleSize val="0"/>
          </c:dLbls>
          <c:xVal>
            <c:numRef>
              <c:f>BUCK!$I$50:$I$52</c:f>
              <c:numCache>
                <c:formatCode>0.00</c:formatCode>
                <c:ptCount val="3"/>
                <c:pt idx="0" formatCode="0">
                  <c:v>19230.76923076923</c:v>
                </c:pt>
                <c:pt idx="1">
                  <c:v>3.0636559627822542</c:v>
                </c:pt>
                <c:pt idx="2" formatCode="General">
                  <c:v>0.1</c:v>
                </c:pt>
              </c:numCache>
            </c:numRef>
          </c:xVal>
          <c:yVal>
            <c:numRef>
              <c:f>BUCK!$H$50:$H$52</c:f>
              <c:numCache>
                <c:formatCode>0.0</c:formatCode>
                <c:ptCount val="3"/>
                <c:pt idx="0" formatCode="General">
                  <c:v>0</c:v>
                </c:pt>
                <c:pt idx="1">
                  <c:v>75.95513324656666</c:v>
                </c:pt>
                <c:pt idx="2">
                  <c:v>75.95513324656666</c:v>
                </c:pt>
              </c:numCache>
            </c:numRef>
          </c:yVal>
          <c:smooth val="0"/>
        </c:ser>
        <c:ser>
          <c:idx val="1"/>
          <c:order val="1"/>
          <c:dLbls>
            <c:dLbl>
              <c:idx val="0"/>
              <c:layout>
                <c:manualLayout>
                  <c:x val="-4.1565643606353057E-2"/>
                  <c:y val="0.54296093870619111"/>
                </c:manualLayout>
              </c:layout>
              <c:showLegendKey val="0"/>
              <c:showVal val="0"/>
              <c:showCatName val="1"/>
              <c:showSerName val="0"/>
              <c:showPercent val="0"/>
              <c:showBubbleSize val="0"/>
            </c:dLbl>
            <c:showLegendKey val="0"/>
            <c:showVal val="0"/>
            <c:showCatName val="1"/>
            <c:showSerName val="0"/>
            <c:showPercent val="0"/>
            <c:showBubbleSize val="0"/>
            <c:showLeaderLines val="0"/>
          </c:dLbls>
          <c:xVal>
            <c:numRef>
              <c:f>BUCK!$I$51</c:f>
              <c:numCache>
                <c:formatCode>0.00</c:formatCode>
                <c:ptCount val="1"/>
                <c:pt idx="0">
                  <c:v>3.0636559627822542</c:v>
                </c:pt>
              </c:numCache>
            </c:numRef>
          </c:xVal>
          <c:yVal>
            <c:numRef>
              <c:f>BUCK!$H$51</c:f>
              <c:numCache>
                <c:formatCode>0.0</c:formatCode>
                <c:ptCount val="1"/>
                <c:pt idx="0">
                  <c:v>75.95513324656666</c:v>
                </c:pt>
              </c:numCache>
            </c:numRef>
          </c:yVal>
          <c:smooth val="0"/>
        </c:ser>
        <c:dLbls>
          <c:showLegendKey val="0"/>
          <c:showVal val="1"/>
          <c:showCatName val="0"/>
          <c:showSerName val="0"/>
          <c:showPercent val="0"/>
          <c:showBubbleSize val="0"/>
        </c:dLbls>
        <c:axId val="149671296"/>
        <c:axId val="149673024"/>
      </c:scatterChart>
      <c:valAx>
        <c:axId val="149671296"/>
        <c:scaling>
          <c:logBase val="10"/>
          <c:orientation val="minMax"/>
          <c:max val="20000"/>
          <c:min val="0.1"/>
        </c:scaling>
        <c:delete val="0"/>
        <c:axPos val="b"/>
        <c:minorGridlines/>
        <c:title>
          <c:tx>
            <c:rich>
              <a:bodyPr/>
              <a:lstStyle/>
              <a:p>
                <a:pPr>
                  <a:defRPr/>
                </a:pPr>
                <a:r>
                  <a:rPr lang="en-US"/>
                  <a:t>Frequency (Hz)</a:t>
                </a:r>
              </a:p>
            </c:rich>
          </c:tx>
          <c:layout/>
          <c:overlay val="0"/>
        </c:title>
        <c:numFmt formatCode="0" sourceLinked="1"/>
        <c:majorTickMark val="out"/>
        <c:minorTickMark val="in"/>
        <c:tickLblPos val="nextTo"/>
        <c:crossAx val="149673024"/>
        <c:crosses val="autoZero"/>
        <c:crossBetween val="midCat"/>
      </c:valAx>
      <c:valAx>
        <c:axId val="149673024"/>
        <c:scaling>
          <c:orientation val="minMax"/>
          <c:max val="95"/>
          <c:min val="0"/>
        </c:scaling>
        <c:delete val="0"/>
        <c:axPos val="l"/>
        <c:majorGridlines/>
        <c:title>
          <c:tx>
            <c:rich>
              <a:bodyPr rot="0" vert="horz"/>
              <a:lstStyle/>
              <a:p>
                <a:pPr>
                  <a:defRPr/>
                </a:pPr>
                <a:r>
                  <a:rPr lang="en-US"/>
                  <a:t>Gain (dB)</a:t>
                </a:r>
              </a:p>
            </c:rich>
          </c:tx>
          <c:layout/>
          <c:overlay val="0"/>
        </c:title>
        <c:numFmt formatCode="General" sourceLinked="1"/>
        <c:majorTickMark val="out"/>
        <c:minorTickMark val="none"/>
        <c:tickLblPos val="nextTo"/>
        <c:crossAx val="149671296"/>
        <c:crossesAt val="1.0000000000000005E-2"/>
        <c:crossBetween val="midCat"/>
      </c:valAx>
    </c:plotArea>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20321</xdr:colOff>
      <xdr:row>33</xdr:row>
      <xdr:rowOff>57786</xdr:rowOff>
    </xdr:from>
    <xdr:to>
      <xdr:col>11</xdr:col>
      <xdr:colOff>325120</xdr:colOff>
      <xdr:row>53</xdr:row>
      <xdr:rowOff>49848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100261</xdr:colOff>
      <xdr:row>63</xdr:row>
      <xdr:rowOff>15039</xdr:rowOff>
    </xdr:from>
    <xdr:to>
      <xdr:col>0</xdr:col>
      <xdr:colOff>546433</xdr:colOff>
      <xdr:row>63</xdr:row>
      <xdr:rowOff>170447</xdr:rowOff>
    </xdr:to>
    <xdr:sp macro="" textlink="">
      <xdr:nvSpPr>
        <xdr:cNvPr id="416" name="Text Box 265"/>
        <xdr:cNvSpPr txBox="1">
          <a:spLocks noChangeArrowheads="1"/>
        </xdr:cNvSpPr>
      </xdr:nvSpPr>
      <xdr:spPr bwMode="auto">
        <a:xfrm>
          <a:off x="100261" y="10743197"/>
          <a:ext cx="446172"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R</a:t>
          </a:r>
          <a:r>
            <a:rPr lang="en-GB" sz="900" b="0" i="0" u="none" strike="noStrike" baseline="-25000">
              <a:solidFill>
                <a:srgbClr val="000000"/>
              </a:solidFill>
              <a:latin typeface="Arial"/>
              <a:cs typeface="Arial"/>
            </a:rPr>
            <a:t>COMP</a:t>
          </a:r>
        </a:p>
      </xdr:txBody>
    </xdr:sp>
    <xdr:clientData/>
  </xdr:twoCellAnchor>
  <xdr:twoCellAnchor>
    <xdr:from>
      <xdr:col>0</xdr:col>
      <xdr:colOff>125325</xdr:colOff>
      <xdr:row>52</xdr:row>
      <xdr:rowOff>185617</xdr:rowOff>
    </xdr:from>
    <xdr:to>
      <xdr:col>4</xdr:col>
      <xdr:colOff>383504</xdr:colOff>
      <xdr:row>68</xdr:row>
      <xdr:rowOff>53307</xdr:rowOff>
    </xdr:to>
    <xdr:grpSp>
      <xdr:nvGrpSpPr>
        <xdr:cNvPr id="133" name="Group 132"/>
        <xdr:cNvGrpSpPr/>
      </xdr:nvGrpSpPr>
      <xdr:grpSpPr>
        <a:xfrm>
          <a:off x="125325" y="9854935"/>
          <a:ext cx="5205406" cy="2823327"/>
          <a:chOff x="125325" y="10178208"/>
          <a:chExt cx="5029338" cy="2915690"/>
        </a:xfrm>
      </xdr:grpSpPr>
      <xdr:sp macro="" textlink="">
        <xdr:nvSpPr>
          <xdr:cNvPr id="398" name="Freeform 385"/>
          <xdr:cNvSpPr>
            <a:spLocks/>
          </xdr:cNvSpPr>
        </xdr:nvSpPr>
        <xdr:spPr bwMode="auto">
          <a:xfrm flipH="1">
            <a:off x="1132973" y="10282444"/>
            <a:ext cx="172544" cy="225592"/>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sp macro="" textlink="">
        <xdr:nvSpPr>
          <xdr:cNvPr id="1289" name="Text Box 265"/>
          <xdr:cNvSpPr txBox="1">
            <a:spLocks noChangeArrowheads="1"/>
          </xdr:cNvSpPr>
        </xdr:nvSpPr>
        <xdr:spPr bwMode="auto">
          <a:xfrm>
            <a:off x="152400" y="10226870"/>
            <a:ext cx="699833" cy="261113"/>
          </a:xfrm>
          <a:prstGeom prst="rect">
            <a:avLst/>
          </a:prstGeom>
          <a:noFill/>
          <a:ln w="9525">
            <a:noFill/>
            <a:miter lim="800000"/>
            <a:headEnd/>
            <a:tailEnd/>
          </a:ln>
        </xdr:spPr>
        <xdr:txBody>
          <a:bodyPr vertOverflow="clip" wrap="square" lIns="0" tIns="0" rIns="0" bIns="0" anchor="t" upright="1"/>
          <a:lstStyle/>
          <a:p>
            <a:pPr algn="l" rtl="0">
              <a:defRPr sz="1000"/>
            </a:pPr>
            <a:r>
              <a:rPr lang="en-GB" sz="1000" b="0" i="0" u="none" strike="noStrike" baseline="0">
                <a:solidFill>
                  <a:srgbClr val="000000"/>
                </a:solidFill>
                <a:latin typeface="Arial"/>
                <a:cs typeface="Arial"/>
              </a:rPr>
              <a:t>VBAT: 12V </a:t>
            </a:r>
          </a:p>
        </xdr:txBody>
      </xdr:sp>
      <xdr:grpSp>
        <xdr:nvGrpSpPr>
          <xdr:cNvPr id="1293" name="Group 269"/>
          <xdr:cNvGrpSpPr>
            <a:grpSpLocks/>
          </xdr:cNvGrpSpPr>
        </xdr:nvGrpSpPr>
        <xdr:grpSpPr bwMode="auto">
          <a:xfrm>
            <a:off x="2221778" y="10178208"/>
            <a:ext cx="427921" cy="104132"/>
            <a:chOff x="1767" y="1311"/>
            <a:chExt cx="2394" cy="399"/>
          </a:xfrm>
        </xdr:grpSpPr>
        <xdr:sp macro="" textlink="">
          <xdr:nvSpPr>
            <xdr:cNvPr id="1294" name="Arc 270"/>
            <xdr:cNvSpPr>
              <a:spLocks/>
            </xdr:cNvSpPr>
          </xdr:nvSpPr>
          <xdr:spPr bwMode="auto">
            <a:xfrm>
              <a:off x="3762"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sp macro="" textlink="">
          <xdr:nvSpPr>
            <xdr:cNvPr id="1295" name="Arc 271"/>
            <xdr:cNvSpPr>
              <a:spLocks/>
            </xdr:cNvSpPr>
          </xdr:nvSpPr>
          <xdr:spPr bwMode="auto">
            <a:xfrm flipH="1">
              <a:off x="3363"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sp macro="" textlink="">
          <xdr:nvSpPr>
            <xdr:cNvPr id="1296" name="Arc 272"/>
            <xdr:cNvSpPr>
              <a:spLocks/>
            </xdr:cNvSpPr>
          </xdr:nvSpPr>
          <xdr:spPr bwMode="auto">
            <a:xfrm>
              <a:off x="2964"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sp macro="" textlink="">
          <xdr:nvSpPr>
            <xdr:cNvPr id="1297" name="Arc 273"/>
            <xdr:cNvSpPr>
              <a:spLocks/>
            </xdr:cNvSpPr>
          </xdr:nvSpPr>
          <xdr:spPr bwMode="auto">
            <a:xfrm flipH="1">
              <a:off x="2565"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sp macro="" textlink="">
          <xdr:nvSpPr>
            <xdr:cNvPr id="1298" name="Arc 274"/>
            <xdr:cNvSpPr>
              <a:spLocks/>
            </xdr:cNvSpPr>
          </xdr:nvSpPr>
          <xdr:spPr bwMode="auto">
            <a:xfrm>
              <a:off x="2166"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sp macro="" textlink="">
          <xdr:nvSpPr>
            <xdr:cNvPr id="1299" name="Arc 275"/>
            <xdr:cNvSpPr>
              <a:spLocks/>
            </xdr:cNvSpPr>
          </xdr:nvSpPr>
          <xdr:spPr bwMode="auto">
            <a:xfrm flipH="1">
              <a:off x="1767"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grpSp>
      <xdr:sp macro="" textlink="">
        <xdr:nvSpPr>
          <xdr:cNvPr id="1304" name="Rectangle 280"/>
          <xdr:cNvSpPr>
            <a:spLocks noChangeArrowheads="1"/>
          </xdr:cNvSpPr>
        </xdr:nvSpPr>
        <xdr:spPr bwMode="auto">
          <a:xfrm>
            <a:off x="1472916" y="10542669"/>
            <a:ext cx="1016313" cy="2082636"/>
          </a:xfrm>
          <a:prstGeom prst="rect">
            <a:avLst/>
          </a:prstGeom>
          <a:solidFill>
            <a:schemeClr val="bg1">
              <a:lumMod val="75000"/>
            </a:schemeClr>
          </a:solidFill>
          <a:ln w="28575">
            <a:solidFill>
              <a:srgbClr val="000000"/>
            </a:solidFill>
            <a:miter lim="800000"/>
            <a:headEnd/>
            <a:tailEnd/>
          </a:ln>
        </xdr:spPr>
      </xdr:sp>
      <xdr:sp macro="" textlink="">
        <xdr:nvSpPr>
          <xdr:cNvPr id="1305" name="Freeform 281"/>
          <xdr:cNvSpPr>
            <a:spLocks/>
          </xdr:cNvSpPr>
        </xdr:nvSpPr>
        <xdr:spPr bwMode="auto">
          <a:xfrm flipH="1">
            <a:off x="1312445" y="12417041"/>
            <a:ext cx="160470" cy="468593"/>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sp macro="" textlink="">
        <xdr:nvSpPr>
          <xdr:cNvPr id="1307" name="Rectangle 283"/>
          <xdr:cNvSpPr>
            <a:spLocks noChangeArrowheads="1"/>
          </xdr:cNvSpPr>
        </xdr:nvSpPr>
        <xdr:spPr bwMode="auto">
          <a:xfrm rot="16200000">
            <a:off x="1181811" y="12598305"/>
            <a:ext cx="260329" cy="106980"/>
          </a:xfrm>
          <a:prstGeom prst="rect">
            <a:avLst/>
          </a:prstGeom>
          <a:solidFill>
            <a:srgbClr val="FFFFFF"/>
          </a:solidFill>
          <a:ln w="12700">
            <a:solidFill>
              <a:srgbClr val="000000"/>
            </a:solidFill>
            <a:miter lim="800000"/>
            <a:headEnd/>
            <a:tailEnd/>
          </a:ln>
        </xdr:spPr>
      </xdr:sp>
      <xdr:grpSp>
        <xdr:nvGrpSpPr>
          <xdr:cNvPr id="1308" name="Group 284"/>
          <xdr:cNvGrpSpPr>
            <a:grpSpLocks/>
          </xdr:cNvGrpSpPr>
        </xdr:nvGrpSpPr>
        <xdr:grpSpPr bwMode="auto">
          <a:xfrm>
            <a:off x="3219792" y="12781503"/>
            <a:ext cx="213961" cy="208264"/>
            <a:chOff x="6336" y="4032"/>
            <a:chExt cx="288" cy="288"/>
          </a:xfrm>
        </xdr:grpSpPr>
        <xdr:sp macro="" textlink="">
          <xdr:nvSpPr>
            <xdr:cNvPr id="1309" name="Oval 285"/>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310" name="Rectangle 286"/>
            <xdr:cNvSpPr>
              <a:spLocks noChangeArrowheads="1"/>
            </xdr:cNvSpPr>
          </xdr:nvSpPr>
          <xdr:spPr bwMode="auto">
            <a:xfrm>
              <a:off x="6336" y="4032"/>
              <a:ext cx="288" cy="288"/>
            </a:xfrm>
            <a:prstGeom prst="rect">
              <a:avLst/>
            </a:prstGeom>
            <a:noFill/>
            <a:ln w="9525">
              <a:noFill/>
              <a:miter lim="800000"/>
              <a:headEnd/>
              <a:tailEnd/>
            </a:ln>
          </xdr:spPr>
        </xdr:sp>
      </xdr:grpSp>
      <xdr:grpSp>
        <xdr:nvGrpSpPr>
          <xdr:cNvPr id="1311" name="Group 287"/>
          <xdr:cNvGrpSpPr>
            <a:grpSpLocks/>
          </xdr:cNvGrpSpPr>
        </xdr:nvGrpSpPr>
        <xdr:grpSpPr bwMode="auto">
          <a:xfrm>
            <a:off x="3219792" y="10178208"/>
            <a:ext cx="213961" cy="208264"/>
            <a:chOff x="6336" y="4032"/>
            <a:chExt cx="288" cy="288"/>
          </a:xfrm>
        </xdr:grpSpPr>
        <xdr:sp macro="" textlink="">
          <xdr:nvSpPr>
            <xdr:cNvPr id="1312" name="Oval 288"/>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313" name="Rectangle 289"/>
            <xdr:cNvSpPr>
              <a:spLocks noChangeArrowheads="1"/>
            </xdr:cNvSpPr>
          </xdr:nvSpPr>
          <xdr:spPr bwMode="auto">
            <a:xfrm>
              <a:off x="6336" y="4032"/>
              <a:ext cx="288" cy="288"/>
            </a:xfrm>
            <a:prstGeom prst="rect">
              <a:avLst/>
            </a:prstGeom>
            <a:noFill/>
            <a:ln w="9525">
              <a:noFill/>
              <a:miter lim="800000"/>
              <a:headEnd/>
              <a:tailEnd/>
            </a:ln>
          </xdr:spPr>
        </xdr:sp>
      </xdr:grpSp>
      <xdr:grpSp>
        <xdr:nvGrpSpPr>
          <xdr:cNvPr id="1318" name="Group 294"/>
          <xdr:cNvGrpSpPr>
            <a:grpSpLocks/>
          </xdr:cNvGrpSpPr>
        </xdr:nvGrpSpPr>
        <xdr:grpSpPr bwMode="auto">
          <a:xfrm>
            <a:off x="3112812" y="12989766"/>
            <a:ext cx="213961" cy="104132"/>
            <a:chOff x="4731" y="2337"/>
            <a:chExt cx="342" cy="114"/>
          </a:xfrm>
        </xdr:grpSpPr>
        <xdr:sp macro="" textlink="">
          <xdr:nvSpPr>
            <xdr:cNvPr id="1319" name="Line 295"/>
            <xdr:cNvSpPr>
              <a:spLocks noChangeShapeType="1"/>
            </xdr:cNvSpPr>
          </xdr:nvSpPr>
          <xdr:spPr bwMode="auto">
            <a:xfrm>
              <a:off x="4731" y="2337"/>
              <a:ext cx="342" cy="0"/>
            </a:xfrm>
            <a:prstGeom prst="line">
              <a:avLst/>
            </a:prstGeom>
            <a:noFill/>
            <a:ln w="12700">
              <a:solidFill>
                <a:srgbClr val="000000"/>
              </a:solidFill>
              <a:round/>
              <a:headEnd/>
              <a:tailEnd/>
            </a:ln>
          </xdr:spPr>
        </xdr:sp>
        <xdr:sp macro="" textlink="">
          <xdr:nvSpPr>
            <xdr:cNvPr id="1320" name="Line 296"/>
            <xdr:cNvSpPr>
              <a:spLocks noChangeShapeType="1"/>
            </xdr:cNvSpPr>
          </xdr:nvSpPr>
          <xdr:spPr bwMode="auto">
            <a:xfrm>
              <a:off x="4788" y="2394"/>
              <a:ext cx="228" cy="0"/>
            </a:xfrm>
            <a:prstGeom prst="line">
              <a:avLst/>
            </a:prstGeom>
            <a:noFill/>
            <a:ln w="12700">
              <a:solidFill>
                <a:srgbClr val="000000"/>
              </a:solidFill>
              <a:round/>
              <a:headEnd/>
              <a:tailEnd/>
            </a:ln>
          </xdr:spPr>
        </xdr:sp>
        <xdr:sp macro="" textlink="">
          <xdr:nvSpPr>
            <xdr:cNvPr id="1321" name="Line 297"/>
            <xdr:cNvSpPr>
              <a:spLocks noChangeShapeType="1"/>
            </xdr:cNvSpPr>
          </xdr:nvSpPr>
          <xdr:spPr bwMode="auto">
            <a:xfrm>
              <a:off x="4845" y="2451"/>
              <a:ext cx="114" cy="0"/>
            </a:xfrm>
            <a:prstGeom prst="line">
              <a:avLst/>
            </a:prstGeom>
            <a:noFill/>
            <a:ln w="12700">
              <a:solidFill>
                <a:srgbClr val="000000"/>
              </a:solidFill>
              <a:round/>
              <a:headEnd/>
              <a:tailEnd/>
            </a:ln>
          </xdr:spPr>
        </xdr:sp>
      </xdr:grpSp>
      <xdr:grpSp>
        <xdr:nvGrpSpPr>
          <xdr:cNvPr id="1322" name="Group 298"/>
          <xdr:cNvGrpSpPr>
            <a:grpSpLocks/>
          </xdr:cNvGrpSpPr>
        </xdr:nvGrpSpPr>
        <xdr:grpSpPr bwMode="auto">
          <a:xfrm>
            <a:off x="1885798" y="10178208"/>
            <a:ext cx="213961" cy="208264"/>
            <a:chOff x="6336" y="4032"/>
            <a:chExt cx="288" cy="288"/>
          </a:xfrm>
        </xdr:grpSpPr>
        <xdr:sp macro="" textlink="">
          <xdr:nvSpPr>
            <xdr:cNvPr id="1323" name="Oval 299"/>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324" name="Rectangle 300"/>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1326" name="Line 302"/>
          <xdr:cNvSpPr>
            <a:spLocks noChangeShapeType="1"/>
          </xdr:cNvSpPr>
        </xdr:nvSpPr>
        <xdr:spPr bwMode="auto">
          <a:xfrm>
            <a:off x="3166302" y="11579769"/>
            <a:ext cx="0" cy="208264"/>
          </a:xfrm>
          <a:prstGeom prst="line">
            <a:avLst/>
          </a:prstGeom>
          <a:noFill/>
          <a:ln w="9525">
            <a:solidFill>
              <a:srgbClr val="000000"/>
            </a:solidFill>
            <a:round/>
            <a:headEnd/>
            <a:tailEnd/>
          </a:ln>
        </xdr:spPr>
      </xdr:sp>
      <xdr:sp macro="" textlink="">
        <xdr:nvSpPr>
          <xdr:cNvPr id="1327" name="Line 303"/>
          <xdr:cNvSpPr>
            <a:spLocks noChangeShapeType="1"/>
          </xdr:cNvSpPr>
        </xdr:nvSpPr>
        <xdr:spPr bwMode="auto">
          <a:xfrm flipH="1" flipV="1">
            <a:off x="2489229" y="11683900"/>
            <a:ext cx="676809" cy="2231"/>
          </a:xfrm>
          <a:prstGeom prst="line">
            <a:avLst/>
          </a:prstGeom>
          <a:noFill/>
          <a:ln w="9525">
            <a:solidFill>
              <a:srgbClr val="000000"/>
            </a:solidFill>
            <a:round/>
            <a:headEnd/>
            <a:tailEnd/>
          </a:ln>
        </xdr:spPr>
      </xdr:sp>
      <xdr:sp macro="" textlink="">
        <xdr:nvSpPr>
          <xdr:cNvPr id="1328" name="Freeform 304"/>
          <xdr:cNvSpPr>
            <a:spLocks/>
          </xdr:cNvSpPr>
        </xdr:nvSpPr>
        <xdr:spPr bwMode="auto">
          <a:xfrm>
            <a:off x="3219792" y="11475637"/>
            <a:ext cx="106980" cy="416527"/>
          </a:xfrm>
          <a:custGeom>
            <a:avLst/>
            <a:gdLst/>
            <a:ahLst/>
            <a:cxnLst>
              <a:cxn ang="0">
                <a:pos x="57" y="0"/>
              </a:cxn>
              <a:cxn ang="0">
                <a:pos x="57" y="114"/>
              </a:cxn>
              <a:cxn ang="0">
                <a:pos x="0" y="114"/>
              </a:cxn>
              <a:cxn ang="0">
                <a:pos x="0" y="342"/>
              </a:cxn>
              <a:cxn ang="0">
                <a:pos x="57" y="342"/>
              </a:cxn>
              <a:cxn ang="0">
                <a:pos x="57" y="456"/>
              </a:cxn>
            </a:cxnLst>
            <a:rect l="0" t="0" r="r" b="b"/>
            <a:pathLst>
              <a:path w="57" h="456">
                <a:moveTo>
                  <a:pt x="57" y="0"/>
                </a:moveTo>
                <a:lnTo>
                  <a:pt x="57" y="114"/>
                </a:lnTo>
                <a:lnTo>
                  <a:pt x="0" y="114"/>
                </a:lnTo>
                <a:lnTo>
                  <a:pt x="0" y="342"/>
                </a:lnTo>
                <a:lnTo>
                  <a:pt x="57" y="342"/>
                </a:lnTo>
                <a:lnTo>
                  <a:pt x="57" y="456"/>
                </a:lnTo>
              </a:path>
            </a:pathLst>
          </a:custGeom>
          <a:noFill/>
          <a:ln w="12700" cmpd="sng">
            <a:solidFill>
              <a:srgbClr val="000000"/>
            </a:solidFill>
            <a:round/>
            <a:headEnd/>
            <a:tailEnd/>
          </a:ln>
        </xdr:spPr>
      </xdr:sp>
      <xdr:sp macro="" textlink="">
        <xdr:nvSpPr>
          <xdr:cNvPr id="1329" name="Line 305"/>
          <xdr:cNvSpPr>
            <a:spLocks noChangeShapeType="1"/>
          </xdr:cNvSpPr>
        </xdr:nvSpPr>
        <xdr:spPr bwMode="auto">
          <a:xfrm flipH="1">
            <a:off x="3321759" y="11876627"/>
            <a:ext cx="4700" cy="1009007"/>
          </a:xfrm>
          <a:prstGeom prst="line">
            <a:avLst/>
          </a:prstGeom>
          <a:noFill/>
          <a:ln w="12700">
            <a:solidFill>
              <a:srgbClr val="000000"/>
            </a:solidFill>
            <a:round/>
            <a:headEnd/>
            <a:tailEnd/>
          </a:ln>
        </xdr:spPr>
      </xdr:sp>
      <xdr:sp macro="" textlink="">
        <xdr:nvSpPr>
          <xdr:cNvPr id="1330" name="Rectangle 306"/>
          <xdr:cNvSpPr>
            <a:spLocks noChangeArrowheads="1"/>
          </xdr:cNvSpPr>
        </xdr:nvSpPr>
        <xdr:spPr bwMode="auto">
          <a:xfrm rot="16200000">
            <a:off x="3196138" y="12407362"/>
            <a:ext cx="260329" cy="106980"/>
          </a:xfrm>
          <a:prstGeom prst="rect">
            <a:avLst/>
          </a:prstGeom>
          <a:solidFill>
            <a:srgbClr val="FFFFFF"/>
          </a:solidFill>
          <a:ln w="12700">
            <a:solidFill>
              <a:srgbClr val="000000"/>
            </a:solidFill>
            <a:miter lim="800000"/>
            <a:headEnd/>
            <a:tailEnd/>
          </a:ln>
        </xdr:spPr>
      </xdr:sp>
      <xdr:sp macro="" textlink="">
        <xdr:nvSpPr>
          <xdr:cNvPr id="1331" name="Line 307"/>
          <xdr:cNvSpPr>
            <a:spLocks noChangeShapeType="1"/>
          </xdr:cNvSpPr>
        </xdr:nvSpPr>
        <xdr:spPr bwMode="auto">
          <a:xfrm flipH="1">
            <a:off x="2489227" y="12052087"/>
            <a:ext cx="857283" cy="491"/>
          </a:xfrm>
          <a:prstGeom prst="line">
            <a:avLst/>
          </a:prstGeom>
          <a:noFill/>
          <a:ln w="12700">
            <a:solidFill>
              <a:srgbClr val="000000"/>
            </a:solidFill>
            <a:round/>
            <a:headEnd/>
            <a:tailEnd/>
          </a:ln>
        </xdr:spPr>
      </xdr:sp>
      <xdr:grpSp>
        <xdr:nvGrpSpPr>
          <xdr:cNvPr id="1339" name="Group 315"/>
          <xdr:cNvGrpSpPr>
            <a:grpSpLocks/>
          </xdr:cNvGrpSpPr>
        </xdr:nvGrpSpPr>
        <xdr:grpSpPr bwMode="auto">
          <a:xfrm>
            <a:off x="1954327" y="12781503"/>
            <a:ext cx="213961" cy="208264"/>
            <a:chOff x="6336" y="4032"/>
            <a:chExt cx="288" cy="288"/>
          </a:xfrm>
        </xdr:grpSpPr>
        <xdr:sp macro="" textlink="">
          <xdr:nvSpPr>
            <xdr:cNvPr id="1340" name="Oval 316"/>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341" name="Rectangle 317"/>
            <xdr:cNvSpPr>
              <a:spLocks noChangeArrowheads="1"/>
            </xdr:cNvSpPr>
          </xdr:nvSpPr>
          <xdr:spPr bwMode="auto">
            <a:xfrm>
              <a:off x="6336" y="4032"/>
              <a:ext cx="288" cy="288"/>
            </a:xfrm>
            <a:prstGeom prst="rect">
              <a:avLst/>
            </a:prstGeom>
            <a:noFill/>
            <a:ln w="9525">
              <a:noFill/>
              <a:miter lim="800000"/>
              <a:headEnd/>
              <a:tailEnd/>
            </a:ln>
          </xdr:spPr>
        </xdr:sp>
      </xdr:grpSp>
      <xdr:grpSp>
        <xdr:nvGrpSpPr>
          <xdr:cNvPr id="1342" name="Group 318"/>
          <xdr:cNvGrpSpPr>
            <a:grpSpLocks/>
          </xdr:cNvGrpSpPr>
        </xdr:nvGrpSpPr>
        <xdr:grpSpPr bwMode="auto">
          <a:xfrm flipV="1">
            <a:off x="3866002" y="10567541"/>
            <a:ext cx="213961" cy="208264"/>
            <a:chOff x="6336" y="4032"/>
            <a:chExt cx="288" cy="288"/>
          </a:xfrm>
        </xdr:grpSpPr>
        <xdr:sp macro="" textlink="">
          <xdr:nvSpPr>
            <xdr:cNvPr id="1343" name="Oval 319"/>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344" name="Rectangle 320"/>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1345" name="Freeform 321"/>
          <xdr:cNvSpPr>
            <a:spLocks/>
          </xdr:cNvSpPr>
        </xdr:nvSpPr>
        <xdr:spPr bwMode="auto">
          <a:xfrm flipV="1">
            <a:off x="3326772" y="12361974"/>
            <a:ext cx="648206" cy="523659"/>
          </a:xfrm>
          <a:custGeom>
            <a:avLst/>
            <a:gdLst/>
            <a:ahLst/>
            <a:cxnLst>
              <a:cxn ang="0">
                <a:pos x="0" y="0"/>
              </a:cxn>
              <a:cxn ang="0">
                <a:pos x="1710" y="0"/>
              </a:cxn>
              <a:cxn ang="0">
                <a:pos x="1710" y="969"/>
              </a:cxn>
            </a:cxnLst>
            <a:rect l="0" t="0" r="r" b="b"/>
            <a:pathLst>
              <a:path w="1710" h="969">
                <a:moveTo>
                  <a:pt x="0" y="0"/>
                </a:moveTo>
                <a:lnTo>
                  <a:pt x="1710" y="0"/>
                </a:lnTo>
                <a:lnTo>
                  <a:pt x="1710" y="969"/>
                </a:lnTo>
              </a:path>
            </a:pathLst>
          </a:custGeom>
          <a:noFill/>
          <a:ln w="12700" cmpd="sng">
            <a:solidFill>
              <a:srgbClr val="000000"/>
            </a:solidFill>
            <a:round/>
            <a:headEnd/>
            <a:tailEnd/>
          </a:ln>
        </xdr:spPr>
      </xdr:sp>
      <xdr:grpSp>
        <xdr:nvGrpSpPr>
          <xdr:cNvPr id="1346" name="Group 322"/>
          <xdr:cNvGrpSpPr>
            <a:grpSpLocks/>
          </xdr:cNvGrpSpPr>
        </xdr:nvGrpSpPr>
        <xdr:grpSpPr bwMode="auto">
          <a:xfrm>
            <a:off x="3487243" y="10178208"/>
            <a:ext cx="218290" cy="208264"/>
            <a:chOff x="7410" y="14079"/>
            <a:chExt cx="228" cy="228"/>
          </a:xfrm>
        </xdr:grpSpPr>
        <xdr:sp macro="" textlink="">
          <xdr:nvSpPr>
            <xdr:cNvPr id="1347" name="Freeform 323"/>
            <xdr:cNvSpPr>
              <a:spLocks/>
            </xdr:cNvSpPr>
          </xdr:nvSpPr>
          <xdr:spPr bwMode="auto">
            <a:xfrm rot="5400000" flipV="1">
              <a:off x="7382" y="14107"/>
              <a:ext cx="228" cy="171"/>
            </a:xfrm>
            <a:custGeom>
              <a:avLst/>
              <a:gdLst/>
              <a:ahLst/>
              <a:cxnLst>
                <a:cxn ang="0">
                  <a:pos x="0" y="0"/>
                </a:cxn>
                <a:cxn ang="0">
                  <a:pos x="228" y="0"/>
                </a:cxn>
                <a:cxn ang="0">
                  <a:pos x="114" y="171"/>
                </a:cxn>
                <a:cxn ang="0">
                  <a:pos x="0" y="0"/>
                </a:cxn>
              </a:cxnLst>
              <a:rect l="0" t="0" r="r" b="b"/>
              <a:pathLst>
                <a:path w="228" h="171">
                  <a:moveTo>
                    <a:pt x="0" y="0"/>
                  </a:moveTo>
                  <a:lnTo>
                    <a:pt x="228" y="0"/>
                  </a:lnTo>
                  <a:lnTo>
                    <a:pt x="114" y="171"/>
                  </a:lnTo>
                  <a:lnTo>
                    <a:pt x="0" y="0"/>
                  </a:lnTo>
                  <a:close/>
                </a:path>
              </a:pathLst>
            </a:custGeom>
            <a:solidFill>
              <a:srgbClr val="000000"/>
            </a:solidFill>
            <a:ln w="9525">
              <a:solidFill>
                <a:srgbClr val="000000"/>
              </a:solidFill>
              <a:round/>
              <a:headEnd/>
              <a:tailEnd/>
            </a:ln>
          </xdr:spPr>
        </xdr:sp>
        <xdr:sp macro="" textlink="">
          <xdr:nvSpPr>
            <xdr:cNvPr id="1348" name="Freeform 324"/>
            <xdr:cNvSpPr>
              <a:spLocks/>
            </xdr:cNvSpPr>
          </xdr:nvSpPr>
          <xdr:spPr bwMode="auto">
            <a:xfrm flipV="1">
              <a:off x="7524" y="14079"/>
              <a:ext cx="114" cy="228"/>
            </a:xfrm>
            <a:custGeom>
              <a:avLst/>
              <a:gdLst/>
              <a:ahLst/>
              <a:cxnLst>
                <a:cxn ang="0">
                  <a:pos x="0" y="228"/>
                </a:cxn>
                <a:cxn ang="0">
                  <a:pos x="57" y="228"/>
                </a:cxn>
                <a:cxn ang="0">
                  <a:pos x="57" y="0"/>
                </a:cxn>
                <a:cxn ang="0">
                  <a:pos x="114" y="0"/>
                </a:cxn>
              </a:cxnLst>
              <a:rect l="0" t="0" r="r" b="b"/>
              <a:pathLst>
                <a:path w="114" h="228">
                  <a:moveTo>
                    <a:pt x="0" y="228"/>
                  </a:moveTo>
                  <a:lnTo>
                    <a:pt x="57" y="228"/>
                  </a:lnTo>
                  <a:lnTo>
                    <a:pt x="57" y="0"/>
                  </a:lnTo>
                  <a:lnTo>
                    <a:pt x="114" y="0"/>
                  </a:lnTo>
                </a:path>
              </a:pathLst>
            </a:custGeom>
            <a:noFill/>
            <a:ln w="12700" cmpd="sng">
              <a:solidFill>
                <a:srgbClr val="000000"/>
              </a:solidFill>
              <a:round/>
              <a:headEnd/>
              <a:tailEnd/>
            </a:ln>
          </xdr:spPr>
        </xdr:sp>
      </xdr:grpSp>
      <xdr:sp macro="" textlink="">
        <xdr:nvSpPr>
          <xdr:cNvPr id="1349" name="Line 325"/>
          <xdr:cNvSpPr>
            <a:spLocks noChangeShapeType="1"/>
          </xdr:cNvSpPr>
        </xdr:nvSpPr>
        <xdr:spPr bwMode="auto">
          <a:xfrm flipH="1">
            <a:off x="3326459" y="10282340"/>
            <a:ext cx="313" cy="1303524"/>
          </a:xfrm>
          <a:prstGeom prst="line">
            <a:avLst/>
          </a:prstGeom>
          <a:noFill/>
          <a:ln w="12700">
            <a:solidFill>
              <a:srgbClr val="000000"/>
            </a:solidFill>
            <a:round/>
            <a:headEnd/>
            <a:tailEnd/>
          </a:ln>
        </xdr:spPr>
      </xdr:sp>
      <xdr:sp macro="" textlink="">
        <xdr:nvSpPr>
          <xdr:cNvPr id="1351" name="Freeform 327"/>
          <xdr:cNvSpPr>
            <a:spLocks/>
          </xdr:cNvSpPr>
        </xdr:nvSpPr>
        <xdr:spPr bwMode="auto">
          <a:xfrm flipV="1">
            <a:off x="3957944" y="11726232"/>
            <a:ext cx="738891" cy="1154634"/>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sp macro="" textlink="">
        <xdr:nvSpPr>
          <xdr:cNvPr id="1358" name="Freeform 334"/>
          <xdr:cNvSpPr>
            <a:spLocks/>
          </xdr:cNvSpPr>
        </xdr:nvSpPr>
        <xdr:spPr bwMode="auto">
          <a:xfrm>
            <a:off x="1312444" y="12781503"/>
            <a:ext cx="2024040" cy="102769"/>
          </a:xfrm>
          <a:custGeom>
            <a:avLst/>
            <a:gdLst/>
            <a:ahLst/>
            <a:cxnLst>
              <a:cxn ang="0">
                <a:pos x="0" y="0"/>
              </a:cxn>
              <a:cxn ang="0">
                <a:pos x="0" y="456"/>
              </a:cxn>
              <a:cxn ang="0">
                <a:pos x="3876" y="456"/>
              </a:cxn>
            </a:cxnLst>
            <a:rect l="0" t="0" r="r" b="b"/>
            <a:pathLst>
              <a:path w="3876" h="456">
                <a:moveTo>
                  <a:pt x="0" y="0"/>
                </a:moveTo>
                <a:lnTo>
                  <a:pt x="0" y="456"/>
                </a:lnTo>
                <a:lnTo>
                  <a:pt x="3876" y="456"/>
                </a:lnTo>
              </a:path>
            </a:pathLst>
          </a:custGeom>
          <a:noFill/>
          <a:ln w="12700" cmpd="sng">
            <a:solidFill>
              <a:srgbClr val="000000"/>
            </a:solidFill>
            <a:round/>
            <a:headEnd/>
            <a:tailEnd/>
          </a:ln>
        </xdr:spPr>
      </xdr:sp>
      <xdr:sp macro="" textlink="">
        <xdr:nvSpPr>
          <xdr:cNvPr id="1361" name="Freeform 337"/>
          <xdr:cNvSpPr>
            <a:spLocks/>
          </xdr:cNvSpPr>
        </xdr:nvSpPr>
        <xdr:spPr bwMode="auto">
          <a:xfrm>
            <a:off x="2486526" y="10668456"/>
            <a:ext cx="1482148" cy="296349"/>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grpSp>
        <xdr:nvGrpSpPr>
          <xdr:cNvPr id="1365" name="Group 341"/>
          <xdr:cNvGrpSpPr>
            <a:grpSpLocks/>
          </xdr:cNvGrpSpPr>
        </xdr:nvGrpSpPr>
        <xdr:grpSpPr bwMode="auto">
          <a:xfrm>
            <a:off x="3869531" y="12776735"/>
            <a:ext cx="213961" cy="208264"/>
            <a:chOff x="6336" y="4032"/>
            <a:chExt cx="288" cy="288"/>
          </a:xfrm>
        </xdr:grpSpPr>
        <xdr:sp macro="" textlink="">
          <xdr:nvSpPr>
            <xdr:cNvPr id="1366" name="Oval 342"/>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367" name="Rectangle 343"/>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1368" name="Line 344"/>
          <xdr:cNvSpPr>
            <a:spLocks noChangeShapeType="1"/>
          </xdr:cNvSpPr>
        </xdr:nvSpPr>
        <xdr:spPr bwMode="auto">
          <a:xfrm flipV="1">
            <a:off x="2061307" y="12625305"/>
            <a:ext cx="0" cy="260329"/>
          </a:xfrm>
          <a:prstGeom prst="line">
            <a:avLst/>
          </a:prstGeom>
          <a:noFill/>
          <a:ln w="12700">
            <a:solidFill>
              <a:srgbClr val="000000"/>
            </a:solidFill>
            <a:round/>
            <a:headEnd/>
            <a:tailEnd/>
          </a:ln>
        </xdr:spPr>
      </xdr:sp>
      <xdr:grpSp>
        <xdr:nvGrpSpPr>
          <xdr:cNvPr id="1381" name="Group 357"/>
          <xdr:cNvGrpSpPr>
            <a:grpSpLocks/>
          </xdr:cNvGrpSpPr>
        </xdr:nvGrpSpPr>
        <xdr:grpSpPr bwMode="auto">
          <a:xfrm>
            <a:off x="3866003" y="11006055"/>
            <a:ext cx="213961" cy="208264"/>
            <a:chOff x="6336" y="4032"/>
            <a:chExt cx="288" cy="288"/>
          </a:xfrm>
        </xdr:grpSpPr>
        <xdr:sp macro="" textlink="">
          <xdr:nvSpPr>
            <xdr:cNvPr id="1382" name="Oval 358"/>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383" name="Rectangle 359"/>
            <xdr:cNvSpPr>
              <a:spLocks noChangeArrowheads="1"/>
            </xdr:cNvSpPr>
          </xdr:nvSpPr>
          <xdr:spPr bwMode="auto">
            <a:xfrm>
              <a:off x="6336" y="4032"/>
              <a:ext cx="288" cy="288"/>
            </a:xfrm>
            <a:prstGeom prst="rect">
              <a:avLst/>
            </a:prstGeom>
            <a:noFill/>
            <a:ln w="9525">
              <a:noFill/>
              <a:miter lim="800000"/>
              <a:headEnd/>
              <a:tailEnd/>
            </a:ln>
          </xdr:spPr>
        </xdr:sp>
      </xdr:grpSp>
      <xdr:grpSp>
        <xdr:nvGrpSpPr>
          <xdr:cNvPr id="1384" name="Group 360"/>
          <xdr:cNvGrpSpPr>
            <a:grpSpLocks/>
          </xdr:cNvGrpSpPr>
        </xdr:nvGrpSpPr>
        <xdr:grpSpPr bwMode="auto">
          <a:xfrm rot="10800000" flipV="1">
            <a:off x="4552881" y="11435470"/>
            <a:ext cx="283885" cy="332396"/>
            <a:chOff x="1482" y="6669"/>
            <a:chExt cx="228" cy="342"/>
          </a:xfrm>
        </xdr:grpSpPr>
        <xdr:sp macro="" textlink="">
          <xdr:nvSpPr>
            <xdr:cNvPr id="1385" name="Line 361"/>
            <xdr:cNvSpPr>
              <a:spLocks noChangeShapeType="1"/>
            </xdr:cNvSpPr>
          </xdr:nvSpPr>
          <xdr:spPr bwMode="auto">
            <a:xfrm>
              <a:off x="1482" y="6783"/>
              <a:ext cx="228" cy="0"/>
            </a:xfrm>
            <a:prstGeom prst="line">
              <a:avLst/>
            </a:prstGeom>
            <a:noFill/>
            <a:ln w="28575">
              <a:solidFill>
                <a:srgbClr val="000000"/>
              </a:solidFill>
              <a:round/>
              <a:headEnd/>
              <a:tailEnd/>
            </a:ln>
          </xdr:spPr>
        </xdr:sp>
        <xdr:sp macro="" textlink="">
          <xdr:nvSpPr>
            <xdr:cNvPr id="1386" name="Line 362"/>
            <xdr:cNvSpPr>
              <a:spLocks noChangeShapeType="1"/>
            </xdr:cNvSpPr>
          </xdr:nvSpPr>
          <xdr:spPr bwMode="auto">
            <a:xfrm>
              <a:off x="1482" y="6897"/>
              <a:ext cx="228" cy="0"/>
            </a:xfrm>
            <a:prstGeom prst="line">
              <a:avLst/>
            </a:prstGeom>
            <a:noFill/>
            <a:ln w="28575">
              <a:solidFill>
                <a:srgbClr val="000000"/>
              </a:solidFill>
              <a:round/>
              <a:headEnd/>
              <a:tailEnd/>
            </a:ln>
          </xdr:spPr>
        </xdr:sp>
        <xdr:sp macro="" textlink="">
          <xdr:nvSpPr>
            <xdr:cNvPr id="1387" name="Line 363"/>
            <xdr:cNvSpPr>
              <a:spLocks noChangeShapeType="1"/>
            </xdr:cNvSpPr>
          </xdr:nvSpPr>
          <xdr:spPr bwMode="auto">
            <a:xfrm flipV="1">
              <a:off x="1596" y="6669"/>
              <a:ext cx="0" cy="114"/>
            </a:xfrm>
            <a:prstGeom prst="line">
              <a:avLst/>
            </a:prstGeom>
            <a:noFill/>
            <a:ln w="12700">
              <a:solidFill>
                <a:srgbClr val="000000"/>
              </a:solidFill>
              <a:round/>
              <a:headEnd/>
              <a:tailEnd/>
            </a:ln>
          </xdr:spPr>
        </xdr:sp>
        <xdr:sp macro="" textlink="">
          <xdr:nvSpPr>
            <xdr:cNvPr id="1388" name="Line 364"/>
            <xdr:cNvSpPr>
              <a:spLocks noChangeShapeType="1"/>
            </xdr:cNvSpPr>
          </xdr:nvSpPr>
          <xdr:spPr bwMode="auto">
            <a:xfrm flipV="1">
              <a:off x="1596" y="6897"/>
              <a:ext cx="0" cy="114"/>
            </a:xfrm>
            <a:prstGeom prst="line">
              <a:avLst/>
            </a:prstGeom>
            <a:noFill/>
            <a:ln w="12700">
              <a:solidFill>
                <a:srgbClr val="000000"/>
              </a:solidFill>
              <a:round/>
              <a:headEnd/>
              <a:tailEnd/>
            </a:ln>
          </xdr:spPr>
        </xdr:sp>
      </xdr:grpSp>
      <xdr:sp macro="" textlink="">
        <xdr:nvSpPr>
          <xdr:cNvPr id="1390" name="Freeform 366"/>
          <xdr:cNvSpPr>
            <a:spLocks/>
          </xdr:cNvSpPr>
        </xdr:nvSpPr>
        <xdr:spPr bwMode="auto">
          <a:xfrm flipH="1" flipV="1">
            <a:off x="2646946" y="10282337"/>
            <a:ext cx="1323200" cy="1173183"/>
          </a:xfrm>
          <a:custGeom>
            <a:avLst/>
            <a:gdLst/>
            <a:ahLst/>
            <a:cxnLst>
              <a:cxn ang="0">
                <a:pos x="0" y="0"/>
              </a:cxn>
              <a:cxn ang="0">
                <a:pos x="0" y="456"/>
              </a:cxn>
              <a:cxn ang="0">
                <a:pos x="3876" y="456"/>
              </a:cxn>
            </a:cxnLst>
            <a:rect l="0" t="0" r="r" b="b"/>
            <a:pathLst>
              <a:path w="3876" h="456">
                <a:moveTo>
                  <a:pt x="0" y="0"/>
                </a:moveTo>
                <a:lnTo>
                  <a:pt x="0" y="456"/>
                </a:lnTo>
                <a:lnTo>
                  <a:pt x="3876" y="456"/>
                </a:lnTo>
              </a:path>
            </a:pathLst>
          </a:custGeom>
          <a:noFill/>
          <a:ln w="12700" cmpd="sng">
            <a:solidFill>
              <a:srgbClr val="000000"/>
            </a:solidFill>
            <a:round/>
            <a:headEnd/>
            <a:tailEnd/>
          </a:ln>
        </xdr:spPr>
      </xdr:sp>
      <xdr:grpSp>
        <xdr:nvGrpSpPr>
          <xdr:cNvPr id="1391" name="Group 367"/>
          <xdr:cNvGrpSpPr>
            <a:grpSpLocks/>
          </xdr:cNvGrpSpPr>
        </xdr:nvGrpSpPr>
        <xdr:grpSpPr bwMode="auto">
          <a:xfrm flipV="1">
            <a:off x="3866003" y="11423022"/>
            <a:ext cx="213961" cy="1197515"/>
            <a:chOff x="9633" y="12255"/>
            <a:chExt cx="228" cy="1311"/>
          </a:xfrm>
        </xdr:grpSpPr>
        <xdr:grpSp>
          <xdr:nvGrpSpPr>
            <xdr:cNvPr id="1392" name="Group 368"/>
            <xdr:cNvGrpSpPr>
              <a:grpSpLocks/>
            </xdr:cNvGrpSpPr>
          </xdr:nvGrpSpPr>
          <xdr:grpSpPr bwMode="auto">
            <a:xfrm flipV="1">
              <a:off x="9633" y="12540"/>
              <a:ext cx="228" cy="171"/>
              <a:chOff x="7410" y="8493"/>
              <a:chExt cx="228" cy="171"/>
            </a:xfrm>
          </xdr:grpSpPr>
          <xdr:sp macro="" textlink="">
            <xdr:nvSpPr>
              <xdr:cNvPr id="1393" name="Freeform 369"/>
              <xdr:cNvSpPr>
                <a:spLocks/>
              </xdr:cNvSpPr>
            </xdr:nvSpPr>
            <xdr:spPr bwMode="auto">
              <a:xfrm>
                <a:off x="7410" y="8493"/>
                <a:ext cx="228" cy="171"/>
              </a:xfrm>
              <a:custGeom>
                <a:avLst/>
                <a:gdLst/>
                <a:ahLst/>
                <a:cxnLst>
                  <a:cxn ang="0">
                    <a:pos x="0" y="0"/>
                  </a:cxn>
                  <a:cxn ang="0">
                    <a:pos x="228" y="0"/>
                  </a:cxn>
                  <a:cxn ang="0">
                    <a:pos x="114" y="171"/>
                  </a:cxn>
                  <a:cxn ang="0">
                    <a:pos x="0" y="0"/>
                  </a:cxn>
                </a:cxnLst>
                <a:rect l="0" t="0" r="r" b="b"/>
                <a:pathLst>
                  <a:path w="228" h="171">
                    <a:moveTo>
                      <a:pt x="0" y="0"/>
                    </a:moveTo>
                    <a:lnTo>
                      <a:pt x="228" y="0"/>
                    </a:lnTo>
                    <a:lnTo>
                      <a:pt x="114" y="171"/>
                    </a:lnTo>
                    <a:lnTo>
                      <a:pt x="0" y="0"/>
                    </a:lnTo>
                    <a:close/>
                  </a:path>
                </a:pathLst>
              </a:custGeom>
              <a:solidFill>
                <a:srgbClr val="000000"/>
              </a:solidFill>
              <a:ln w="9525">
                <a:solidFill>
                  <a:srgbClr val="000000"/>
                </a:solidFill>
                <a:round/>
                <a:headEnd/>
                <a:tailEnd/>
              </a:ln>
            </xdr:spPr>
          </xdr:sp>
          <xdr:sp macro="" textlink="">
            <xdr:nvSpPr>
              <xdr:cNvPr id="1394" name="Line 370"/>
              <xdr:cNvSpPr>
                <a:spLocks noChangeShapeType="1"/>
              </xdr:cNvSpPr>
            </xdr:nvSpPr>
            <xdr:spPr bwMode="auto">
              <a:xfrm>
                <a:off x="7410" y="8664"/>
                <a:ext cx="228" cy="0"/>
              </a:xfrm>
              <a:prstGeom prst="line">
                <a:avLst/>
              </a:prstGeom>
              <a:noFill/>
              <a:ln w="12700">
                <a:solidFill>
                  <a:srgbClr val="000000"/>
                </a:solidFill>
                <a:round/>
                <a:headEnd/>
                <a:tailEnd/>
              </a:ln>
            </xdr:spPr>
          </xdr:sp>
        </xdr:grpSp>
        <xdr:grpSp>
          <xdr:nvGrpSpPr>
            <xdr:cNvPr id="1395" name="Group 371"/>
            <xdr:cNvGrpSpPr>
              <a:grpSpLocks/>
            </xdr:cNvGrpSpPr>
          </xdr:nvGrpSpPr>
          <xdr:grpSpPr bwMode="auto">
            <a:xfrm flipV="1">
              <a:off x="9633" y="13110"/>
              <a:ext cx="228" cy="171"/>
              <a:chOff x="7410" y="8265"/>
              <a:chExt cx="228" cy="171"/>
            </a:xfrm>
          </xdr:grpSpPr>
          <xdr:sp macro="" textlink="">
            <xdr:nvSpPr>
              <xdr:cNvPr id="1396" name="Freeform 372"/>
              <xdr:cNvSpPr>
                <a:spLocks/>
              </xdr:cNvSpPr>
            </xdr:nvSpPr>
            <xdr:spPr bwMode="auto">
              <a:xfrm>
                <a:off x="7410" y="8265"/>
                <a:ext cx="228" cy="171"/>
              </a:xfrm>
              <a:custGeom>
                <a:avLst/>
                <a:gdLst/>
                <a:ahLst/>
                <a:cxnLst>
                  <a:cxn ang="0">
                    <a:pos x="0" y="0"/>
                  </a:cxn>
                  <a:cxn ang="0">
                    <a:pos x="228" y="0"/>
                  </a:cxn>
                  <a:cxn ang="0">
                    <a:pos x="114" y="171"/>
                  </a:cxn>
                  <a:cxn ang="0">
                    <a:pos x="0" y="0"/>
                  </a:cxn>
                </a:cxnLst>
                <a:rect l="0" t="0" r="r" b="b"/>
                <a:pathLst>
                  <a:path w="228" h="171">
                    <a:moveTo>
                      <a:pt x="0" y="0"/>
                    </a:moveTo>
                    <a:lnTo>
                      <a:pt x="228" y="0"/>
                    </a:lnTo>
                    <a:lnTo>
                      <a:pt x="114" y="171"/>
                    </a:lnTo>
                    <a:lnTo>
                      <a:pt x="0" y="0"/>
                    </a:lnTo>
                    <a:close/>
                  </a:path>
                </a:pathLst>
              </a:custGeom>
              <a:solidFill>
                <a:srgbClr val="000000"/>
              </a:solidFill>
              <a:ln w="9525">
                <a:solidFill>
                  <a:srgbClr val="000000"/>
                </a:solidFill>
                <a:round/>
                <a:headEnd/>
                <a:tailEnd/>
              </a:ln>
            </xdr:spPr>
          </xdr:sp>
          <xdr:sp macro="" textlink="">
            <xdr:nvSpPr>
              <xdr:cNvPr id="1397" name="Line 373"/>
              <xdr:cNvSpPr>
                <a:spLocks noChangeShapeType="1"/>
              </xdr:cNvSpPr>
            </xdr:nvSpPr>
            <xdr:spPr bwMode="auto">
              <a:xfrm>
                <a:off x="7410" y="8436"/>
                <a:ext cx="228" cy="0"/>
              </a:xfrm>
              <a:prstGeom prst="line">
                <a:avLst/>
              </a:prstGeom>
              <a:noFill/>
              <a:ln w="12700">
                <a:solidFill>
                  <a:srgbClr val="000000"/>
                </a:solidFill>
                <a:round/>
                <a:headEnd/>
                <a:tailEnd/>
              </a:ln>
            </xdr:spPr>
          </xdr:sp>
        </xdr:grpSp>
        <xdr:grpSp>
          <xdr:nvGrpSpPr>
            <xdr:cNvPr id="1398" name="Group 374"/>
            <xdr:cNvGrpSpPr>
              <a:grpSpLocks/>
            </xdr:cNvGrpSpPr>
          </xdr:nvGrpSpPr>
          <xdr:grpSpPr bwMode="auto">
            <a:xfrm flipV="1">
              <a:off x="9633" y="13395"/>
              <a:ext cx="228" cy="171"/>
              <a:chOff x="7410" y="8037"/>
              <a:chExt cx="228" cy="171"/>
            </a:xfrm>
          </xdr:grpSpPr>
          <xdr:sp macro="" textlink="">
            <xdr:nvSpPr>
              <xdr:cNvPr id="1399" name="Freeform 375"/>
              <xdr:cNvSpPr>
                <a:spLocks/>
              </xdr:cNvSpPr>
            </xdr:nvSpPr>
            <xdr:spPr bwMode="auto">
              <a:xfrm>
                <a:off x="7410" y="8037"/>
                <a:ext cx="228" cy="171"/>
              </a:xfrm>
              <a:custGeom>
                <a:avLst/>
                <a:gdLst/>
                <a:ahLst/>
                <a:cxnLst>
                  <a:cxn ang="0">
                    <a:pos x="0" y="0"/>
                  </a:cxn>
                  <a:cxn ang="0">
                    <a:pos x="228" y="0"/>
                  </a:cxn>
                  <a:cxn ang="0">
                    <a:pos x="114" y="171"/>
                  </a:cxn>
                  <a:cxn ang="0">
                    <a:pos x="0" y="0"/>
                  </a:cxn>
                </a:cxnLst>
                <a:rect l="0" t="0" r="r" b="b"/>
                <a:pathLst>
                  <a:path w="228" h="171">
                    <a:moveTo>
                      <a:pt x="0" y="0"/>
                    </a:moveTo>
                    <a:lnTo>
                      <a:pt x="228" y="0"/>
                    </a:lnTo>
                    <a:lnTo>
                      <a:pt x="114" y="171"/>
                    </a:lnTo>
                    <a:lnTo>
                      <a:pt x="0" y="0"/>
                    </a:lnTo>
                    <a:close/>
                  </a:path>
                </a:pathLst>
              </a:custGeom>
              <a:solidFill>
                <a:srgbClr val="000000"/>
              </a:solidFill>
              <a:ln w="9525">
                <a:solidFill>
                  <a:srgbClr val="000000"/>
                </a:solidFill>
                <a:round/>
                <a:headEnd/>
                <a:tailEnd/>
              </a:ln>
            </xdr:spPr>
          </xdr:sp>
          <xdr:sp macro="" textlink="">
            <xdr:nvSpPr>
              <xdr:cNvPr id="1400" name="Line 376"/>
              <xdr:cNvSpPr>
                <a:spLocks noChangeShapeType="1"/>
              </xdr:cNvSpPr>
            </xdr:nvSpPr>
            <xdr:spPr bwMode="auto">
              <a:xfrm>
                <a:off x="7410" y="8208"/>
                <a:ext cx="228" cy="0"/>
              </a:xfrm>
              <a:prstGeom prst="line">
                <a:avLst/>
              </a:prstGeom>
              <a:noFill/>
              <a:ln w="12700">
                <a:solidFill>
                  <a:srgbClr val="000000"/>
                </a:solidFill>
                <a:round/>
                <a:headEnd/>
                <a:tailEnd/>
              </a:ln>
            </xdr:spPr>
          </xdr:sp>
        </xdr:grpSp>
        <xdr:sp macro="" textlink="">
          <xdr:nvSpPr>
            <xdr:cNvPr id="1401" name="Line 377"/>
            <xdr:cNvSpPr>
              <a:spLocks noChangeShapeType="1"/>
            </xdr:cNvSpPr>
          </xdr:nvSpPr>
          <xdr:spPr bwMode="auto">
            <a:xfrm flipV="1">
              <a:off x="9747" y="12711"/>
              <a:ext cx="0" cy="513"/>
            </a:xfrm>
            <a:prstGeom prst="line">
              <a:avLst/>
            </a:prstGeom>
            <a:noFill/>
            <a:ln w="12700">
              <a:solidFill>
                <a:srgbClr val="000000"/>
              </a:solidFill>
              <a:prstDash val="sysDot"/>
              <a:round/>
              <a:headEnd/>
              <a:tailEnd/>
            </a:ln>
          </xdr:spPr>
        </xdr:sp>
        <xdr:grpSp>
          <xdr:nvGrpSpPr>
            <xdr:cNvPr id="1402" name="Group 378"/>
            <xdr:cNvGrpSpPr>
              <a:grpSpLocks/>
            </xdr:cNvGrpSpPr>
          </xdr:nvGrpSpPr>
          <xdr:grpSpPr bwMode="auto">
            <a:xfrm flipV="1">
              <a:off x="9633" y="12255"/>
              <a:ext cx="228" cy="171"/>
              <a:chOff x="7410" y="8493"/>
              <a:chExt cx="228" cy="171"/>
            </a:xfrm>
          </xdr:grpSpPr>
          <xdr:sp macro="" textlink="">
            <xdr:nvSpPr>
              <xdr:cNvPr id="1403" name="Freeform 379"/>
              <xdr:cNvSpPr>
                <a:spLocks/>
              </xdr:cNvSpPr>
            </xdr:nvSpPr>
            <xdr:spPr bwMode="auto">
              <a:xfrm>
                <a:off x="7410" y="8493"/>
                <a:ext cx="228" cy="171"/>
              </a:xfrm>
              <a:custGeom>
                <a:avLst/>
                <a:gdLst/>
                <a:ahLst/>
                <a:cxnLst>
                  <a:cxn ang="0">
                    <a:pos x="0" y="0"/>
                  </a:cxn>
                  <a:cxn ang="0">
                    <a:pos x="228" y="0"/>
                  </a:cxn>
                  <a:cxn ang="0">
                    <a:pos x="114" y="171"/>
                  </a:cxn>
                  <a:cxn ang="0">
                    <a:pos x="0" y="0"/>
                  </a:cxn>
                </a:cxnLst>
                <a:rect l="0" t="0" r="r" b="b"/>
                <a:pathLst>
                  <a:path w="228" h="171">
                    <a:moveTo>
                      <a:pt x="0" y="0"/>
                    </a:moveTo>
                    <a:lnTo>
                      <a:pt x="228" y="0"/>
                    </a:lnTo>
                    <a:lnTo>
                      <a:pt x="114" y="171"/>
                    </a:lnTo>
                    <a:lnTo>
                      <a:pt x="0" y="0"/>
                    </a:lnTo>
                    <a:close/>
                  </a:path>
                </a:pathLst>
              </a:custGeom>
              <a:solidFill>
                <a:srgbClr val="000000"/>
              </a:solidFill>
              <a:ln w="9525">
                <a:solidFill>
                  <a:srgbClr val="000000"/>
                </a:solidFill>
                <a:round/>
                <a:headEnd/>
                <a:tailEnd/>
              </a:ln>
            </xdr:spPr>
          </xdr:sp>
          <xdr:sp macro="" textlink="">
            <xdr:nvSpPr>
              <xdr:cNvPr id="1404" name="Line 380"/>
              <xdr:cNvSpPr>
                <a:spLocks noChangeShapeType="1"/>
              </xdr:cNvSpPr>
            </xdr:nvSpPr>
            <xdr:spPr bwMode="auto">
              <a:xfrm>
                <a:off x="7410" y="8664"/>
                <a:ext cx="228" cy="0"/>
              </a:xfrm>
              <a:prstGeom prst="line">
                <a:avLst/>
              </a:prstGeom>
              <a:noFill/>
              <a:ln w="12700">
                <a:solidFill>
                  <a:srgbClr val="000000"/>
                </a:solidFill>
                <a:round/>
                <a:headEnd/>
                <a:tailEnd/>
              </a:ln>
            </xdr:spPr>
          </xdr:sp>
        </xdr:grpSp>
      </xdr:grpSp>
      <xdr:sp macro="" textlink="">
        <xdr:nvSpPr>
          <xdr:cNvPr id="1406" name="Line 382"/>
          <xdr:cNvSpPr>
            <a:spLocks noChangeShapeType="1"/>
          </xdr:cNvSpPr>
        </xdr:nvSpPr>
        <xdr:spPr bwMode="auto">
          <a:xfrm flipH="1">
            <a:off x="681788" y="11499560"/>
            <a:ext cx="791127" cy="1087"/>
          </a:xfrm>
          <a:prstGeom prst="line">
            <a:avLst/>
          </a:prstGeom>
          <a:noFill/>
          <a:ln w="12700">
            <a:solidFill>
              <a:srgbClr val="000000"/>
            </a:solidFill>
            <a:round/>
            <a:headEnd/>
            <a:tailEnd/>
          </a:ln>
        </xdr:spPr>
      </xdr:sp>
      <xdr:sp macro="" textlink="">
        <xdr:nvSpPr>
          <xdr:cNvPr id="1407" name="Line 383"/>
          <xdr:cNvSpPr>
            <a:spLocks noChangeShapeType="1"/>
          </xdr:cNvSpPr>
        </xdr:nvSpPr>
        <xdr:spPr bwMode="auto">
          <a:xfrm rot="5400000">
            <a:off x="1500130" y="9559766"/>
            <a:ext cx="0" cy="1444234"/>
          </a:xfrm>
          <a:prstGeom prst="line">
            <a:avLst/>
          </a:prstGeom>
          <a:noFill/>
          <a:ln w="12700">
            <a:solidFill>
              <a:srgbClr val="000000"/>
            </a:solidFill>
            <a:round/>
            <a:headEnd/>
            <a:tailEnd/>
          </a:ln>
        </xdr:spPr>
      </xdr:sp>
      <xdr:sp macro="" textlink="">
        <xdr:nvSpPr>
          <xdr:cNvPr id="1408" name="Freeform 384"/>
          <xdr:cNvSpPr>
            <a:spLocks/>
          </xdr:cNvSpPr>
        </xdr:nvSpPr>
        <xdr:spPr bwMode="auto">
          <a:xfrm>
            <a:off x="2491540" y="11106512"/>
            <a:ext cx="1476333" cy="619721"/>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sp macro="" textlink="">
        <xdr:nvSpPr>
          <xdr:cNvPr id="1409" name="Freeform 385"/>
          <xdr:cNvSpPr>
            <a:spLocks/>
          </xdr:cNvSpPr>
        </xdr:nvSpPr>
        <xdr:spPr bwMode="auto">
          <a:xfrm flipH="1">
            <a:off x="1988127" y="10282444"/>
            <a:ext cx="172544" cy="260683"/>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sp macro="" textlink="">
        <xdr:nvSpPr>
          <xdr:cNvPr id="1411" name="Line 387"/>
          <xdr:cNvSpPr>
            <a:spLocks noChangeShapeType="1"/>
          </xdr:cNvSpPr>
        </xdr:nvSpPr>
        <xdr:spPr bwMode="auto">
          <a:xfrm>
            <a:off x="3219792" y="12885634"/>
            <a:ext cx="0" cy="104132"/>
          </a:xfrm>
          <a:prstGeom prst="line">
            <a:avLst/>
          </a:prstGeom>
          <a:noFill/>
          <a:ln w="12700">
            <a:solidFill>
              <a:srgbClr val="000000"/>
            </a:solidFill>
            <a:round/>
            <a:headEnd/>
            <a:tailEnd/>
          </a:ln>
        </xdr:spPr>
      </xdr:sp>
      <xdr:grpSp>
        <xdr:nvGrpSpPr>
          <xdr:cNvPr id="1412" name="Group 388"/>
          <xdr:cNvGrpSpPr>
            <a:grpSpLocks/>
          </xdr:cNvGrpSpPr>
        </xdr:nvGrpSpPr>
        <xdr:grpSpPr bwMode="auto">
          <a:xfrm>
            <a:off x="3112812" y="12781503"/>
            <a:ext cx="213961" cy="208264"/>
            <a:chOff x="6336" y="4032"/>
            <a:chExt cx="288" cy="288"/>
          </a:xfrm>
        </xdr:grpSpPr>
        <xdr:sp macro="" textlink="">
          <xdr:nvSpPr>
            <xdr:cNvPr id="1413" name="Oval 389"/>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414" name="Rectangle 390"/>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382" name="Rectangle 283"/>
          <xdr:cNvSpPr>
            <a:spLocks noChangeArrowheads="1"/>
          </xdr:cNvSpPr>
        </xdr:nvSpPr>
        <xdr:spPr bwMode="auto">
          <a:xfrm>
            <a:off x="2901786" y="11995914"/>
            <a:ext cx="260329" cy="106980"/>
          </a:xfrm>
          <a:prstGeom prst="rect">
            <a:avLst/>
          </a:prstGeom>
          <a:solidFill>
            <a:srgbClr val="FFFFFF"/>
          </a:solidFill>
          <a:ln w="12700">
            <a:solidFill>
              <a:srgbClr val="000000"/>
            </a:solidFill>
            <a:miter lim="800000"/>
            <a:headEnd/>
            <a:tailEnd/>
          </a:ln>
        </xdr:spPr>
      </xdr:sp>
      <xdr:sp macro="" textlink="">
        <xdr:nvSpPr>
          <xdr:cNvPr id="1350" name="Rectangle 326"/>
          <xdr:cNvSpPr>
            <a:spLocks noChangeArrowheads="1"/>
          </xdr:cNvSpPr>
        </xdr:nvSpPr>
        <xdr:spPr bwMode="auto">
          <a:xfrm rot="16200000">
            <a:off x="3839459" y="10831339"/>
            <a:ext cx="260329" cy="106980"/>
          </a:xfrm>
          <a:prstGeom prst="rect">
            <a:avLst/>
          </a:prstGeom>
          <a:solidFill>
            <a:srgbClr val="FFFFFF"/>
          </a:solidFill>
          <a:ln w="12700">
            <a:solidFill>
              <a:srgbClr val="000000"/>
            </a:solidFill>
            <a:miter lim="800000"/>
            <a:headEnd/>
            <a:tailEnd/>
          </a:ln>
        </xdr:spPr>
      </xdr:sp>
      <xdr:sp macro="" textlink="">
        <xdr:nvSpPr>
          <xdr:cNvPr id="384" name="Freeform 366"/>
          <xdr:cNvSpPr>
            <a:spLocks/>
          </xdr:cNvSpPr>
        </xdr:nvSpPr>
        <xdr:spPr bwMode="auto">
          <a:xfrm flipH="1" flipV="1">
            <a:off x="3095852" y="10282442"/>
            <a:ext cx="1600982" cy="1173183"/>
          </a:xfrm>
          <a:custGeom>
            <a:avLst/>
            <a:gdLst/>
            <a:ahLst/>
            <a:cxnLst>
              <a:cxn ang="0">
                <a:pos x="0" y="0"/>
              </a:cxn>
              <a:cxn ang="0">
                <a:pos x="0" y="456"/>
              </a:cxn>
              <a:cxn ang="0">
                <a:pos x="3876" y="456"/>
              </a:cxn>
            </a:cxnLst>
            <a:rect l="0" t="0" r="r" b="b"/>
            <a:pathLst>
              <a:path w="3876" h="456">
                <a:moveTo>
                  <a:pt x="0" y="0"/>
                </a:moveTo>
                <a:lnTo>
                  <a:pt x="0" y="456"/>
                </a:lnTo>
                <a:lnTo>
                  <a:pt x="3876" y="456"/>
                </a:lnTo>
              </a:path>
            </a:pathLst>
          </a:custGeom>
          <a:noFill/>
          <a:ln w="12700" cmpd="sng">
            <a:solidFill>
              <a:srgbClr val="000000"/>
            </a:solidFill>
            <a:round/>
            <a:headEnd/>
            <a:tailEnd/>
          </a:ln>
        </xdr:spPr>
      </xdr:sp>
      <xdr:grpSp>
        <xdr:nvGrpSpPr>
          <xdr:cNvPr id="385" name="Group 318"/>
          <xdr:cNvGrpSpPr>
            <a:grpSpLocks/>
          </xdr:cNvGrpSpPr>
        </xdr:nvGrpSpPr>
        <xdr:grpSpPr bwMode="auto">
          <a:xfrm flipV="1">
            <a:off x="3864688" y="10182180"/>
            <a:ext cx="213961" cy="208264"/>
            <a:chOff x="6336" y="4032"/>
            <a:chExt cx="288" cy="288"/>
          </a:xfrm>
        </xdr:grpSpPr>
        <xdr:sp macro="" textlink="">
          <xdr:nvSpPr>
            <xdr:cNvPr id="386" name="Oval 319"/>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387" name="Rectangle 320"/>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388" name="Freeform 281"/>
          <xdr:cNvSpPr>
            <a:spLocks/>
          </xdr:cNvSpPr>
        </xdr:nvSpPr>
        <xdr:spPr bwMode="auto">
          <a:xfrm flipH="1">
            <a:off x="601579" y="11500640"/>
            <a:ext cx="165483" cy="220579"/>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grpSp>
        <xdr:nvGrpSpPr>
          <xdr:cNvPr id="389" name="Group 294"/>
          <xdr:cNvGrpSpPr>
            <a:grpSpLocks/>
          </xdr:cNvGrpSpPr>
        </xdr:nvGrpSpPr>
        <xdr:grpSpPr bwMode="auto">
          <a:xfrm>
            <a:off x="1027696" y="10833889"/>
            <a:ext cx="213961" cy="85082"/>
            <a:chOff x="4731" y="2337"/>
            <a:chExt cx="342" cy="114"/>
          </a:xfrm>
        </xdr:grpSpPr>
        <xdr:sp macro="" textlink="">
          <xdr:nvSpPr>
            <xdr:cNvPr id="390" name="Line 295"/>
            <xdr:cNvSpPr>
              <a:spLocks noChangeShapeType="1"/>
            </xdr:cNvSpPr>
          </xdr:nvSpPr>
          <xdr:spPr bwMode="auto">
            <a:xfrm>
              <a:off x="4731" y="2337"/>
              <a:ext cx="342" cy="0"/>
            </a:xfrm>
            <a:prstGeom prst="line">
              <a:avLst/>
            </a:prstGeom>
            <a:noFill/>
            <a:ln w="12700">
              <a:solidFill>
                <a:srgbClr val="000000"/>
              </a:solidFill>
              <a:round/>
              <a:headEnd/>
              <a:tailEnd/>
            </a:ln>
          </xdr:spPr>
        </xdr:sp>
        <xdr:sp macro="" textlink="">
          <xdr:nvSpPr>
            <xdr:cNvPr id="391" name="Line 296"/>
            <xdr:cNvSpPr>
              <a:spLocks noChangeShapeType="1"/>
            </xdr:cNvSpPr>
          </xdr:nvSpPr>
          <xdr:spPr bwMode="auto">
            <a:xfrm>
              <a:off x="4788" y="2394"/>
              <a:ext cx="228" cy="0"/>
            </a:xfrm>
            <a:prstGeom prst="line">
              <a:avLst/>
            </a:prstGeom>
            <a:noFill/>
            <a:ln w="12700">
              <a:solidFill>
                <a:srgbClr val="000000"/>
              </a:solidFill>
              <a:round/>
              <a:headEnd/>
              <a:tailEnd/>
            </a:ln>
          </xdr:spPr>
        </xdr:sp>
        <xdr:sp macro="" textlink="">
          <xdr:nvSpPr>
            <xdr:cNvPr id="392" name="Line 297"/>
            <xdr:cNvSpPr>
              <a:spLocks noChangeShapeType="1"/>
            </xdr:cNvSpPr>
          </xdr:nvSpPr>
          <xdr:spPr bwMode="auto">
            <a:xfrm>
              <a:off x="4845" y="2451"/>
              <a:ext cx="114" cy="0"/>
            </a:xfrm>
            <a:prstGeom prst="line">
              <a:avLst/>
            </a:prstGeom>
            <a:noFill/>
            <a:ln w="12700">
              <a:solidFill>
                <a:srgbClr val="000000"/>
              </a:solidFill>
              <a:round/>
              <a:headEnd/>
              <a:tailEnd/>
            </a:ln>
          </xdr:spPr>
        </xdr:sp>
      </xdr:grpSp>
      <xdr:grpSp>
        <xdr:nvGrpSpPr>
          <xdr:cNvPr id="399" name="Group 298"/>
          <xdr:cNvGrpSpPr>
            <a:grpSpLocks/>
          </xdr:cNvGrpSpPr>
        </xdr:nvGrpSpPr>
        <xdr:grpSpPr bwMode="auto">
          <a:xfrm>
            <a:off x="1027697" y="10182180"/>
            <a:ext cx="213961" cy="208264"/>
            <a:chOff x="6336" y="4032"/>
            <a:chExt cx="288" cy="288"/>
          </a:xfrm>
        </xdr:grpSpPr>
        <xdr:sp macro="" textlink="">
          <xdr:nvSpPr>
            <xdr:cNvPr id="400" name="Oval 299"/>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401" name="Rectangle 300"/>
            <xdr:cNvSpPr>
              <a:spLocks noChangeArrowheads="1"/>
            </xdr:cNvSpPr>
          </xdr:nvSpPr>
          <xdr:spPr bwMode="auto">
            <a:xfrm>
              <a:off x="6336" y="4032"/>
              <a:ext cx="288" cy="288"/>
            </a:xfrm>
            <a:prstGeom prst="rect">
              <a:avLst/>
            </a:prstGeom>
            <a:noFill/>
            <a:ln w="9525">
              <a:noFill/>
              <a:miter lim="800000"/>
              <a:headEnd/>
              <a:tailEnd/>
            </a:ln>
          </xdr:spPr>
        </xdr:sp>
      </xdr:grpSp>
      <xdr:grpSp>
        <xdr:nvGrpSpPr>
          <xdr:cNvPr id="393" name="Group 360"/>
          <xdr:cNvGrpSpPr>
            <a:grpSpLocks/>
          </xdr:cNvGrpSpPr>
        </xdr:nvGrpSpPr>
        <xdr:grpSpPr bwMode="auto">
          <a:xfrm rot="10800000" flipV="1">
            <a:off x="991921" y="10397744"/>
            <a:ext cx="288936" cy="332396"/>
            <a:chOff x="1482" y="6669"/>
            <a:chExt cx="228" cy="342"/>
          </a:xfrm>
        </xdr:grpSpPr>
        <xdr:sp macro="" textlink="">
          <xdr:nvSpPr>
            <xdr:cNvPr id="394" name="Line 361"/>
            <xdr:cNvSpPr>
              <a:spLocks noChangeShapeType="1"/>
            </xdr:cNvSpPr>
          </xdr:nvSpPr>
          <xdr:spPr bwMode="auto">
            <a:xfrm>
              <a:off x="1482" y="6783"/>
              <a:ext cx="228" cy="0"/>
            </a:xfrm>
            <a:prstGeom prst="line">
              <a:avLst/>
            </a:prstGeom>
            <a:noFill/>
            <a:ln w="28575">
              <a:solidFill>
                <a:srgbClr val="000000"/>
              </a:solidFill>
              <a:round/>
              <a:headEnd/>
              <a:tailEnd/>
            </a:ln>
          </xdr:spPr>
        </xdr:sp>
        <xdr:sp macro="" textlink="">
          <xdr:nvSpPr>
            <xdr:cNvPr id="395" name="Line 362"/>
            <xdr:cNvSpPr>
              <a:spLocks noChangeShapeType="1"/>
            </xdr:cNvSpPr>
          </xdr:nvSpPr>
          <xdr:spPr bwMode="auto">
            <a:xfrm>
              <a:off x="1482" y="6897"/>
              <a:ext cx="228" cy="0"/>
            </a:xfrm>
            <a:prstGeom prst="line">
              <a:avLst/>
            </a:prstGeom>
            <a:noFill/>
            <a:ln w="28575">
              <a:solidFill>
                <a:srgbClr val="000000"/>
              </a:solidFill>
              <a:round/>
              <a:headEnd/>
              <a:tailEnd/>
            </a:ln>
          </xdr:spPr>
        </xdr:sp>
        <xdr:sp macro="" textlink="">
          <xdr:nvSpPr>
            <xdr:cNvPr id="396" name="Line 363"/>
            <xdr:cNvSpPr>
              <a:spLocks noChangeShapeType="1"/>
            </xdr:cNvSpPr>
          </xdr:nvSpPr>
          <xdr:spPr bwMode="auto">
            <a:xfrm flipV="1">
              <a:off x="1596" y="6669"/>
              <a:ext cx="0" cy="114"/>
            </a:xfrm>
            <a:prstGeom prst="line">
              <a:avLst/>
            </a:prstGeom>
            <a:noFill/>
            <a:ln w="12700">
              <a:solidFill>
                <a:srgbClr val="000000"/>
              </a:solidFill>
              <a:round/>
              <a:headEnd/>
              <a:tailEnd/>
            </a:ln>
          </xdr:spPr>
        </xdr:sp>
        <xdr:sp macro="" textlink="">
          <xdr:nvSpPr>
            <xdr:cNvPr id="397" name="Line 364"/>
            <xdr:cNvSpPr>
              <a:spLocks noChangeShapeType="1"/>
            </xdr:cNvSpPr>
          </xdr:nvSpPr>
          <xdr:spPr bwMode="auto">
            <a:xfrm flipV="1">
              <a:off x="1596" y="6897"/>
              <a:ext cx="0" cy="114"/>
            </a:xfrm>
            <a:prstGeom prst="line">
              <a:avLst/>
            </a:prstGeom>
            <a:noFill/>
            <a:ln w="12700">
              <a:solidFill>
                <a:srgbClr val="000000"/>
              </a:solidFill>
              <a:round/>
              <a:headEnd/>
              <a:tailEnd/>
            </a:ln>
          </xdr:spPr>
        </xdr:sp>
      </xdr:grpSp>
      <xdr:sp macro="" textlink="">
        <xdr:nvSpPr>
          <xdr:cNvPr id="402" name="Line 344"/>
          <xdr:cNvSpPr>
            <a:spLocks noChangeShapeType="1"/>
          </xdr:cNvSpPr>
        </xdr:nvSpPr>
        <xdr:spPr bwMode="auto">
          <a:xfrm flipV="1">
            <a:off x="1132974" y="10618323"/>
            <a:ext cx="0" cy="210198"/>
          </a:xfrm>
          <a:prstGeom prst="line">
            <a:avLst/>
          </a:prstGeom>
          <a:noFill/>
          <a:ln w="12700">
            <a:solidFill>
              <a:srgbClr val="000000"/>
            </a:solidFill>
            <a:round/>
            <a:headEnd/>
            <a:tailEnd/>
          </a:ln>
        </xdr:spPr>
      </xdr:sp>
      <xdr:grpSp>
        <xdr:nvGrpSpPr>
          <xdr:cNvPr id="403" name="Group 360"/>
          <xdr:cNvGrpSpPr>
            <a:grpSpLocks/>
          </xdr:cNvGrpSpPr>
        </xdr:nvGrpSpPr>
        <xdr:grpSpPr bwMode="auto">
          <a:xfrm rot="10800000" flipV="1">
            <a:off x="456198" y="11610930"/>
            <a:ext cx="288936" cy="332396"/>
            <a:chOff x="1482" y="6669"/>
            <a:chExt cx="228" cy="342"/>
          </a:xfrm>
        </xdr:grpSpPr>
        <xdr:sp macro="" textlink="">
          <xdr:nvSpPr>
            <xdr:cNvPr id="404" name="Line 361"/>
            <xdr:cNvSpPr>
              <a:spLocks noChangeShapeType="1"/>
            </xdr:cNvSpPr>
          </xdr:nvSpPr>
          <xdr:spPr bwMode="auto">
            <a:xfrm>
              <a:off x="1482" y="6783"/>
              <a:ext cx="228" cy="0"/>
            </a:xfrm>
            <a:prstGeom prst="line">
              <a:avLst/>
            </a:prstGeom>
            <a:noFill/>
            <a:ln w="28575">
              <a:solidFill>
                <a:srgbClr val="000000"/>
              </a:solidFill>
              <a:round/>
              <a:headEnd/>
              <a:tailEnd/>
            </a:ln>
          </xdr:spPr>
        </xdr:sp>
        <xdr:sp macro="" textlink="">
          <xdr:nvSpPr>
            <xdr:cNvPr id="405" name="Line 362"/>
            <xdr:cNvSpPr>
              <a:spLocks noChangeShapeType="1"/>
            </xdr:cNvSpPr>
          </xdr:nvSpPr>
          <xdr:spPr bwMode="auto">
            <a:xfrm>
              <a:off x="1482" y="6897"/>
              <a:ext cx="228" cy="0"/>
            </a:xfrm>
            <a:prstGeom prst="line">
              <a:avLst/>
            </a:prstGeom>
            <a:noFill/>
            <a:ln w="28575">
              <a:solidFill>
                <a:srgbClr val="000000"/>
              </a:solidFill>
              <a:round/>
              <a:headEnd/>
              <a:tailEnd/>
            </a:ln>
          </xdr:spPr>
        </xdr:sp>
        <xdr:sp macro="" textlink="">
          <xdr:nvSpPr>
            <xdr:cNvPr id="406" name="Line 363"/>
            <xdr:cNvSpPr>
              <a:spLocks noChangeShapeType="1"/>
            </xdr:cNvSpPr>
          </xdr:nvSpPr>
          <xdr:spPr bwMode="auto">
            <a:xfrm flipV="1">
              <a:off x="1596" y="6669"/>
              <a:ext cx="0" cy="114"/>
            </a:xfrm>
            <a:prstGeom prst="line">
              <a:avLst/>
            </a:prstGeom>
            <a:noFill/>
            <a:ln w="12700">
              <a:solidFill>
                <a:srgbClr val="000000"/>
              </a:solidFill>
              <a:round/>
              <a:headEnd/>
              <a:tailEnd/>
            </a:ln>
          </xdr:spPr>
        </xdr:sp>
        <xdr:sp macro="" textlink="">
          <xdr:nvSpPr>
            <xdr:cNvPr id="407" name="Line 364"/>
            <xdr:cNvSpPr>
              <a:spLocks noChangeShapeType="1"/>
            </xdr:cNvSpPr>
          </xdr:nvSpPr>
          <xdr:spPr bwMode="auto">
            <a:xfrm flipV="1">
              <a:off x="1596" y="6897"/>
              <a:ext cx="0" cy="114"/>
            </a:xfrm>
            <a:prstGeom prst="line">
              <a:avLst/>
            </a:prstGeom>
            <a:noFill/>
            <a:ln w="12700">
              <a:solidFill>
                <a:srgbClr val="000000"/>
              </a:solidFill>
              <a:round/>
              <a:headEnd/>
              <a:tailEnd/>
            </a:ln>
          </xdr:spPr>
        </xdr:sp>
      </xdr:grpSp>
      <xdr:sp macro="" textlink="">
        <xdr:nvSpPr>
          <xdr:cNvPr id="409" name="Freeform 334"/>
          <xdr:cNvSpPr>
            <a:spLocks/>
          </xdr:cNvSpPr>
        </xdr:nvSpPr>
        <xdr:spPr bwMode="auto">
          <a:xfrm>
            <a:off x="601579" y="11926759"/>
            <a:ext cx="1991226" cy="960019"/>
          </a:xfrm>
          <a:custGeom>
            <a:avLst/>
            <a:gdLst/>
            <a:ahLst/>
            <a:cxnLst>
              <a:cxn ang="0">
                <a:pos x="0" y="0"/>
              </a:cxn>
              <a:cxn ang="0">
                <a:pos x="0" y="456"/>
              </a:cxn>
              <a:cxn ang="0">
                <a:pos x="3876" y="456"/>
              </a:cxn>
            </a:cxnLst>
            <a:rect l="0" t="0" r="r" b="b"/>
            <a:pathLst>
              <a:path w="3876" h="456">
                <a:moveTo>
                  <a:pt x="0" y="0"/>
                </a:moveTo>
                <a:lnTo>
                  <a:pt x="0" y="456"/>
                </a:lnTo>
                <a:lnTo>
                  <a:pt x="3876" y="456"/>
                </a:lnTo>
              </a:path>
            </a:pathLst>
          </a:custGeom>
          <a:noFill/>
          <a:ln w="12700" cmpd="sng">
            <a:solidFill>
              <a:srgbClr val="000000"/>
            </a:solidFill>
            <a:round/>
            <a:headEnd/>
            <a:tailEnd/>
          </a:ln>
        </xdr:spPr>
      </xdr:sp>
      <xdr:sp macro="" textlink="">
        <xdr:nvSpPr>
          <xdr:cNvPr id="408" name="Rectangle 283"/>
          <xdr:cNvSpPr>
            <a:spLocks noChangeArrowheads="1"/>
          </xdr:cNvSpPr>
        </xdr:nvSpPr>
        <xdr:spPr bwMode="auto">
          <a:xfrm rot="16200000">
            <a:off x="469761" y="12163857"/>
            <a:ext cx="260329" cy="106980"/>
          </a:xfrm>
          <a:prstGeom prst="rect">
            <a:avLst/>
          </a:prstGeom>
          <a:solidFill>
            <a:srgbClr val="FFFFFF"/>
          </a:solidFill>
          <a:ln w="12700">
            <a:solidFill>
              <a:srgbClr val="000000"/>
            </a:solidFill>
            <a:miter lim="800000"/>
            <a:headEnd/>
            <a:tailEnd/>
          </a:ln>
        </xdr:spPr>
      </xdr:sp>
      <xdr:grpSp>
        <xdr:nvGrpSpPr>
          <xdr:cNvPr id="410" name="Group 315"/>
          <xdr:cNvGrpSpPr>
            <a:grpSpLocks/>
          </xdr:cNvGrpSpPr>
        </xdr:nvGrpSpPr>
        <xdr:grpSpPr bwMode="auto">
          <a:xfrm>
            <a:off x="1208171" y="12778995"/>
            <a:ext cx="213961" cy="208264"/>
            <a:chOff x="6336" y="4032"/>
            <a:chExt cx="288" cy="288"/>
          </a:xfrm>
        </xdr:grpSpPr>
        <xdr:sp macro="" textlink="">
          <xdr:nvSpPr>
            <xdr:cNvPr id="411" name="Oval 316"/>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412" name="Rectangle 317"/>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413" name="Text Box 265"/>
          <xdr:cNvSpPr txBox="1">
            <a:spLocks noChangeArrowheads="1"/>
          </xdr:cNvSpPr>
        </xdr:nvSpPr>
        <xdr:spPr bwMode="auto">
          <a:xfrm>
            <a:off x="4192601" y="10718589"/>
            <a:ext cx="305386"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R</a:t>
            </a:r>
            <a:r>
              <a:rPr lang="en-GB" sz="900" b="0" i="0" u="none" strike="noStrike" baseline="-25000">
                <a:solidFill>
                  <a:srgbClr val="000000"/>
                </a:solidFill>
                <a:latin typeface="Arial"/>
                <a:cs typeface="Arial"/>
              </a:rPr>
              <a:t>SL</a:t>
            </a:r>
          </a:p>
        </xdr:txBody>
      </xdr:sp>
      <xdr:sp macro="" textlink="">
        <xdr:nvSpPr>
          <xdr:cNvPr id="414" name="Text Box 265"/>
          <xdr:cNvSpPr txBox="1">
            <a:spLocks noChangeArrowheads="1"/>
          </xdr:cNvSpPr>
        </xdr:nvSpPr>
        <xdr:spPr bwMode="auto">
          <a:xfrm>
            <a:off x="2749945" y="11791400"/>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R</a:t>
            </a:r>
            <a:r>
              <a:rPr lang="en-GB" sz="900" b="0" i="0" u="none" strike="noStrike" baseline="-25000">
                <a:solidFill>
                  <a:srgbClr val="000000"/>
                </a:solidFill>
                <a:latin typeface="Arial"/>
                <a:cs typeface="Arial"/>
              </a:rPr>
              <a:t>SLOPE</a:t>
            </a:r>
          </a:p>
        </xdr:txBody>
      </xdr:sp>
      <xdr:sp macro="" textlink="">
        <xdr:nvSpPr>
          <xdr:cNvPr id="415" name="Text Box 265"/>
          <xdr:cNvSpPr txBox="1">
            <a:spLocks noChangeArrowheads="1"/>
          </xdr:cNvSpPr>
        </xdr:nvSpPr>
        <xdr:spPr bwMode="auto">
          <a:xfrm>
            <a:off x="3421709" y="12362903"/>
            <a:ext cx="307625"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R</a:t>
            </a:r>
            <a:r>
              <a:rPr lang="en-GB" sz="900" b="0" i="0" u="none" strike="noStrike" baseline="-25000">
                <a:solidFill>
                  <a:srgbClr val="000000"/>
                </a:solidFill>
                <a:latin typeface="Arial"/>
                <a:cs typeface="Arial"/>
              </a:rPr>
              <a:t>SS</a:t>
            </a:r>
          </a:p>
        </xdr:txBody>
      </xdr:sp>
      <xdr:sp macro="" textlink="">
        <xdr:nvSpPr>
          <xdr:cNvPr id="417" name="Text Box 265"/>
          <xdr:cNvSpPr txBox="1">
            <a:spLocks noChangeArrowheads="1"/>
          </xdr:cNvSpPr>
        </xdr:nvSpPr>
        <xdr:spPr bwMode="auto">
          <a:xfrm>
            <a:off x="125325" y="11515680"/>
            <a:ext cx="516356"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C</a:t>
            </a:r>
            <a:r>
              <a:rPr lang="en-GB" sz="900" b="0" i="0" u="none" strike="noStrike" baseline="-25000">
                <a:solidFill>
                  <a:srgbClr val="000000"/>
                </a:solidFill>
                <a:latin typeface="Arial"/>
                <a:cs typeface="Arial"/>
              </a:rPr>
              <a:t>COMP</a:t>
            </a:r>
          </a:p>
        </xdr:txBody>
      </xdr:sp>
      <xdr:sp macro="" textlink="">
        <xdr:nvSpPr>
          <xdr:cNvPr id="418" name="Text Box 265"/>
          <xdr:cNvSpPr txBox="1">
            <a:spLocks noChangeArrowheads="1"/>
          </xdr:cNvSpPr>
        </xdr:nvSpPr>
        <xdr:spPr bwMode="auto">
          <a:xfrm>
            <a:off x="912394" y="12387969"/>
            <a:ext cx="305803"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R</a:t>
            </a:r>
            <a:r>
              <a:rPr lang="en-GB" sz="900" b="0" i="0" u="none" strike="noStrike" baseline="-25000">
                <a:solidFill>
                  <a:srgbClr val="000000"/>
                </a:solidFill>
                <a:latin typeface="Arial"/>
                <a:cs typeface="Arial"/>
              </a:rPr>
              <a:t>OSC</a:t>
            </a:r>
          </a:p>
        </xdr:txBody>
      </xdr:sp>
      <xdr:grpSp>
        <xdr:nvGrpSpPr>
          <xdr:cNvPr id="419" name="Group 357"/>
          <xdr:cNvGrpSpPr>
            <a:grpSpLocks/>
          </xdr:cNvGrpSpPr>
        </xdr:nvGrpSpPr>
        <xdr:grpSpPr bwMode="auto">
          <a:xfrm>
            <a:off x="3221182" y="11946812"/>
            <a:ext cx="213961" cy="208264"/>
            <a:chOff x="6336" y="4032"/>
            <a:chExt cx="288" cy="288"/>
          </a:xfrm>
        </xdr:grpSpPr>
        <xdr:sp macro="" textlink="">
          <xdr:nvSpPr>
            <xdr:cNvPr id="420" name="Oval 358"/>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421" name="Rectangle 359"/>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422" name="Text Box 265"/>
          <xdr:cNvSpPr txBox="1">
            <a:spLocks noChangeArrowheads="1"/>
          </xdr:cNvSpPr>
        </xdr:nvSpPr>
        <xdr:spPr bwMode="auto">
          <a:xfrm>
            <a:off x="4688895" y="11343979"/>
            <a:ext cx="465768" cy="155408"/>
          </a:xfrm>
          <a:prstGeom prst="rect">
            <a:avLst/>
          </a:prstGeom>
          <a:noFill/>
          <a:ln w="9525">
            <a:noFill/>
            <a:miter lim="800000"/>
            <a:headEnd/>
            <a:tailEnd/>
          </a:ln>
        </xdr:spPr>
        <xdr:txBody>
          <a:bodyPr vertOverflow="clip" wrap="square" lIns="0" tIns="0" rIns="0" bIns="0" anchor="t" upright="1"/>
          <a:lstStyle/>
          <a:p>
            <a:pPr algn="r" rtl="0">
              <a:defRPr sz="1000"/>
            </a:pPr>
            <a:r>
              <a:rPr lang="en-GB" sz="900" b="0" i="0" u="none" strike="noStrike" baseline="0">
                <a:solidFill>
                  <a:srgbClr val="000000"/>
                </a:solidFill>
                <a:latin typeface="Arial"/>
                <a:cs typeface="Arial"/>
              </a:rPr>
              <a:t>COUT</a:t>
            </a:r>
            <a:endParaRPr lang="en-GB" sz="900" b="0" i="0" u="none" strike="noStrike" baseline="-25000">
              <a:solidFill>
                <a:srgbClr val="000000"/>
              </a:solidFill>
              <a:latin typeface="Arial"/>
              <a:cs typeface="Arial"/>
            </a:endParaRPr>
          </a:p>
        </xdr:txBody>
      </xdr:sp>
      <xdr:sp macro="" textlink="">
        <xdr:nvSpPr>
          <xdr:cNvPr id="425" name="Text Box 265"/>
          <xdr:cNvSpPr txBox="1">
            <a:spLocks noChangeArrowheads="1"/>
          </xdr:cNvSpPr>
        </xdr:nvSpPr>
        <xdr:spPr bwMode="auto">
          <a:xfrm>
            <a:off x="1661027" y="11189165"/>
            <a:ext cx="601579" cy="360948"/>
          </a:xfrm>
          <a:prstGeom prst="rect">
            <a:avLst/>
          </a:prstGeom>
          <a:noFill/>
          <a:ln w="9525">
            <a:noFill/>
            <a:miter lim="800000"/>
            <a:headEnd/>
            <a:tailEnd/>
          </a:ln>
        </xdr:spPr>
        <xdr:txBody>
          <a:bodyPr vertOverflow="clip" wrap="square" lIns="0" tIns="0" rIns="0" bIns="0" anchor="t" upright="1"/>
          <a:lstStyle/>
          <a:p>
            <a:pPr algn="r" rtl="0">
              <a:defRPr sz="1000"/>
            </a:pPr>
            <a:r>
              <a:rPr lang="en-GB" sz="1400" b="1" i="0" u="none" strike="noStrike" baseline="0">
                <a:solidFill>
                  <a:srgbClr val="000000"/>
                </a:solidFill>
                <a:latin typeface="Arial"/>
                <a:cs typeface="Arial"/>
              </a:rPr>
              <a:t>A6271</a:t>
            </a:r>
            <a:endParaRPr lang="en-GB" sz="1400" b="1" i="0" u="none" strike="noStrike" baseline="-25000">
              <a:solidFill>
                <a:srgbClr val="000000"/>
              </a:solidFill>
              <a:latin typeface="Arial"/>
              <a:cs typeface="Arial"/>
            </a:endParaRPr>
          </a:p>
        </xdr:txBody>
      </xdr:sp>
      <xdr:sp macro="" textlink="">
        <xdr:nvSpPr>
          <xdr:cNvPr id="124" name="Text Box 265"/>
          <xdr:cNvSpPr txBox="1">
            <a:spLocks noChangeArrowheads="1"/>
          </xdr:cNvSpPr>
        </xdr:nvSpPr>
        <xdr:spPr bwMode="auto">
          <a:xfrm>
            <a:off x="1845177" y="10576223"/>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VIN</a:t>
            </a:r>
            <a:endParaRPr lang="en-GB" sz="900" b="0" i="0" u="none" strike="noStrike" baseline="-25000">
              <a:solidFill>
                <a:srgbClr val="000000"/>
              </a:solidFill>
              <a:latin typeface="Arial"/>
              <a:cs typeface="Arial"/>
            </a:endParaRPr>
          </a:p>
        </xdr:txBody>
      </xdr:sp>
      <xdr:sp macro="" textlink="">
        <xdr:nvSpPr>
          <xdr:cNvPr id="125" name="Text Box 265"/>
          <xdr:cNvSpPr txBox="1">
            <a:spLocks noChangeArrowheads="1"/>
          </xdr:cNvSpPr>
        </xdr:nvSpPr>
        <xdr:spPr bwMode="auto">
          <a:xfrm>
            <a:off x="2296027" y="10601623"/>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LP</a:t>
            </a:r>
            <a:endParaRPr lang="en-GB" sz="900" b="0" i="0" u="none" strike="noStrike" baseline="-25000">
              <a:solidFill>
                <a:srgbClr val="000000"/>
              </a:solidFill>
              <a:latin typeface="Arial"/>
              <a:cs typeface="Arial"/>
            </a:endParaRPr>
          </a:p>
        </xdr:txBody>
      </xdr:sp>
      <xdr:sp macro="" textlink="">
        <xdr:nvSpPr>
          <xdr:cNvPr id="126" name="Text Box 265"/>
          <xdr:cNvSpPr txBox="1">
            <a:spLocks noChangeArrowheads="1"/>
          </xdr:cNvSpPr>
        </xdr:nvSpPr>
        <xdr:spPr bwMode="auto">
          <a:xfrm>
            <a:off x="2283327" y="11046123"/>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LN</a:t>
            </a:r>
            <a:endParaRPr lang="en-GB" sz="900" b="0" i="0" u="none" strike="noStrike" baseline="-25000">
              <a:solidFill>
                <a:srgbClr val="000000"/>
              </a:solidFill>
              <a:latin typeface="Arial"/>
              <a:cs typeface="Arial"/>
            </a:endParaRPr>
          </a:p>
        </xdr:txBody>
      </xdr:sp>
      <xdr:sp macro="" textlink="">
        <xdr:nvSpPr>
          <xdr:cNvPr id="127" name="Text Box 265"/>
          <xdr:cNvSpPr txBox="1">
            <a:spLocks noChangeArrowheads="1"/>
          </xdr:cNvSpPr>
        </xdr:nvSpPr>
        <xdr:spPr bwMode="auto">
          <a:xfrm>
            <a:off x="2270627" y="11604923"/>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SG</a:t>
            </a:r>
            <a:endParaRPr lang="en-GB" sz="900" b="0" i="0" u="none" strike="noStrike" baseline="-25000">
              <a:solidFill>
                <a:srgbClr val="000000"/>
              </a:solidFill>
              <a:latin typeface="Arial"/>
              <a:cs typeface="Arial"/>
            </a:endParaRPr>
          </a:p>
        </xdr:txBody>
      </xdr:sp>
      <xdr:sp macro="" textlink="">
        <xdr:nvSpPr>
          <xdr:cNvPr id="128" name="Text Box 265"/>
          <xdr:cNvSpPr txBox="1">
            <a:spLocks noChangeArrowheads="1"/>
          </xdr:cNvSpPr>
        </xdr:nvSpPr>
        <xdr:spPr bwMode="auto">
          <a:xfrm>
            <a:off x="2283327" y="11979573"/>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SP</a:t>
            </a:r>
            <a:endParaRPr lang="en-GB" sz="900" b="0" i="0" u="none" strike="noStrike" baseline="-25000">
              <a:solidFill>
                <a:srgbClr val="000000"/>
              </a:solidFill>
              <a:latin typeface="Arial"/>
              <a:cs typeface="Arial"/>
            </a:endParaRPr>
          </a:p>
        </xdr:txBody>
      </xdr:sp>
      <xdr:sp macro="" textlink="">
        <xdr:nvSpPr>
          <xdr:cNvPr id="129" name="Text Box 265"/>
          <xdr:cNvSpPr txBox="1">
            <a:spLocks noChangeArrowheads="1"/>
          </xdr:cNvSpPr>
        </xdr:nvSpPr>
        <xdr:spPr bwMode="auto">
          <a:xfrm>
            <a:off x="1521327" y="11427123"/>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COMP</a:t>
            </a:r>
            <a:endParaRPr lang="en-GB" sz="900" b="0" i="0" u="none" strike="noStrike" baseline="-25000">
              <a:solidFill>
                <a:srgbClr val="000000"/>
              </a:solidFill>
              <a:latin typeface="Arial"/>
              <a:cs typeface="Arial"/>
            </a:endParaRPr>
          </a:p>
        </xdr:txBody>
      </xdr:sp>
      <xdr:sp macro="" textlink="">
        <xdr:nvSpPr>
          <xdr:cNvPr id="130" name="Text Box 265"/>
          <xdr:cNvSpPr txBox="1">
            <a:spLocks noChangeArrowheads="1"/>
          </xdr:cNvSpPr>
        </xdr:nvSpPr>
        <xdr:spPr bwMode="auto">
          <a:xfrm>
            <a:off x="1502277" y="12335173"/>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OSC</a:t>
            </a:r>
            <a:endParaRPr lang="en-GB" sz="900" b="0" i="0" u="none" strike="noStrike" baseline="-25000">
              <a:solidFill>
                <a:srgbClr val="000000"/>
              </a:solidFill>
              <a:latin typeface="Arial"/>
              <a:cs typeface="Arial"/>
            </a:endParaRPr>
          </a:p>
        </xdr:txBody>
      </xdr:sp>
      <xdr:sp macro="" textlink="">
        <xdr:nvSpPr>
          <xdr:cNvPr id="131" name="Rectangle 283"/>
          <xdr:cNvSpPr>
            <a:spLocks noChangeArrowheads="1"/>
          </xdr:cNvSpPr>
        </xdr:nvSpPr>
        <xdr:spPr bwMode="auto">
          <a:xfrm>
            <a:off x="2821132" y="11058814"/>
            <a:ext cx="260329" cy="106980"/>
          </a:xfrm>
          <a:prstGeom prst="rect">
            <a:avLst/>
          </a:prstGeom>
          <a:solidFill>
            <a:srgbClr val="FFFFFF"/>
          </a:solidFill>
          <a:ln w="12700">
            <a:solidFill>
              <a:srgbClr val="000000"/>
            </a:solidFill>
            <a:miter lim="800000"/>
            <a:headEnd/>
            <a:tailEnd/>
          </a:ln>
        </xdr:spPr>
      </xdr:sp>
      <xdr:sp macro="" textlink="">
        <xdr:nvSpPr>
          <xdr:cNvPr id="132" name="Text Box 265"/>
          <xdr:cNvSpPr txBox="1">
            <a:spLocks noChangeArrowheads="1"/>
          </xdr:cNvSpPr>
        </xdr:nvSpPr>
        <xdr:spPr bwMode="auto">
          <a:xfrm>
            <a:off x="2711450" y="11198514"/>
            <a:ext cx="603310" cy="261113"/>
          </a:xfrm>
          <a:prstGeom prst="rect">
            <a:avLst/>
          </a:prstGeom>
          <a:noFill/>
          <a:ln w="9525">
            <a:noFill/>
            <a:miter lim="800000"/>
            <a:headEnd/>
            <a:tailEnd/>
          </a:ln>
        </xdr:spPr>
        <xdr:txBody>
          <a:bodyPr vertOverflow="clip" wrap="square" lIns="0" tIns="0" rIns="0" bIns="0" anchor="t" upright="1"/>
          <a:lstStyle/>
          <a:p>
            <a:pPr algn="l" rtl="0">
              <a:defRPr sz="1000"/>
            </a:pPr>
            <a:r>
              <a:rPr lang="en-GB" sz="1000" b="0" i="0" u="none" strike="noStrike" baseline="0">
                <a:solidFill>
                  <a:srgbClr val="000000"/>
                </a:solidFill>
                <a:latin typeface="Arial"/>
                <a:cs typeface="Arial"/>
              </a:rPr>
              <a:t>150</a:t>
            </a:r>
            <a:r>
              <a:rPr lang="el-GR" sz="1000" b="0" i="0" u="none" strike="noStrike" baseline="0">
                <a:solidFill>
                  <a:srgbClr val="000000"/>
                </a:solidFill>
                <a:latin typeface="Arial"/>
                <a:cs typeface="Arial"/>
              </a:rPr>
              <a:t>Ω</a:t>
            </a:r>
            <a:endParaRPr lang="en-GB" sz="1000" b="0" i="0" u="none" strike="noStrike" baseline="0">
              <a:solidFill>
                <a:srgbClr val="000000"/>
              </a:solidFill>
              <a:latin typeface="Arial"/>
              <a:cs typeface="Aria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20321</xdr:colOff>
      <xdr:row>33</xdr:row>
      <xdr:rowOff>57786</xdr:rowOff>
    </xdr:from>
    <xdr:to>
      <xdr:col>11</xdr:col>
      <xdr:colOff>325120</xdr:colOff>
      <xdr:row>53</xdr:row>
      <xdr:rowOff>49848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100261</xdr:colOff>
      <xdr:row>53</xdr:row>
      <xdr:rowOff>3776</xdr:rowOff>
    </xdr:from>
    <xdr:to>
      <xdr:col>5</xdr:col>
      <xdr:colOff>377446</xdr:colOff>
      <xdr:row>68</xdr:row>
      <xdr:rowOff>61966</xdr:rowOff>
    </xdr:to>
    <xdr:grpSp>
      <xdr:nvGrpSpPr>
        <xdr:cNvPr id="3" name="Group 2"/>
        <xdr:cNvGrpSpPr/>
      </xdr:nvGrpSpPr>
      <xdr:grpSpPr>
        <a:xfrm>
          <a:off x="100261" y="9857821"/>
          <a:ext cx="5928685" cy="2829100"/>
          <a:chOff x="100261" y="10178208"/>
          <a:chExt cx="5741071" cy="2915690"/>
        </a:xfrm>
      </xdr:grpSpPr>
      <xdr:sp macro="" textlink="">
        <xdr:nvSpPr>
          <xdr:cNvPr id="4" name="Freeform 385"/>
          <xdr:cNvSpPr>
            <a:spLocks/>
          </xdr:cNvSpPr>
        </xdr:nvSpPr>
        <xdr:spPr bwMode="auto">
          <a:xfrm flipH="1">
            <a:off x="1132973" y="10282444"/>
            <a:ext cx="172544" cy="225592"/>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sp macro="" textlink="">
        <xdr:nvSpPr>
          <xdr:cNvPr id="5" name="Text Box 265"/>
          <xdr:cNvSpPr txBox="1">
            <a:spLocks noChangeArrowheads="1"/>
          </xdr:cNvSpPr>
        </xdr:nvSpPr>
        <xdr:spPr bwMode="auto">
          <a:xfrm>
            <a:off x="152400" y="10226870"/>
            <a:ext cx="699833" cy="261113"/>
          </a:xfrm>
          <a:prstGeom prst="rect">
            <a:avLst/>
          </a:prstGeom>
          <a:noFill/>
          <a:ln w="9525">
            <a:noFill/>
            <a:miter lim="800000"/>
            <a:headEnd/>
            <a:tailEnd/>
          </a:ln>
        </xdr:spPr>
        <xdr:txBody>
          <a:bodyPr vertOverflow="clip" wrap="square" lIns="0" tIns="0" rIns="0" bIns="0" anchor="t" upright="1"/>
          <a:lstStyle/>
          <a:p>
            <a:pPr algn="l" rtl="0">
              <a:defRPr sz="1000"/>
            </a:pPr>
            <a:r>
              <a:rPr lang="en-GB" sz="1000" b="0" i="0" u="none" strike="noStrike" baseline="0">
                <a:solidFill>
                  <a:srgbClr val="000000"/>
                </a:solidFill>
                <a:latin typeface="Arial"/>
                <a:cs typeface="Arial"/>
              </a:rPr>
              <a:t>VBAT: 12V </a:t>
            </a:r>
          </a:p>
        </xdr:txBody>
      </xdr:sp>
      <xdr:grpSp>
        <xdr:nvGrpSpPr>
          <xdr:cNvPr id="6" name="Group 269"/>
          <xdr:cNvGrpSpPr>
            <a:grpSpLocks/>
          </xdr:cNvGrpSpPr>
        </xdr:nvGrpSpPr>
        <xdr:grpSpPr bwMode="auto">
          <a:xfrm>
            <a:off x="2221778" y="10178208"/>
            <a:ext cx="427921" cy="104132"/>
            <a:chOff x="1767" y="1311"/>
            <a:chExt cx="2394" cy="399"/>
          </a:xfrm>
        </xdr:grpSpPr>
        <xdr:sp macro="" textlink="">
          <xdr:nvSpPr>
            <xdr:cNvPr id="129" name="Arc 270"/>
            <xdr:cNvSpPr>
              <a:spLocks/>
            </xdr:cNvSpPr>
          </xdr:nvSpPr>
          <xdr:spPr bwMode="auto">
            <a:xfrm>
              <a:off x="3762"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sp macro="" textlink="">
          <xdr:nvSpPr>
            <xdr:cNvPr id="130" name="Arc 271"/>
            <xdr:cNvSpPr>
              <a:spLocks/>
            </xdr:cNvSpPr>
          </xdr:nvSpPr>
          <xdr:spPr bwMode="auto">
            <a:xfrm flipH="1">
              <a:off x="3363"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sp macro="" textlink="">
          <xdr:nvSpPr>
            <xdr:cNvPr id="131" name="Arc 272"/>
            <xdr:cNvSpPr>
              <a:spLocks/>
            </xdr:cNvSpPr>
          </xdr:nvSpPr>
          <xdr:spPr bwMode="auto">
            <a:xfrm>
              <a:off x="2964"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sp macro="" textlink="">
          <xdr:nvSpPr>
            <xdr:cNvPr id="132" name="Arc 273"/>
            <xdr:cNvSpPr>
              <a:spLocks/>
            </xdr:cNvSpPr>
          </xdr:nvSpPr>
          <xdr:spPr bwMode="auto">
            <a:xfrm flipH="1">
              <a:off x="2565"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sp macro="" textlink="">
          <xdr:nvSpPr>
            <xdr:cNvPr id="133" name="Arc 274"/>
            <xdr:cNvSpPr>
              <a:spLocks/>
            </xdr:cNvSpPr>
          </xdr:nvSpPr>
          <xdr:spPr bwMode="auto">
            <a:xfrm>
              <a:off x="2166"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sp macro="" textlink="">
          <xdr:nvSpPr>
            <xdr:cNvPr id="134" name="Arc 275"/>
            <xdr:cNvSpPr>
              <a:spLocks/>
            </xdr:cNvSpPr>
          </xdr:nvSpPr>
          <xdr:spPr bwMode="auto">
            <a:xfrm flipH="1">
              <a:off x="1767"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grpSp>
      <xdr:sp macro="" textlink="">
        <xdr:nvSpPr>
          <xdr:cNvPr id="7" name="Rectangle 280"/>
          <xdr:cNvSpPr>
            <a:spLocks noChangeArrowheads="1"/>
          </xdr:cNvSpPr>
        </xdr:nvSpPr>
        <xdr:spPr bwMode="auto">
          <a:xfrm>
            <a:off x="1472916" y="10542669"/>
            <a:ext cx="1016313" cy="2082636"/>
          </a:xfrm>
          <a:prstGeom prst="rect">
            <a:avLst/>
          </a:prstGeom>
          <a:solidFill>
            <a:schemeClr val="bg1">
              <a:lumMod val="75000"/>
            </a:schemeClr>
          </a:solidFill>
          <a:ln w="28575">
            <a:solidFill>
              <a:srgbClr val="000000"/>
            </a:solidFill>
            <a:miter lim="800000"/>
            <a:headEnd/>
            <a:tailEnd/>
          </a:ln>
        </xdr:spPr>
      </xdr:sp>
      <xdr:sp macro="" textlink="">
        <xdr:nvSpPr>
          <xdr:cNvPr id="8" name="Freeform 281"/>
          <xdr:cNvSpPr>
            <a:spLocks/>
          </xdr:cNvSpPr>
        </xdr:nvSpPr>
        <xdr:spPr bwMode="auto">
          <a:xfrm flipH="1">
            <a:off x="1312445" y="12417041"/>
            <a:ext cx="160470" cy="468593"/>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sp macro="" textlink="">
        <xdr:nvSpPr>
          <xdr:cNvPr id="9" name="Rectangle 283"/>
          <xdr:cNvSpPr>
            <a:spLocks noChangeArrowheads="1"/>
          </xdr:cNvSpPr>
        </xdr:nvSpPr>
        <xdr:spPr bwMode="auto">
          <a:xfrm rot="16200000">
            <a:off x="1181811" y="12598305"/>
            <a:ext cx="260329" cy="106980"/>
          </a:xfrm>
          <a:prstGeom prst="rect">
            <a:avLst/>
          </a:prstGeom>
          <a:solidFill>
            <a:srgbClr val="FFFFFF"/>
          </a:solidFill>
          <a:ln w="12700">
            <a:solidFill>
              <a:srgbClr val="000000"/>
            </a:solidFill>
            <a:miter lim="800000"/>
            <a:headEnd/>
            <a:tailEnd/>
          </a:ln>
        </xdr:spPr>
      </xdr:sp>
      <xdr:grpSp>
        <xdr:nvGrpSpPr>
          <xdr:cNvPr id="10" name="Group 284"/>
          <xdr:cNvGrpSpPr>
            <a:grpSpLocks/>
          </xdr:cNvGrpSpPr>
        </xdr:nvGrpSpPr>
        <xdr:grpSpPr bwMode="auto">
          <a:xfrm>
            <a:off x="3306383" y="12781503"/>
            <a:ext cx="213961" cy="208264"/>
            <a:chOff x="6336" y="4032"/>
            <a:chExt cx="288" cy="288"/>
          </a:xfrm>
        </xdr:grpSpPr>
        <xdr:sp macro="" textlink="">
          <xdr:nvSpPr>
            <xdr:cNvPr id="127" name="Oval 285"/>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28" name="Rectangle 286"/>
            <xdr:cNvSpPr>
              <a:spLocks noChangeArrowheads="1"/>
            </xdr:cNvSpPr>
          </xdr:nvSpPr>
          <xdr:spPr bwMode="auto">
            <a:xfrm>
              <a:off x="6336" y="4032"/>
              <a:ext cx="288" cy="288"/>
            </a:xfrm>
            <a:prstGeom prst="rect">
              <a:avLst/>
            </a:prstGeom>
            <a:noFill/>
            <a:ln w="9525">
              <a:noFill/>
              <a:miter lim="800000"/>
              <a:headEnd/>
              <a:tailEnd/>
            </a:ln>
          </xdr:spPr>
        </xdr:sp>
      </xdr:grpSp>
      <xdr:grpSp>
        <xdr:nvGrpSpPr>
          <xdr:cNvPr id="11" name="Group 287"/>
          <xdr:cNvGrpSpPr>
            <a:grpSpLocks/>
          </xdr:cNvGrpSpPr>
        </xdr:nvGrpSpPr>
        <xdr:grpSpPr bwMode="auto">
          <a:xfrm>
            <a:off x="3306383" y="10178208"/>
            <a:ext cx="213961" cy="208264"/>
            <a:chOff x="6336" y="4032"/>
            <a:chExt cx="288" cy="288"/>
          </a:xfrm>
        </xdr:grpSpPr>
        <xdr:sp macro="" textlink="">
          <xdr:nvSpPr>
            <xdr:cNvPr id="125" name="Oval 288"/>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26" name="Rectangle 289"/>
            <xdr:cNvSpPr>
              <a:spLocks noChangeArrowheads="1"/>
            </xdr:cNvSpPr>
          </xdr:nvSpPr>
          <xdr:spPr bwMode="auto">
            <a:xfrm>
              <a:off x="6336" y="4032"/>
              <a:ext cx="288" cy="288"/>
            </a:xfrm>
            <a:prstGeom prst="rect">
              <a:avLst/>
            </a:prstGeom>
            <a:noFill/>
            <a:ln w="9525">
              <a:noFill/>
              <a:miter lim="800000"/>
              <a:headEnd/>
              <a:tailEnd/>
            </a:ln>
          </xdr:spPr>
        </xdr:sp>
      </xdr:grpSp>
      <xdr:grpSp>
        <xdr:nvGrpSpPr>
          <xdr:cNvPr id="12" name="Group 294"/>
          <xdr:cNvGrpSpPr>
            <a:grpSpLocks/>
          </xdr:cNvGrpSpPr>
        </xdr:nvGrpSpPr>
        <xdr:grpSpPr bwMode="auto">
          <a:xfrm>
            <a:off x="3199403" y="12989766"/>
            <a:ext cx="213961" cy="104132"/>
            <a:chOff x="4731" y="2337"/>
            <a:chExt cx="342" cy="114"/>
          </a:xfrm>
        </xdr:grpSpPr>
        <xdr:sp macro="" textlink="">
          <xdr:nvSpPr>
            <xdr:cNvPr id="122" name="Line 295"/>
            <xdr:cNvSpPr>
              <a:spLocks noChangeShapeType="1"/>
            </xdr:cNvSpPr>
          </xdr:nvSpPr>
          <xdr:spPr bwMode="auto">
            <a:xfrm>
              <a:off x="4731" y="2337"/>
              <a:ext cx="342" cy="0"/>
            </a:xfrm>
            <a:prstGeom prst="line">
              <a:avLst/>
            </a:prstGeom>
            <a:noFill/>
            <a:ln w="12700">
              <a:solidFill>
                <a:srgbClr val="000000"/>
              </a:solidFill>
              <a:round/>
              <a:headEnd/>
              <a:tailEnd/>
            </a:ln>
          </xdr:spPr>
        </xdr:sp>
        <xdr:sp macro="" textlink="">
          <xdr:nvSpPr>
            <xdr:cNvPr id="123" name="Line 296"/>
            <xdr:cNvSpPr>
              <a:spLocks noChangeShapeType="1"/>
            </xdr:cNvSpPr>
          </xdr:nvSpPr>
          <xdr:spPr bwMode="auto">
            <a:xfrm>
              <a:off x="4788" y="2394"/>
              <a:ext cx="228" cy="0"/>
            </a:xfrm>
            <a:prstGeom prst="line">
              <a:avLst/>
            </a:prstGeom>
            <a:noFill/>
            <a:ln w="12700">
              <a:solidFill>
                <a:srgbClr val="000000"/>
              </a:solidFill>
              <a:round/>
              <a:headEnd/>
              <a:tailEnd/>
            </a:ln>
          </xdr:spPr>
        </xdr:sp>
        <xdr:sp macro="" textlink="">
          <xdr:nvSpPr>
            <xdr:cNvPr id="124" name="Line 297"/>
            <xdr:cNvSpPr>
              <a:spLocks noChangeShapeType="1"/>
            </xdr:cNvSpPr>
          </xdr:nvSpPr>
          <xdr:spPr bwMode="auto">
            <a:xfrm>
              <a:off x="4845" y="2451"/>
              <a:ext cx="114" cy="0"/>
            </a:xfrm>
            <a:prstGeom prst="line">
              <a:avLst/>
            </a:prstGeom>
            <a:noFill/>
            <a:ln w="12700">
              <a:solidFill>
                <a:srgbClr val="000000"/>
              </a:solidFill>
              <a:round/>
              <a:headEnd/>
              <a:tailEnd/>
            </a:ln>
          </xdr:spPr>
        </xdr:sp>
      </xdr:grpSp>
      <xdr:grpSp>
        <xdr:nvGrpSpPr>
          <xdr:cNvPr id="13" name="Group 298"/>
          <xdr:cNvGrpSpPr>
            <a:grpSpLocks/>
          </xdr:cNvGrpSpPr>
        </xdr:nvGrpSpPr>
        <xdr:grpSpPr bwMode="auto">
          <a:xfrm>
            <a:off x="1885798" y="10178208"/>
            <a:ext cx="213961" cy="208264"/>
            <a:chOff x="6336" y="4032"/>
            <a:chExt cx="288" cy="288"/>
          </a:xfrm>
        </xdr:grpSpPr>
        <xdr:sp macro="" textlink="">
          <xdr:nvSpPr>
            <xdr:cNvPr id="120" name="Oval 299"/>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21" name="Rectangle 300"/>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14" name="Line 302"/>
          <xdr:cNvSpPr>
            <a:spLocks noChangeShapeType="1"/>
          </xdr:cNvSpPr>
        </xdr:nvSpPr>
        <xdr:spPr bwMode="auto">
          <a:xfrm>
            <a:off x="3252893" y="11579769"/>
            <a:ext cx="0" cy="208264"/>
          </a:xfrm>
          <a:prstGeom prst="line">
            <a:avLst/>
          </a:prstGeom>
          <a:noFill/>
          <a:ln w="9525">
            <a:solidFill>
              <a:srgbClr val="000000"/>
            </a:solidFill>
            <a:round/>
            <a:headEnd/>
            <a:tailEnd/>
          </a:ln>
        </xdr:spPr>
      </xdr:sp>
      <xdr:sp macro="" textlink="">
        <xdr:nvSpPr>
          <xdr:cNvPr id="15" name="Line 303"/>
          <xdr:cNvSpPr>
            <a:spLocks noChangeShapeType="1"/>
          </xdr:cNvSpPr>
        </xdr:nvSpPr>
        <xdr:spPr bwMode="auto">
          <a:xfrm flipH="1" flipV="1">
            <a:off x="2489229" y="11683900"/>
            <a:ext cx="763400" cy="2231"/>
          </a:xfrm>
          <a:prstGeom prst="line">
            <a:avLst/>
          </a:prstGeom>
          <a:noFill/>
          <a:ln w="9525">
            <a:solidFill>
              <a:srgbClr val="000000"/>
            </a:solidFill>
            <a:round/>
            <a:headEnd/>
            <a:tailEnd/>
          </a:ln>
        </xdr:spPr>
      </xdr:sp>
      <xdr:sp macro="" textlink="">
        <xdr:nvSpPr>
          <xdr:cNvPr id="16" name="Freeform 304"/>
          <xdr:cNvSpPr>
            <a:spLocks/>
          </xdr:cNvSpPr>
        </xdr:nvSpPr>
        <xdr:spPr bwMode="auto">
          <a:xfrm>
            <a:off x="3306383" y="11475637"/>
            <a:ext cx="106980" cy="416527"/>
          </a:xfrm>
          <a:custGeom>
            <a:avLst/>
            <a:gdLst/>
            <a:ahLst/>
            <a:cxnLst>
              <a:cxn ang="0">
                <a:pos x="57" y="0"/>
              </a:cxn>
              <a:cxn ang="0">
                <a:pos x="57" y="114"/>
              </a:cxn>
              <a:cxn ang="0">
                <a:pos x="0" y="114"/>
              </a:cxn>
              <a:cxn ang="0">
                <a:pos x="0" y="342"/>
              </a:cxn>
              <a:cxn ang="0">
                <a:pos x="57" y="342"/>
              </a:cxn>
              <a:cxn ang="0">
                <a:pos x="57" y="456"/>
              </a:cxn>
            </a:cxnLst>
            <a:rect l="0" t="0" r="r" b="b"/>
            <a:pathLst>
              <a:path w="57" h="456">
                <a:moveTo>
                  <a:pt x="57" y="0"/>
                </a:moveTo>
                <a:lnTo>
                  <a:pt x="57" y="114"/>
                </a:lnTo>
                <a:lnTo>
                  <a:pt x="0" y="114"/>
                </a:lnTo>
                <a:lnTo>
                  <a:pt x="0" y="342"/>
                </a:lnTo>
                <a:lnTo>
                  <a:pt x="57" y="342"/>
                </a:lnTo>
                <a:lnTo>
                  <a:pt x="57" y="456"/>
                </a:lnTo>
              </a:path>
            </a:pathLst>
          </a:custGeom>
          <a:noFill/>
          <a:ln w="12700" cmpd="sng">
            <a:solidFill>
              <a:srgbClr val="000000"/>
            </a:solidFill>
            <a:round/>
            <a:headEnd/>
            <a:tailEnd/>
          </a:ln>
        </xdr:spPr>
      </xdr:sp>
      <xdr:sp macro="" textlink="">
        <xdr:nvSpPr>
          <xdr:cNvPr id="17" name="Line 305"/>
          <xdr:cNvSpPr>
            <a:spLocks noChangeShapeType="1"/>
          </xdr:cNvSpPr>
        </xdr:nvSpPr>
        <xdr:spPr bwMode="auto">
          <a:xfrm flipH="1">
            <a:off x="3408350" y="11876627"/>
            <a:ext cx="4700" cy="1009007"/>
          </a:xfrm>
          <a:prstGeom prst="line">
            <a:avLst/>
          </a:prstGeom>
          <a:noFill/>
          <a:ln w="12700">
            <a:solidFill>
              <a:srgbClr val="000000"/>
            </a:solidFill>
            <a:round/>
            <a:headEnd/>
            <a:tailEnd/>
          </a:ln>
        </xdr:spPr>
      </xdr:sp>
      <xdr:sp macro="" textlink="">
        <xdr:nvSpPr>
          <xdr:cNvPr id="18" name="Rectangle 306"/>
          <xdr:cNvSpPr>
            <a:spLocks noChangeArrowheads="1"/>
          </xdr:cNvSpPr>
        </xdr:nvSpPr>
        <xdr:spPr bwMode="auto">
          <a:xfrm rot="16200000">
            <a:off x="3282729" y="12407362"/>
            <a:ext cx="260329" cy="106980"/>
          </a:xfrm>
          <a:prstGeom prst="rect">
            <a:avLst/>
          </a:prstGeom>
          <a:solidFill>
            <a:srgbClr val="FFFFFF"/>
          </a:solidFill>
          <a:ln w="12700">
            <a:solidFill>
              <a:srgbClr val="000000"/>
            </a:solidFill>
            <a:miter lim="800000"/>
            <a:headEnd/>
            <a:tailEnd/>
          </a:ln>
        </xdr:spPr>
      </xdr:sp>
      <xdr:sp macro="" textlink="">
        <xdr:nvSpPr>
          <xdr:cNvPr id="19" name="Line 307"/>
          <xdr:cNvSpPr>
            <a:spLocks noChangeShapeType="1"/>
          </xdr:cNvSpPr>
        </xdr:nvSpPr>
        <xdr:spPr bwMode="auto">
          <a:xfrm flipH="1">
            <a:off x="2489227" y="12052087"/>
            <a:ext cx="943874" cy="491"/>
          </a:xfrm>
          <a:prstGeom prst="line">
            <a:avLst/>
          </a:prstGeom>
          <a:noFill/>
          <a:ln w="12700">
            <a:solidFill>
              <a:srgbClr val="000000"/>
            </a:solidFill>
            <a:round/>
            <a:headEnd/>
            <a:tailEnd/>
          </a:ln>
        </xdr:spPr>
      </xdr:sp>
      <xdr:grpSp>
        <xdr:nvGrpSpPr>
          <xdr:cNvPr id="20" name="Group 315"/>
          <xdr:cNvGrpSpPr>
            <a:grpSpLocks/>
          </xdr:cNvGrpSpPr>
        </xdr:nvGrpSpPr>
        <xdr:grpSpPr bwMode="auto">
          <a:xfrm>
            <a:off x="1954327" y="12781503"/>
            <a:ext cx="213961" cy="208264"/>
            <a:chOff x="6336" y="4032"/>
            <a:chExt cx="288" cy="288"/>
          </a:xfrm>
        </xdr:grpSpPr>
        <xdr:sp macro="" textlink="">
          <xdr:nvSpPr>
            <xdr:cNvPr id="118" name="Oval 316"/>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19" name="Rectangle 317"/>
            <xdr:cNvSpPr>
              <a:spLocks noChangeArrowheads="1"/>
            </xdr:cNvSpPr>
          </xdr:nvSpPr>
          <xdr:spPr bwMode="auto">
            <a:xfrm>
              <a:off x="6336" y="4032"/>
              <a:ext cx="288" cy="288"/>
            </a:xfrm>
            <a:prstGeom prst="rect">
              <a:avLst/>
            </a:prstGeom>
            <a:noFill/>
            <a:ln w="9525">
              <a:noFill/>
              <a:miter lim="800000"/>
              <a:headEnd/>
              <a:tailEnd/>
            </a:ln>
          </xdr:spPr>
        </xdr:sp>
      </xdr:grpSp>
      <xdr:grpSp>
        <xdr:nvGrpSpPr>
          <xdr:cNvPr id="21" name="Group 318"/>
          <xdr:cNvGrpSpPr>
            <a:grpSpLocks/>
          </xdr:cNvGrpSpPr>
        </xdr:nvGrpSpPr>
        <xdr:grpSpPr bwMode="auto">
          <a:xfrm flipV="1">
            <a:off x="3952593" y="10567541"/>
            <a:ext cx="213961" cy="208264"/>
            <a:chOff x="6336" y="4032"/>
            <a:chExt cx="288" cy="288"/>
          </a:xfrm>
        </xdr:grpSpPr>
        <xdr:sp macro="" textlink="">
          <xdr:nvSpPr>
            <xdr:cNvPr id="116" name="Oval 319"/>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17" name="Rectangle 320"/>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22" name="Freeform 321"/>
          <xdr:cNvSpPr>
            <a:spLocks/>
          </xdr:cNvSpPr>
        </xdr:nvSpPr>
        <xdr:spPr bwMode="auto">
          <a:xfrm flipH="1" flipV="1">
            <a:off x="4054242" y="12359208"/>
            <a:ext cx="1034306" cy="523522"/>
          </a:xfrm>
          <a:custGeom>
            <a:avLst/>
            <a:gdLst/>
            <a:ahLst/>
            <a:cxnLst>
              <a:cxn ang="0">
                <a:pos x="0" y="0"/>
              </a:cxn>
              <a:cxn ang="0">
                <a:pos x="1710" y="0"/>
              </a:cxn>
              <a:cxn ang="0">
                <a:pos x="1710" y="969"/>
              </a:cxn>
            </a:cxnLst>
            <a:rect l="0" t="0" r="r" b="b"/>
            <a:pathLst>
              <a:path w="1710" h="969">
                <a:moveTo>
                  <a:pt x="0" y="0"/>
                </a:moveTo>
                <a:lnTo>
                  <a:pt x="1710" y="0"/>
                </a:lnTo>
                <a:lnTo>
                  <a:pt x="1710" y="969"/>
                </a:lnTo>
              </a:path>
            </a:pathLst>
          </a:custGeom>
          <a:noFill/>
          <a:ln w="12700" cmpd="sng">
            <a:solidFill>
              <a:srgbClr val="000000"/>
            </a:solidFill>
            <a:round/>
            <a:headEnd type="triangle" w="lg" len="med"/>
            <a:tailEnd type="none"/>
          </a:ln>
        </xdr:spPr>
      </xdr:sp>
      <xdr:grpSp>
        <xdr:nvGrpSpPr>
          <xdr:cNvPr id="23" name="Group 322"/>
          <xdr:cNvGrpSpPr>
            <a:grpSpLocks/>
          </xdr:cNvGrpSpPr>
        </xdr:nvGrpSpPr>
        <xdr:grpSpPr bwMode="auto">
          <a:xfrm>
            <a:off x="3573834" y="10178208"/>
            <a:ext cx="218290" cy="208264"/>
            <a:chOff x="7410" y="14079"/>
            <a:chExt cx="228" cy="228"/>
          </a:xfrm>
        </xdr:grpSpPr>
        <xdr:sp macro="" textlink="">
          <xdr:nvSpPr>
            <xdr:cNvPr id="114" name="Freeform 323"/>
            <xdr:cNvSpPr>
              <a:spLocks/>
            </xdr:cNvSpPr>
          </xdr:nvSpPr>
          <xdr:spPr bwMode="auto">
            <a:xfrm rot="5400000" flipV="1">
              <a:off x="7382" y="14107"/>
              <a:ext cx="228" cy="171"/>
            </a:xfrm>
            <a:custGeom>
              <a:avLst/>
              <a:gdLst/>
              <a:ahLst/>
              <a:cxnLst>
                <a:cxn ang="0">
                  <a:pos x="0" y="0"/>
                </a:cxn>
                <a:cxn ang="0">
                  <a:pos x="228" y="0"/>
                </a:cxn>
                <a:cxn ang="0">
                  <a:pos x="114" y="171"/>
                </a:cxn>
                <a:cxn ang="0">
                  <a:pos x="0" y="0"/>
                </a:cxn>
              </a:cxnLst>
              <a:rect l="0" t="0" r="r" b="b"/>
              <a:pathLst>
                <a:path w="228" h="171">
                  <a:moveTo>
                    <a:pt x="0" y="0"/>
                  </a:moveTo>
                  <a:lnTo>
                    <a:pt x="228" y="0"/>
                  </a:lnTo>
                  <a:lnTo>
                    <a:pt x="114" y="171"/>
                  </a:lnTo>
                  <a:lnTo>
                    <a:pt x="0" y="0"/>
                  </a:lnTo>
                  <a:close/>
                </a:path>
              </a:pathLst>
            </a:custGeom>
            <a:solidFill>
              <a:srgbClr val="000000"/>
            </a:solidFill>
            <a:ln w="9525">
              <a:solidFill>
                <a:srgbClr val="000000"/>
              </a:solidFill>
              <a:round/>
              <a:headEnd/>
              <a:tailEnd/>
            </a:ln>
          </xdr:spPr>
        </xdr:sp>
        <xdr:sp macro="" textlink="">
          <xdr:nvSpPr>
            <xdr:cNvPr id="115" name="Freeform 324"/>
            <xdr:cNvSpPr>
              <a:spLocks/>
            </xdr:cNvSpPr>
          </xdr:nvSpPr>
          <xdr:spPr bwMode="auto">
            <a:xfrm flipV="1">
              <a:off x="7524" y="14079"/>
              <a:ext cx="114" cy="228"/>
            </a:xfrm>
            <a:custGeom>
              <a:avLst/>
              <a:gdLst/>
              <a:ahLst/>
              <a:cxnLst>
                <a:cxn ang="0">
                  <a:pos x="0" y="228"/>
                </a:cxn>
                <a:cxn ang="0">
                  <a:pos x="57" y="228"/>
                </a:cxn>
                <a:cxn ang="0">
                  <a:pos x="57" y="0"/>
                </a:cxn>
                <a:cxn ang="0">
                  <a:pos x="114" y="0"/>
                </a:cxn>
              </a:cxnLst>
              <a:rect l="0" t="0" r="r" b="b"/>
              <a:pathLst>
                <a:path w="114" h="228">
                  <a:moveTo>
                    <a:pt x="0" y="228"/>
                  </a:moveTo>
                  <a:lnTo>
                    <a:pt x="57" y="228"/>
                  </a:lnTo>
                  <a:lnTo>
                    <a:pt x="57" y="0"/>
                  </a:lnTo>
                  <a:lnTo>
                    <a:pt x="114" y="0"/>
                  </a:lnTo>
                </a:path>
              </a:pathLst>
            </a:custGeom>
            <a:noFill/>
            <a:ln w="12700" cmpd="sng">
              <a:solidFill>
                <a:srgbClr val="000000"/>
              </a:solidFill>
              <a:round/>
              <a:headEnd/>
              <a:tailEnd/>
            </a:ln>
          </xdr:spPr>
        </xdr:sp>
      </xdr:grpSp>
      <xdr:sp macro="" textlink="">
        <xdr:nvSpPr>
          <xdr:cNvPr id="24" name="Line 325"/>
          <xdr:cNvSpPr>
            <a:spLocks noChangeShapeType="1"/>
          </xdr:cNvSpPr>
        </xdr:nvSpPr>
        <xdr:spPr bwMode="auto">
          <a:xfrm flipH="1">
            <a:off x="3413050" y="10282340"/>
            <a:ext cx="313" cy="1303524"/>
          </a:xfrm>
          <a:prstGeom prst="line">
            <a:avLst/>
          </a:prstGeom>
          <a:noFill/>
          <a:ln w="12700">
            <a:solidFill>
              <a:srgbClr val="000000"/>
            </a:solidFill>
            <a:round/>
            <a:headEnd/>
            <a:tailEnd/>
          </a:ln>
        </xdr:spPr>
      </xdr:sp>
      <xdr:sp macro="" textlink="">
        <xdr:nvSpPr>
          <xdr:cNvPr id="25" name="Freeform 327"/>
          <xdr:cNvSpPr>
            <a:spLocks/>
          </xdr:cNvSpPr>
        </xdr:nvSpPr>
        <xdr:spPr bwMode="auto">
          <a:xfrm flipV="1">
            <a:off x="4044535" y="11726232"/>
            <a:ext cx="738891" cy="1154634"/>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sp macro="" textlink="">
        <xdr:nvSpPr>
          <xdr:cNvPr id="26" name="Freeform 334"/>
          <xdr:cNvSpPr>
            <a:spLocks/>
          </xdr:cNvSpPr>
        </xdr:nvSpPr>
        <xdr:spPr bwMode="auto">
          <a:xfrm>
            <a:off x="1312444" y="12781503"/>
            <a:ext cx="2110631" cy="102769"/>
          </a:xfrm>
          <a:custGeom>
            <a:avLst/>
            <a:gdLst/>
            <a:ahLst/>
            <a:cxnLst>
              <a:cxn ang="0">
                <a:pos x="0" y="0"/>
              </a:cxn>
              <a:cxn ang="0">
                <a:pos x="0" y="456"/>
              </a:cxn>
              <a:cxn ang="0">
                <a:pos x="3876" y="456"/>
              </a:cxn>
            </a:cxnLst>
            <a:rect l="0" t="0" r="r" b="b"/>
            <a:pathLst>
              <a:path w="3876" h="456">
                <a:moveTo>
                  <a:pt x="0" y="0"/>
                </a:moveTo>
                <a:lnTo>
                  <a:pt x="0" y="456"/>
                </a:lnTo>
                <a:lnTo>
                  <a:pt x="3876" y="456"/>
                </a:lnTo>
              </a:path>
            </a:pathLst>
          </a:custGeom>
          <a:noFill/>
          <a:ln w="12700" cmpd="sng">
            <a:solidFill>
              <a:srgbClr val="000000"/>
            </a:solidFill>
            <a:round/>
            <a:headEnd/>
            <a:tailEnd/>
          </a:ln>
        </xdr:spPr>
      </xdr:sp>
      <xdr:sp macro="" textlink="">
        <xdr:nvSpPr>
          <xdr:cNvPr id="27" name="Freeform 337"/>
          <xdr:cNvSpPr>
            <a:spLocks/>
          </xdr:cNvSpPr>
        </xdr:nvSpPr>
        <xdr:spPr bwMode="auto">
          <a:xfrm>
            <a:off x="2486526" y="10668456"/>
            <a:ext cx="1568739" cy="296349"/>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grpSp>
        <xdr:nvGrpSpPr>
          <xdr:cNvPr id="28" name="Group 341"/>
          <xdr:cNvGrpSpPr>
            <a:grpSpLocks/>
          </xdr:cNvGrpSpPr>
        </xdr:nvGrpSpPr>
        <xdr:grpSpPr bwMode="auto">
          <a:xfrm>
            <a:off x="4675370" y="12776734"/>
            <a:ext cx="212878" cy="208264"/>
            <a:chOff x="6336" y="4032"/>
            <a:chExt cx="288" cy="288"/>
          </a:xfrm>
        </xdr:grpSpPr>
        <xdr:sp macro="" textlink="">
          <xdr:nvSpPr>
            <xdr:cNvPr id="112" name="Oval 342"/>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13" name="Rectangle 343"/>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29" name="Line 344"/>
          <xdr:cNvSpPr>
            <a:spLocks noChangeShapeType="1"/>
          </xdr:cNvSpPr>
        </xdr:nvSpPr>
        <xdr:spPr bwMode="auto">
          <a:xfrm flipV="1">
            <a:off x="2061307" y="12625305"/>
            <a:ext cx="0" cy="260329"/>
          </a:xfrm>
          <a:prstGeom prst="line">
            <a:avLst/>
          </a:prstGeom>
          <a:noFill/>
          <a:ln w="12700">
            <a:solidFill>
              <a:srgbClr val="000000"/>
            </a:solidFill>
            <a:round/>
            <a:headEnd/>
            <a:tailEnd/>
          </a:ln>
        </xdr:spPr>
      </xdr:sp>
      <xdr:grpSp>
        <xdr:nvGrpSpPr>
          <xdr:cNvPr id="30" name="Group 357"/>
          <xdr:cNvGrpSpPr>
            <a:grpSpLocks/>
          </xdr:cNvGrpSpPr>
        </xdr:nvGrpSpPr>
        <xdr:grpSpPr bwMode="auto">
          <a:xfrm>
            <a:off x="3952594" y="11006055"/>
            <a:ext cx="213961" cy="208264"/>
            <a:chOff x="6336" y="4032"/>
            <a:chExt cx="288" cy="288"/>
          </a:xfrm>
        </xdr:grpSpPr>
        <xdr:sp macro="" textlink="">
          <xdr:nvSpPr>
            <xdr:cNvPr id="110" name="Oval 358"/>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11" name="Rectangle 359"/>
            <xdr:cNvSpPr>
              <a:spLocks noChangeArrowheads="1"/>
            </xdr:cNvSpPr>
          </xdr:nvSpPr>
          <xdr:spPr bwMode="auto">
            <a:xfrm>
              <a:off x="6336" y="4032"/>
              <a:ext cx="288" cy="288"/>
            </a:xfrm>
            <a:prstGeom prst="rect">
              <a:avLst/>
            </a:prstGeom>
            <a:noFill/>
            <a:ln w="9525">
              <a:noFill/>
              <a:miter lim="800000"/>
              <a:headEnd/>
              <a:tailEnd/>
            </a:ln>
          </xdr:spPr>
        </xdr:sp>
      </xdr:grpSp>
      <xdr:grpSp>
        <xdr:nvGrpSpPr>
          <xdr:cNvPr id="31" name="Group 360"/>
          <xdr:cNvGrpSpPr>
            <a:grpSpLocks/>
          </xdr:cNvGrpSpPr>
        </xdr:nvGrpSpPr>
        <xdr:grpSpPr bwMode="auto">
          <a:xfrm rot="10800000" flipV="1">
            <a:off x="4639472" y="11435470"/>
            <a:ext cx="283885" cy="332396"/>
            <a:chOff x="1482" y="6669"/>
            <a:chExt cx="228" cy="342"/>
          </a:xfrm>
        </xdr:grpSpPr>
        <xdr:sp macro="" textlink="">
          <xdr:nvSpPr>
            <xdr:cNvPr id="106" name="Line 361"/>
            <xdr:cNvSpPr>
              <a:spLocks noChangeShapeType="1"/>
            </xdr:cNvSpPr>
          </xdr:nvSpPr>
          <xdr:spPr bwMode="auto">
            <a:xfrm>
              <a:off x="1482" y="6783"/>
              <a:ext cx="228" cy="0"/>
            </a:xfrm>
            <a:prstGeom prst="line">
              <a:avLst/>
            </a:prstGeom>
            <a:noFill/>
            <a:ln w="28575">
              <a:solidFill>
                <a:srgbClr val="000000"/>
              </a:solidFill>
              <a:round/>
              <a:headEnd/>
              <a:tailEnd/>
            </a:ln>
          </xdr:spPr>
        </xdr:sp>
        <xdr:sp macro="" textlink="">
          <xdr:nvSpPr>
            <xdr:cNvPr id="107" name="Line 362"/>
            <xdr:cNvSpPr>
              <a:spLocks noChangeShapeType="1"/>
            </xdr:cNvSpPr>
          </xdr:nvSpPr>
          <xdr:spPr bwMode="auto">
            <a:xfrm>
              <a:off x="1482" y="6897"/>
              <a:ext cx="228" cy="0"/>
            </a:xfrm>
            <a:prstGeom prst="line">
              <a:avLst/>
            </a:prstGeom>
            <a:noFill/>
            <a:ln w="28575">
              <a:solidFill>
                <a:srgbClr val="000000"/>
              </a:solidFill>
              <a:round/>
              <a:headEnd/>
              <a:tailEnd/>
            </a:ln>
          </xdr:spPr>
        </xdr:sp>
        <xdr:sp macro="" textlink="">
          <xdr:nvSpPr>
            <xdr:cNvPr id="108" name="Line 363"/>
            <xdr:cNvSpPr>
              <a:spLocks noChangeShapeType="1"/>
            </xdr:cNvSpPr>
          </xdr:nvSpPr>
          <xdr:spPr bwMode="auto">
            <a:xfrm flipV="1">
              <a:off x="1596" y="6669"/>
              <a:ext cx="0" cy="114"/>
            </a:xfrm>
            <a:prstGeom prst="line">
              <a:avLst/>
            </a:prstGeom>
            <a:noFill/>
            <a:ln w="12700">
              <a:solidFill>
                <a:srgbClr val="000000"/>
              </a:solidFill>
              <a:round/>
              <a:headEnd/>
              <a:tailEnd/>
            </a:ln>
          </xdr:spPr>
        </xdr:sp>
        <xdr:sp macro="" textlink="">
          <xdr:nvSpPr>
            <xdr:cNvPr id="109" name="Line 364"/>
            <xdr:cNvSpPr>
              <a:spLocks noChangeShapeType="1"/>
            </xdr:cNvSpPr>
          </xdr:nvSpPr>
          <xdr:spPr bwMode="auto">
            <a:xfrm flipV="1">
              <a:off x="1596" y="6897"/>
              <a:ext cx="0" cy="114"/>
            </a:xfrm>
            <a:prstGeom prst="line">
              <a:avLst/>
            </a:prstGeom>
            <a:noFill/>
            <a:ln w="12700">
              <a:solidFill>
                <a:srgbClr val="000000"/>
              </a:solidFill>
              <a:round/>
              <a:headEnd/>
              <a:tailEnd/>
            </a:ln>
          </xdr:spPr>
        </xdr:sp>
      </xdr:grpSp>
      <xdr:sp macro="" textlink="">
        <xdr:nvSpPr>
          <xdr:cNvPr id="32" name="Freeform 366"/>
          <xdr:cNvSpPr>
            <a:spLocks/>
          </xdr:cNvSpPr>
        </xdr:nvSpPr>
        <xdr:spPr bwMode="auto">
          <a:xfrm flipH="1" flipV="1">
            <a:off x="2646946" y="10282337"/>
            <a:ext cx="1409791" cy="1173183"/>
          </a:xfrm>
          <a:custGeom>
            <a:avLst/>
            <a:gdLst/>
            <a:ahLst/>
            <a:cxnLst>
              <a:cxn ang="0">
                <a:pos x="0" y="0"/>
              </a:cxn>
              <a:cxn ang="0">
                <a:pos x="0" y="456"/>
              </a:cxn>
              <a:cxn ang="0">
                <a:pos x="3876" y="456"/>
              </a:cxn>
            </a:cxnLst>
            <a:rect l="0" t="0" r="r" b="b"/>
            <a:pathLst>
              <a:path w="3876" h="456">
                <a:moveTo>
                  <a:pt x="0" y="0"/>
                </a:moveTo>
                <a:lnTo>
                  <a:pt x="0" y="456"/>
                </a:lnTo>
                <a:lnTo>
                  <a:pt x="3876" y="456"/>
                </a:lnTo>
              </a:path>
            </a:pathLst>
          </a:custGeom>
          <a:noFill/>
          <a:ln w="12700" cmpd="sng">
            <a:solidFill>
              <a:srgbClr val="000000"/>
            </a:solidFill>
            <a:round/>
            <a:headEnd/>
            <a:tailEnd/>
          </a:ln>
        </xdr:spPr>
      </xdr:sp>
      <xdr:grpSp>
        <xdr:nvGrpSpPr>
          <xdr:cNvPr id="33" name="Group 367"/>
          <xdr:cNvGrpSpPr>
            <a:grpSpLocks/>
          </xdr:cNvGrpSpPr>
        </xdr:nvGrpSpPr>
        <xdr:grpSpPr bwMode="auto">
          <a:xfrm flipV="1">
            <a:off x="3952594" y="11423022"/>
            <a:ext cx="213961" cy="1197515"/>
            <a:chOff x="9633" y="12255"/>
            <a:chExt cx="228" cy="1311"/>
          </a:xfrm>
        </xdr:grpSpPr>
        <xdr:grpSp>
          <xdr:nvGrpSpPr>
            <xdr:cNvPr id="93" name="Group 368"/>
            <xdr:cNvGrpSpPr>
              <a:grpSpLocks/>
            </xdr:cNvGrpSpPr>
          </xdr:nvGrpSpPr>
          <xdr:grpSpPr bwMode="auto">
            <a:xfrm flipV="1">
              <a:off x="9633" y="12540"/>
              <a:ext cx="228" cy="171"/>
              <a:chOff x="7410" y="8493"/>
              <a:chExt cx="228" cy="171"/>
            </a:xfrm>
          </xdr:grpSpPr>
          <xdr:sp macro="" textlink="">
            <xdr:nvSpPr>
              <xdr:cNvPr id="104" name="Freeform 369"/>
              <xdr:cNvSpPr>
                <a:spLocks/>
              </xdr:cNvSpPr>
            </xdr:nvSpPr>
            <xdr:spPr bwMode="auto">
              <a:xfrm>
                <a:off x="7410" y="8493"/>
                <a:ext cx="228" cy="171"/>
              </a:xfrm>
              <a:custGeom>
                <a:avLst/>
                <a:gdLst/>
                <a:ahLst/>
                <a:cxnLst>
                  <a:cxn ang="0">
                    <a:pos x="0" y="0"/>
                  </a:cxn>
                  <a:cxn ang="0">
                    <a:pos x="228" y="0"/>
                  </a:cxn>
                  <a:cxn ang="0">
                    <a:pos x="114" y="171"/>
                  </a:cxn>
                  <a:cxn ang="0">
                    <a:pos x="0" y="0"/>
                  </a:cxn>
                </a:cxnLst>
                <a:rect l="0" t="0" r="r" b="b"/>
                <a:pathLst>
                  <a:path w="228" h="171">
                    <a:moveTo>
                      <a:pt x="0" y="0"/>
                    </a:moveTo>
                    <a:lnTo>
                      <a:pt x="228" y="0"/>
                    </a:lnTo>
                    <a:lnTo>
                      <a:pt x="114" y="171"/>
                    </a:lnTo>
                    <a:lnTo>
                      <a:pt x="0" y="0"/>
                    </a:lnTo>
                    <a:close/>
                  </a:path>
                </a:pathLst>
              </a:custGeom>
              <a:solidFill>
                <a:srgbClr val="000000"/>
              </a:solidFill>
              <a:ln w="9525">
                <a:solidFill>
                  <a:srgbClr val="000000"/>
                </a:solidFill>
                <a:round/>
                <a:headEnd/>
                <a:tailEnd/>
              </a:ln>
            </xdr:spPr>
          </xdr:sp>
          <xdr:sp macro="" textlink="">
            <xdr:nvSpPr>
              <xdr:cNvPr id="105" name="Line 370"/>
              <xdr:cNvSpPr>
                <a:spLocks noChangeShapeType="1"/>
              </xdr:cNvSpPr>
            </xdr:nvSpPr>
            <xdr:spPr bwMode="auto">
              <a:xfrm>
                <a:off x="7410" y="8664"/>
                <a:ext cx="228" cy="0"/>
              </a:xfrm>
              <a:prstGeom prst="line">
                <a:avLst/>
              </a:prstGeom>
              <a:noFill/>
              <a:ln w="12700">
                <a:solidFill>
                  <a:srgbClr val="000000"/>
                </a:solidFill>
                <a:round/>
                <a:headEnd/>
                <a:tailEnd/>
              </a:ln>
            </xdr:spPr>
          </xdr:sp>
        </xdr:grpSp>
        <xdr:grpSp>
          <xdr:nvGrpSpPr>
            <xdr:cNvPr id="94" name="Group 371"/>
            <xdr:cNvGrpSpPr>
              <a:grpSpLocks/>
            </xdr:cNvGrpSpPr>
          </xdr:nvGrpSpPr>
          <xdr:grpSpPr bwMode="auto">
            <a:xfrm flipV="1">
              <a:off x="9633" y="13110"/>
              <a:ext cx="228" cy="171"/>
              <a:chOff x="7410" y="8265"/>
              <a:chExt cx="228" cy="171"/>
            </a:xfrm>
          </xdr:grpSpPr>
          <xdr:sp macro="" textlink="">
            <xdr:nvSpPr>
              <xdr:cNvPr id="102" name="Freeform 372"/>
              <xdr:cNvSpPr>
                <a:spLocks/>
              </xdr:cNvSpPr>
            </xdr:nvSpPr>
            <xdr:spPr bwMode="auto">
              <a:xfrm>
                <a:off x="7410" y="8265"/>
                <a:ext cx="228" cy="171"/>
              </a:xfrm>
              <a:custGeom>
                <a:avLst/>
                <a:gdLst/>
                <a:ahLst/>
                <a:cxnLst>
                  <a:cxn ang="0">
                    <a:pos x="0" y="0"/>
                  </a:cxn>
                  <a:cxn ang="0">
                    <a:pos x="228" y="0"/>
                  </a:cxn>
                  <a:cxn ang="0">
                    <a:pos x="114" y="171"/>
                  </a:cxn>
                  <a:cxn ang="0">
                    <a:pos x="0" y="0"/>
                  </a:cxn>
                </a:cxnLst>
                <a:rect l="0" t="0" r="r" b="b"/>
                <a:pathLst>
                  <a:path w="228" h="171">
                    <a:moveTo>
                      <a:pt x="0" y="0"/>
                    </a:moveTo>
                    <a:lnTo>
                      <a:pt x="228" y="0"/>
                    </a:lnTo>
                    <a:lnTo>
                      <a:pt x="114" y="171"/>
                    </a:lnTo>
                    <a:lnTo>
                      <a:pt x="0" y="0"/>
                    </a:lnTo>
                    <a:close/>
                  </a:path>
                </a:pathLst>
              </a:custGeom>
              <a:solidFill>
                <a:srgbClr val="000000"/>
              </a:solidFill>
              <a:ln w="9525">
                <a:solidFill>
                  <a:srgbClr val="000000"/>
                </a:solidFill>
                <a:round/>
                <a:headEnd/>
                <a:tailEnd/>
              </a:ln>
            </xdr:spPr>
          </xdr:sp>
          <xdr:sp macro="" textlink="">
            <xdr:nvSpPr>
              <xdr:cNvPr id="103" name="Line 373"/>
              <xdr:cNvSpPr>
                <a:spLocks noChangeShapeType="1"/>
              </xdr:cNvSpPr>
            </xdr:nvSpPr>
            <xdr:spPr bwMode="auto">
              <a:xfrm>
                <a:off x="7410" y="8436"/>
                <a:ext cx="228" cy="0"/>
              </a:xfrm>
              <a:prstGeom prst="line">
                <a:avLst/>
              </a:prstGeom>
              <a:noFill/>
              <a:ln w="12700">
                <a:solidFill>
                  <a:srgbClr val="000000"/>
                </a:solidFill>
                <a:round/>
                <a:headEnd/>
                <a:tailEnd/>
              </a:ln>
            </xdr:spPr>
          </xdr:sp>
        </xdr:grpSp>
        <xdr:grpSp>
          <xdr:nvGrpSpPr>
            <xdr:cNvPr id="95" name="Group 374"/>
            <xdr:cNvGrpSpPr>
              <a:grpSpLocks/>
            </xdr:cNvGrpSpPr>
          </xdr:nvGrpSpPr>
          <xdr:grpSpPr bwMode="auto">
            <a:xfrm flipV="1">
              <a:off x="9633" y="13395"/>
              <a:ext cx="228" cy="171"/>
              <a:chOff x="7410" y="8037"/>
              <a:chExt cx="228" cy="171"/>
            </a:xfrm>
          </xdr:grpSpPr>
          <xdr:sp macro="" textlink="">
            <xdr:nvSpPr>
              <xdr:cNvPr id="100" name="Freeform 375"/>
              <xdr:cNvSpPr>
                <a:spLocks/>
              </xdr:cNvSpPr>
            </xdr:nvSpPr>
            <xdr:spPr bwMode="auto">
              <a:xfrm>
                <a:off x="7410" y="8037"/>
                <a:ext cx="228" cy="171"/>
              </a:xfrm>
              <a:custGeom>
                <a:avLst/>
                <a:gdLst/>
                <a:ahLst/>
                <a:cxnLst>
                  <a:cxn ang="0">
                    <a:pos x="0" y="0"/>
                  </a:cxn>
                  <a:cxn ang="0">
                    <a:pos x="228" y="0"/>
                  </a:cxn>
                  <a:cxn ang="0">
                    <a:pos x="114" y="171"/>
                  </a:cxn>
                  <a:cxn ang="0">
                    <a:pos x="0" y="0"/>
                  </a:cxn>
                </a:cxnLst>
                <a:rect l="0" t="0" r="r" b="b"/>
                <a:pathLst>
                  <a:path w="228" h="171">
                    <a:moveTo>
                      <a:pt x="0" y="0"/>
                    </a:moveTo>
                    <a:lnTo>
                      <a:pt x="228" y="0"/>
                    </a:lnTo>
                    <a:lnTo>
                      <a:pt x="114" y="171"/>
                    </a:lnTo>
                    <a:lnTo>
                      <a:pt x="0" y="0"/>
                    </a:lnTo>
                    <a:close/>
                  </a:path>
                </a:pathLst>
              </a:custGeom>
              <a:solidFill>
                <a:srgbClr val="000000"/>
              </a:solidFill>
              <a:ln w="9525">
                <a:solidFill>
                  <a:srgbClr val="000000"/>
                </a:solidFill>
                <a:round/>
                <a:headEnd/>
                <a:tailEnd/>
              </a:ln>
            </xdr:spPr>
          </xdr:sp>
          <xdr:sp macro="" textlink="">
            <xdr:nvSpPr>
              <xdr:cNvPr id="101" name="Line 376"/>
              <xdr:cNvSpPr>
                <a:spLocks noChangeShapeType="1"/>
              </xdr:cNvSpPr>
            </xdr:nvSpPr>
            <xdr:spPr bwMode="auto">
              <a:xfrm>
                <a:off x="7410" y="8208"/>
                <a:ext cx="228" cy="0"/>
              </a:xfrm>
              <a:prstGeom prst="line">
                <a:avLst/>
              </a:prstGeom>
              <a:noFill/>
              <a:ln w="12700">
                <a:solidFill>
                  <a:srgbClr val="000000"/>
                </a:solidFill>
                <a:round/>
                <a:headEnd/>
                <a:tailEnd/>
              </a:ln>
            </xdr:spPr>
          </xdr:sp>
        </xdr:grpSp>
        <xdr:sp macro="" textlink="">
          <xdr:nvSpPr>
            <xdr:cNvPr id="96" name="Line 377"/>
            <xdr:cNvSpPr>
              <a:spLocks noChangeShapeType="1"/>
            </xdr:cNvSpPr>
          </xdr:nvSpPr>
          <xdr:spPr bwMode="auto">
            <a:xfrm flipV="1">
              <a:off x="9747" y="12711"/>
              <a:ext cx="0" cy="513"/>
            </a:xfrm>
            <a:prstGeom prst="line">
              <a:avLst/>
            </a:prstGeom>
            <a:noFill/>
            <a:ln w="12700">
              <a:solidFill>
                <a:srgbClr val="000000"/>
              </a:solidFill>
              <a:prstDash val="sysDot"/>
              <a:round/>
              <a:headEnd/>
              <a:tailEnd/>
            </a:ln>
          </xdr:spPr>
        </xdr:sp>
        <xdr:grpSp>
          <xdr:nvGrpSpPr>
            <xdr:cNvPr id="97" name="Group 378"/>
            <xdr:cNvGrpSpPr>
              <a:grpSpLocks/>
            </xdr:cNvGrpSpPr>
          </xdr:nvGrpSpPr>
          <xdr:grpSpPr bwMode="auto">
            <a:xfrm flipV="1">
              <a:off x="9633" y="12255"/>
              <a:ext cx="228" cy="171"/>
              <a:chOff x="7410" y="8493"/>
              <a:chExt cx="228" cy="171"/>
            </a:xfrm>
          </xdr:grpSpPr>
          <xdr:sp macro="" textlink="">
            <xdr:nvSpPr>
              <xdr:cNvPr id="98" name="Freeform 379"/>
              <xdr:cNvSpPr>
                <a:spLocks/>
              </xdr:cNvSpPr>
            </xdr:nvSpPr>
            <xdr:spPr bwMode="auto">
              <a:xfrm>
                <a:off x="7410" y="8493"/>
                <a:ext cx="228" cy="171"/>
              </a:xfrm>
              <a:custGeom>
                <a:avLst/>
                <a:gdLst/>
                <a:ahLst/>
                <a:cxnLst>
                  <a:cxn ang="0">
                    <a:pos x="0" y="0"/>
                  </a:cxn>
                  <a:cxn ang="0">
                    <a:pos x="228" y="0"/>
                  </a:cxn>
                  <a:cxn ang="0">
                    <a:pos x="114" y="171"/>
                  </a:cxn>
                  <a:cxn ang="0">
                    <a:pos x="0" y="0"/>
                  </a:cxn>
                </a:cxnLst>
                <a:rect l="0" t="0" r="r" b="b"/>
                <a:pathLst>
                  <a:path w="228" h="171">
                    <a:moveTo>
                      <a:pt x="0" y="0"/>
                    </a:moveTo>
                    <a:lnTo>
                      <a:pt x="228" y="0"/>
                    </a:lnTo>
                    <a:lnTo>
                      <a:pt x="114" y="171"/>
                    </a:lnTo>
                    <a:lnTo>
                      <a:pt x="0" y="0"/>
                    </a:lnTo>
                    <a:close/>
                  </a:path>
                </a:pathLst>
              </a:custGeom>
              <a:solidFill>
                <a:srgbClr val="000000"/>
              </a:solidFill>
              <a:ln w="9525">
                <a:solidFill>
                  <a:srgbClr val="000000"/>
                </a:solidFill>
                <a:round/>
                <a:headEnd/>
                <a:tailEnd/>
              </a:ln>
            </xdr:spPr>
          </xdr:sp>
          <xdr:sp macro="" textlink="">
            <xdr:nvSpPr>
              <xdr:cNvPr id="99" name="Line 380"/>
              <xdr:cNvSpPr>
                <a:spLocks noChangeShapeType="1"/>
              </xdr:cNvSpPr>
            </xdr:nvSpPr>
            <xdr:spPr bwMode="auto">
              <a:xfrm>
                <a:off x="7410" y="8664"/>
                <a:ext cx="228" cy="0"/>
              </a:xfrm>
              <a:prstGeom prst="line">
                <a:avLst/>
              </a:prstGeom>
              <a:noFill/>
              <a:ln w="12700">
                <a:solidFill>
                  <a:srgbClr val="000000"/>
                </a:solidFill>
                <a:round/>
                <a:headEnd/>
                <a:tailEnd/>
              </a:ln>
            </xdr:spPr>
          </xdr:sp>
        </xdr:grpSp>
      </xdr:grpSp>
      <xdr:sp macro="" textlink="">
        <xdr:nvSpPr>
          <xdr:cNvPr id="34" name="Line 382"/>
          <xdr:cNvSpPr>
            <a:spLocks noChangeShapeType="1"/>
          </xdr:cNvSpPr>
        </xdr:nvSpPr>
        <xdr:spPr bwMode="auto">
          <a:xfrm flipH="1">
            <a:off x="681788" y="11499560"/>
            <a:ext cx="791127" cy="1087"/>
          </a:xfrm>
          <a:prstGeom prst="line">
            <a:avLst/>
          </a:prstGeom>
          <a:noFill/>
          <a:ln w="12700">
            <a:solidFill>
              <a:srgbClr val="000000"/>
            </a:solidFill>
            <a:round/>
            <a:headEnd/>
            <a:tailEnd/>
          </a:ln>
        </xdr:spPr>
      </xdr:sp>
      <xdr:sp macro="" textlink="">
        <xdr:nvSpPr>
          <xdr:cNvPr id="35" name="Line 383"/>
          <xdr:cNvSpPr>
            <a:spLocks noChangeShapeType="1"/>
          </xdr:cNvSpPr>
        </xdr:nvSpPr>
        <xdr:spPr bwMode="auto">
          <a:xfrm rot="5400000">
            <a:off x="1500130" y="9559766"/>
            <a:ext cx="0" cy="1444234"/>
          </a:xfrm>
          <a:prstGeom prst="line">
            <a:avLst/>
          </a:prstGeom>
          <a:noFill/>
          <a:ln w="12700">
            <a:solidFill>
              <a:srgbClr val="000000"/>
            </a:solidFill>
            <a:round/>
            <a:headEnd/>
            <a:tailEnd/>
          </a:ln>
        </xdr:spPr>
      </xdr:sp>
      <xdr:sp macro="" textlink="">
        <xdr:nvSpPr>
          <xdr:cNvPr id="36" name="Freeform 384"/>
          <xdr:cNvSpPr>
            <a:spLocks/>
          </xdr:cNvSpPr>
        </xdr:nvSpPr>
        <xdr:spPr bwMode="auto">
          <a:xfrm>
            <a:off x="2491540" y="11106512"/>
            <a:ext cx="1562924" cy="619721"/>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sp macro="" textlink="">
        <xdr:nvSpPr>
          <xdr:cNvPr id="37" name="Freeform 385"/>
          <xdr:cNvSpPr>
            <a:spLocks/>
          </xdr:cNvSpPr>
        </xdr:nvSpPr>
        <xdr:spPr bwMode="auto">
          <a:xfrm flipH="1">
            <a:off x="1988127" y="10282444"/>
            <a:ext cx="172544" cy="260683"/>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sp macro="" textlink="">
        <xdr:nvSpPr>
          <xdr:cNvPr id="38" name="Line 387"/>
          <xdr:cNvSpPr>
            <a:spLocks noChangeShapeType="1"/>
          </xdr:cNvSpPr>
        </xdr:nvSpPr>
        <xdr:spPr bwMode="auto">
          <a:xfrm>
            <a:off x="3306383" y="12885634"/>
            <a:ext cx="0" cy="104132"/>
          </a:xfrm>
          <a:prstGeom prst="line">
            <a:avLst/>
          </a:prstGeom>
          <a:noFill/>
          <a:ln w="12700">
            <a:solidFill>
              <a:srgbClr val="000000"/>
            </a:solidFill>
            <a:round/>
            <a:headEnd/>
            <a:tailEnd/>
          </a:ln>
        </xdr:spPr>
      </xdr:sp>
      <xdr:grpSp>
        <xdr:nvGrpSpPr>
          <xdr:cNvPr id="39" name="Group 388"/>
          <xdr:cNvGrpSpPr>
            <a:grpSpLocks/>
          </xdr:cNvGrpSpPr>
        </xdr:nvGrpSpPr>
        <xdr:grpSpPr bwMode="auto">
          <a:xfrm>
            <a:off x="3199403" y="12781503"/>
            <a:ext cx="213961" cy="208264"/>
            <a:chOff x="6336" y="4032"/>
            <a:chExt cx="288" cy="288"/>
          </a:xfrm>
        </xdr:grpSpPr>
        <xdr:sp macro="" textlink="">
          <xdr:nvSpPr>
            <xdr:cNvPr id="91" name="Oval 389"/>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92" name="Rectangle 390"/>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40" name="Rectangle 283"/>
          <xdr:cNvSpPr>
            <a:spLocks noChangeArrowheads="1"/>
          </xdr:cNvSpPr>
        </xdr:nvSpPr>
        <xdr:spPr bwMode="auto">
          <a:xfrm>
            <a:off x="2988377" y="11995914"/>
            <a:ext cx="260329" cy="106980"/>
          </a:xfrm>
          <a:prstGeom prst="rect">
            <a:avLst/>
          </a:prstGeom>
          <a:solidFill>
            <a:srgbClr val="FFFFFF"/>
          </a:solidFill>
          <a:ln w="12700">
            <a:solidFill>
              <a:srgbClr val="000000"/>
            </a:solidFill>
            <a:miter lim="800000"/>
            <a:headEnd/>
            <a:tailEnd/>
          </a:ln>
        </xdr:spPr>
      </xdr:sp>
      <xdr:sp macro="" textlink="">
        <xdr:nvSpPr>
          <xdr:cNvPr id="41" name="Rectangle 326"/>
          <xdr:cNvSpPr>
            <a:spLocks noChangeArrowheads="1"/>
          </xdr:cNvSpPr>
        </xdr:nvSpPr>
        <xdr:spPr bwMode="auto">
          <a:xfrm rot="16200000">
            <a:off x="3926050" y="10831339"/>
            <a:ext cx="260329" cy="106980"/>
          </a:xfrm>
          <a:prstGeom prst="rect">
            <a:avLst/>
          </a:prstGeom>
          <a:solidFill>
            <a:srgbClr val="FFFFFF"/>
          </a:solidFill>
          <a:ln w="12700">
            <a:solidFill>
              <a:srgbClr val="000000"/>
            </a:solidFill>
            <a:miter lim="800000"/>
            <a:headEnd/>
            <a:tailEnd/>
          </a:ln>
        </xdr:spPr>
      </xdr:sp>
      <xdr:sp macro="" textlink="">
        <xdr:nvSpPr>
          <xdr:cNvPr id="42" name="Freeform 366"/>
          <xdr:cNvSpPr>
            <a:spLocks/>
          </xdr:cNvSpPr>
        </xdr:nvSpPr>
        <xdr:spPr bwMode="auto">
          <a:xfrm flipH="1" flipV="1">
            <a:off x="3182443" y="10282442"/>
            <a:ext cx="1600982" cy="1173183"/>
          </a:xfrm>
          <a:custGeom>
            <a:avLst/>
            <a:gdLst/>
            <a:ahLst/>
            <a:cxnLst>
              <a:cxn ang="0">
                <a:pos x="0" y="0"/>
              </a:cxn>
              <a:cxn ang="0">
                <a:pos x="0" y="456"/>
              </a:cxn>
              <a:cxn ang="0">
                <a:pos x="3876" y="456"/>
              </a:cxn>
            </a:cxnLst>
            <a:rect l="0" t="0" r="r" b="b"/>
            <a:pathLst>
              <a:path w="3876" h="456">
                <a:moveTo>
                  <a:pt x="0" y="0"/>
                </a:moveTo>
                <a:lnTo>
                  <a:pt x="0" y="456"/>
                </a:lnTo>
                <a:lnTo>
                  <a:pt x="3876" y="456"/>
                </a:lnTo>
              </a:path>
            </a:pathLst>
          </a:custGeom>
          <a:noFill/>
          <a:ln w="12700" cmpd="sng">
            <a:solidFill>
              <a:srgbClr val="000000"/>
            </a:solidFill>
            <a:round/>
            <a:headEnd/>
            <a:tailEnd/>
          </a:ln>
        </xdr:spPr>
      </xdr:sp>
      <xdr:grpSp>
        <xdr:nvGrpSpPr>
          <xdr:cNvPr id="43" name="Group 318"/>
          <xdr:cNvGrpSpPr>
            <a:grpSpLocks/>
          </xdr:cNvGrpSpPr>
        </xdr:nvGrpSpPr>
        <xdr:grpSpPr bwMode="auto">
          <a:xfrm flipV="1">
            <a:off x="3951279" y="10182180"/>
            <a:ext cx="213961" cy="208264"/>
            <a:chOff x="6336" y="4032"/>
            <a:chExt cx="288" cy="288"/>
          </a:xfrm>
        </xdr:grpSpPr>
        <xdr:sp macro="" textlink="">
          <xdr:nvSpPr>
            <xdr:cNvPr id="89" name="Oval 319"/>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90" name="Rectangle 320"/>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44" name="Freeform 281"/>
          <xdr:cNvSpPr>
            <a:spLocks/>
          </xdr:cNvSpPr>
        </xdr:nvSpPr>
        <xdr:spPr bwMode="auto">
          <a:xfrm flipH="1">
            <a:off x="601579" y="11500640"/>
            <a:ext cx="165483" cy="220579"/>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grpSp>
        <xdr:nvGrpSpPr>
          <xdr:cNvPr id="45" name="Group 294"/>
          <xdr:cNvGrpSpPr>
            <a:grpSpLocks/>
          </xdr:cNvGrpSpPr>
        </xdr:nvGrpSpPr>
        <xdr:grpSpPr bwMode="auto">
          <a:xfrm>
            <a:off x="1027696" y="10833889"/>
            <a:ext cx="213961" cy="85082"/>
            <a:chOff x="4731" y="2337"/>
            <a:chExt cx="342" cy="114"/>
          </a:xfrm>
        </xdr:grpSpPr>
        <xdr:sp macro="" textlink="">
          <xdr:nvSpPr>
            <xdr:cNvPr id="86" name="Line 295"/>
            <xdr:cNvSpPr>
              <a:spLocks noChangeShapeType="1"/>
            </xdr:cNvSpPr>
          </xdr:nvSpPr>
          <xdr:spPr bwMode="auto">
            <a:xfrm>
              <a:off x="4731" y="2337"/>
              <a:ext cx="342" cy="0"/>
            </a:xfrm>
            <a:prstGeom prst="line">
              <a:avLst/>
            </a:prstGeom>
            <a:noFill/>
            <a:ln w="12700">
              <a:solidFill>
                <a:srgbClr val="000000"/>
              </a:solidFill>
              <a:round/>
              <a:headEnd/>
              <a:tailEnd/>
            </a:ln>
          </xdr:spPr>
        </xdr:sp>
        <xdr:sp macro="" textlink="">
          <xdr:nvSpPr>
            <xdr:cNvPr id="87" name="Line 296"/>
            <xdr:cNvSpPr>
              <a:spLocks noChangeShapeType="1"/>
            </xdr:cNvSpPr>
          </xdr:nvSpPr>
          <xdr:spPr bwMode="auto">
            <a:xfrm>
              <a:off x="4788" y="2394"/>
              <a:ext cx="228" cy="0"/>
            </a:xfrm>
            <a:prstGeom prst="line">
              <a:avLst/>
            </a:prstGeom>
            <a:noFill/>
            <a:ln w="12700">
              <a:solidFill>
                <a:srgbClr val="000000"/>
              </a:solidFill>
              <a:round/>
              <a:headEnd/>
              <a:tailEnd/>
            </a:ln>
          </xdr:spPr>
        </xdr:sp>
        <xdr:sp macro="" textlink="">
          <xdr:nvSpPr>
            <xdr:cNvPr id="88" name="Line 297"/>
            <xdr:cNvSpPr>
              <a:spLocks noChangeShapeType="1"/>
            </xdr:cNvSpPr>
          </xdr:nvSpPr>
          <xdr:spPr bwMode="auto">
            <a:xfrm>
              <a:off x="4845" y="2451"/>
              <a:ext cx="114" cy="0"/>
            </a:xfrm>
            <a:prstGeom prst="line">
              <a:avLst/>
            </a:prstGeom>
            <a:noFill/>
            <a:ln w="12700">
              <a:solidFill>
                <a:srgbClr val="000000"/>
              </a:solidFill>
              <a:round/>
              <a:headEnd/>
              <a:tailEnd/>
            </a:ln>
          </xdr:spPr>
        </xdr:sp>
      </xdr:grpSp>
      <xdr:grpSp>
        <xdr:nvGrpSpPr>
          <xdr:cNvPr id="46" name="Group 298"/>
          <xdr:cNvGrpSpPr>
            <a:grpSpLocks/>
          </xdr:cNvGrpSpPr>
        </xdr:nvGrpSpPr>
        <xdr:grpSpPr bwMode="auto">
          <a:xfrm>
            <a:off x="1027697" y="10182180"/>
            <a:ext cx="213961" cy="208264"/>
            <a:chOff x="6336" y="4032"/>
            <a:chExt cx="288" cy="288"/>
          </a:xfrm>
        </xdr:grpSpPr>
        <xdr:sp macro="" textlink="">
          <xdr:nvSpPr>
            <xdr:cNvPr id="84" name="Oval 299"/>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85" name="Rectangle 300"/>
            <xdr:cNvSpPr>
              <a:spLocks noChangeArrowheads="1"/>
            </xdr:cNvSpPr>
          </xdr:nvSpPr>
          <xdr:spPr bwMode="auto">
            <a:xfrm>
              <a:off x="6336" y="4032"/>
              <a:ext cx="288" cy="288"/>
            </a:xfrm>
            <a:prstGeom prst="rect">
              <a:avLst/>
            </a:prstGeom>
            <a:noFill/>
            <a:ln w="9525">
              <a:noFill/>
              <a:miter lim="800000"/>
              <a:headEnd/>
              <a:tailEnd/>
            </a:ln>
          </xdr:spPr>
        </xdr:sp>
      </xdr:grpSp>
      <xdr:grpSp>
        <xdr:nvGrpSpPr>
          <xdr:cNvPr id="47" name="Group 360"/>
          <xdr:cNvGrpSpPr>
            <a:grpSpLocks/>
          </xdr:cNvGrpSpPr>
        </xdr:nvGrpSpPr>
        <xdr:grpSpPr bwMode="auto">
          <a:xfrm rot="10800000" flipV="1">
            <a:off x="991921" y="10397744"/>
            <a:ext cx="288936" cy="332396"/>
            <a:chOff x="1482" y="6669"/>
            <a:chExt cx="228" cy="342"/>
          </a:xfrm>
        </xdr:grpSpPr>
        <xdr:sp macro="" textlink="">
          <xdr:nvSpPr>
            <xdr:cNvPr id="80" name="Line 361"/>
            <xdr:cNvSpPr>
              <a:spLocks noChangeShapeType="1"/>
            </xdr:cNvSpPr>
          </xdr:nvSpPr>
          <xdr:spPr bwMode="auto">
            <a:xfrm>
              <a:off x="1482" y="6783"/>
              <a:ext cx="228" cy="0"/>
            </a:xfrm>
            <a:prstGeom prst="line">
              <a:avLst/>
            </a:prstGeom>
            <a:noFill/>
            <a:ln w="28575">
              <a:solidFill>
                <a:srgbClr val="000000"/>
              </a:solidFill>
              <a:round/>
              <a:headEnd/>
              <a:tailEnd/>
            </a:ln>
          </xdr:spPr>
        </xdr:sp>
        <xdr:sp macro="" textlink="">
          <xdr:nvSpPr>
            <xdr:cNvPr id="81" name="Line 362"/>
            <xdr:cNvSpPr>
              <a:spLocks noChangeShapeType="1"/>
            </xdr:cNvSpPr>
          </xdr:nvSpPr>
          <xdr:spPr bwMode="auto">
            <a:xfrm>
              <a:off x="1482" y="6897"/>
              <a:ext cx="228" cy="0"/>
            </a:xfrm>
            <a:prstGeom prst="line">
              <a:avLst/>
            </a:prstGeom>
            <a:noFill/>
            <a:ln w="28575">
              <a:solidFill>
                <a:srgbClr val="000000"/>
              </a:solidFill>
              <a:round/>
              <a:headEnd/>
              <a:tailEnd/>
            </a:ln>
          </xdr:spPr>
        </xdr:sp>
        <xdr:sp macro="" textlink="">
          <xdr:nvSpPr>
            <xdr:cNvPr id="82" name="Line 363"/>
            <xdr:cNvSpPr>
              <a:spLocks noChangeShapeType="1"/>
            </xdr:cNvSpPr>
          </xdr:nvSpPr>
          <xdr:spPr bwMode="auto">
            <a:xfrm flipV="1">
              <a:off x="1596" y="6669"/>
              <a:ext cx="0" cy="114"/>
            </a:xfrm>
            <a:prstGeom prst="line">
              <a:avLst/>
            </a:prstGeom>
            <a:noFill/>
            <a:ln w="12700">
              <a:solidFill>
                <a:srgbClr val="000000"/>
              </a:solidFill>
              <a:round/>
              <a:headEnd/>
              <a:tailEnd/>
            </a:ln>
          </xdr:spPr>
        </xdr:sp>
        <xdr:sp macro="" textlink="">
          <xdr:nvSpPr>
            <xdr:cNvPr id="83" name="Line 364"/>
            <xdr:cNvSpPr>
              <a:spLocks noChangeShapeType="1"/>
            </xdr:cNvSpPr>
          </xdr:nvSpPr>
          <xdr:spPr bwMode="auto">
            <a:xfrm flipV="1">
              <a:off x="1596" y="6897"/>
              <a:ext cx="0" cy="114"/>
            </a:xfrm>
            <a:prstGeom prst="line">
              <a:avLst/>
            </a:prstGeom>
            <a:noFill/>
            <a:ln w="12700">
              <a:solidFill>
                <a:srgbClr val="000000"/>
              </a:solidFill>
              <a:round/>
              <a:headEnd/>
              <a:tailEnd/>
            </a:ln>
          </xdr:spPr>
        </xdr:sp>
      </xdr:grpSp>
      <xdr:sp macro="" textlink="">
        <xdr:nvSpPr>
          <xdr:cNvPr id="48" name="Line 344"/>
          <xdr:cNvSpPr>
            <a:spLocks noChangeShapeType="1"/>
          </xdr:cNvSpPr>
        </xdr:nvSpPr>
        <xdr:spPr bwMode="auto">
          <a:xfrm flipV="1">
            <a:off x="1132974" y="10618323"/>
            <a:ext cx="0" cy="210198"/>
          </a:xfrm>
          <a:prstGeom prst="line">
            <a:avLst/>
          </a:prstGeom>
          <a:noFill/>
          <a:ln w="12700">
            <a:solidFill>
              <a:srgbClr val="000000"/>
            </a:solidFill>
            <a:round/>
            <a:headEnd/>
            <a:tailEnd/>
          </a:ln>
        </xdr:spPr>
      </xdr:sp>
      <xdr:grpSp>
        <xdr:nvGrpSpPr>
          <xdr:cNvPr id="49" name="Group 360"/>
          <xdr:cNvGrpSpPr>
            <a:grpSpLocks/>
          </xdr:cNvGrpSpPr>
        </xdr:nvGrpSpPr>
        <xdr:grpSpPr bwMode="auto">
          <a:xfrm rot="10800000" flipV="1">
            <a:off x="456198" y="11610930"/>
            <a:ext cx="288936" cy="332396"/>
            <a:chOff x="1482" y="6669"/>
            <a:chExt cx="228" cy="342"/>
          </a:xfrm>
        </xdr:grpSpPr>
        <xdr:sp macro="" textlink="">
          <xdr:nvSpPr>
            <xdr:cNvPr id="76" name="Line 361"/>
            <xdr:cNvSpPr>
              <a:spLocks noChangeShapeType="1"/>
            </xdr:cNvSpPr>
          </xdr:nvSpPr>
          <xdr:spPr bwMode="auto">
            <a:xfrm>
              <a:off x="1482" y="6783"/>
              <a:ext cx="228" cy="0"/>
            </a:xfrm>
            <a:prstGeom prst="line">
              <a:avLst/>
            </a:prstGeom>
            <a:noFill/>
            <a:ln w="28575">
              <a:solidFill>
                <a:srgbClr val="000000"/>
              </a:solidFill>
              <a:round/>
              <a:headEnd/>
              <a:tailEnd/>
            </a:ln>
          </xdr:spPr>
        </xdr:sp>
        <xdr:sp macro="" textlink="">
          <xdr:nvSpPr>
            <xdr:cNvPr id="77" name="Line 362"/>
            <xdr:cNvSpPr>
              <a:spLocks noChangeShapeType="1"/>
            </xdr:cNvSpPr>
          </xdr:nvSpPr>
          <xdr:spPr bwMode="auto">
            <a:xfrm>
              <a:off x="1482" y="6897"/>
              <a:ext cx="228" cy="0"/>
            </a:xfrm>
            <a:prstGeom prst="line">
              <a:avLst/>
            </a:prstGeom>
            <a:noFill/>
            <a:ln w="28575">
              <a:solidFill>
                <a:srgbClr val="000000"/>
              </a:solidFill>
              <a:round/>
              <a:headEnd/>
              <a:tailEnd/>
            </a:ln>
          </xdr:spPr>
        </xdr:sp>
        <xdr:sp macro="" textlink="">
          <xdr:nvSpPr>
            <xdr:cNvPr id="78" name="Line 363"/>
            <xdr:cNvSpPr>
              <a:spLocks noChangeShapeType="1"/>
            </xdr:cNvSpPr>
          </xdr:nvSpPr>
          <xdr:spPr bwMode="auto">
            <a:xfrm flipV="1">
              <a:off x="1596" y="6669"/>
              <a:ext cx="0" cy="114"/>
            </a:xfrm>
            <a:prstGeom prst="line">
              <a:avLst/>
            </a:prstGeom>
            <a:noFill/>
            <a:ln w="12700">
              <a:solidFill>
                <a:srgbClr val="000000"/>
              </a:solidFill>
              <a:round/>
              <a:headEnd/>
              <a:tailEnd/>
            </a:ln>
          </xdr:spPr>
        </xdr:sp>
        <xdr:sp macro="" textlink="">
          <xdr:nvSpPr>
            <xdr:cNvPr id="79" name="Line 364"/>
            <xdr:cNvSpPr>
              <a:spLocks noChangeShapeType="1"/>
            </xdr:cNvSpPr>
          </xdr:nvSpPr>
          <xdr:spPr bwMode="auto">
            <a:xfrm flipV="1">
              <a:off x="1596" y="6897"/>
              <a:ext cx="0" cy="114"/>
            </a:xfrm>
            <a:prstGeom prst="line">
              <a:avLst/>
            </a:prstGeom>
            <a:noFill/>
            <a:ln w="12700">
              <a:solidFill>
                <a:srgbClr val="000000"/>
              </a:solidFill>
              <a:round/>
              <a:headEnd/>
              <a:tailEnd/>
            </a:ln>
          </xdr:spPr>
        </xdr:sp>
      </xdr:grpSp>
      <xdr:sp macro="" textlink="">
        <xdr:nvSpPr>
          <xdr:cNvPr id="50" name="Freeform 334"/>
          <xdr:cNvSpPr>
            <a:spLocks/>
          </xdr:cNvSpPr>
        </xdr:nvSpPr>
        <xdr:spPr bwMode="auto">
          <a:xfrm>
            <a:off x="601579" y="11926759"/>
            <a:ext cx="1991226" cy="960019"/>
          </a:xfrm>
          <a:custGeom>
            <a:avLst/>
            <a:gdLst/>
            <a:ahLst/>
            <a:cxnLst>
              <a:cxn ang="0">
                <a:pos x="0" y="0"/>
              </a:cxn>
              <a:cxn ang="0">
                <a:pos x="0" y="456"/>
              </a:cxn>
              <a:cxn ang="0">
                <a:pos x="3876" y="456"/>
              </a:cxn>
            </a:cxnLst>
            <a:rect l="0" t="0" r="r" b="b"/>
            <a:pathLst>
              <a:path w="3876" h="456">
                <a:moveTo>
                  <a:pt x="0" y="0"/>
                </a:moveTo>
                <a:lnTo>
                  <a:pt x="0" y="456"/>
                </a:lnTo>
                <a:lnTo>
                  <a:pt x="3876" y="456"/>
                </a:lnTo>
              </a:path>
            </a:pathLst>
          </a:custGeom>
          <a:noFill/>
          <a:ln w="12700" cmpd="sng">
            <a:solidFill>
              <a:srgbClr val="000000"/>
            </a:solidFill>
            <a:round/>
            <a:headEnd/>
            <a:tailEnd/>
          </a:ln>
        </xdr:spPr>
      </xdr:sp>
      <xdr:sp macro="" textlink="">
        <xdr:nvSpPr>
          <xdr:cNvPr id="51" name="Rectangle 283"/>
          <xdr:cNvSpPr>
            <a:spLocks noChangeArrowheads="1"/>
          </xdr:cNvSpPr>
        </xdr:nvSpPr>
        <xdr:spPr bwMode="auto">
          <a:xfrm rot="16200000">
            <a:off x="469761" y="12163857"/>
            <a:ext cx="260329" cy="106980"/>
          </a:xfrm>
          <a:prstGeom prst="rect">
            <a:avLst/>
          </a:prstGeom>
          <a:solidFill>
            <a:srgbClr val="FFFFFF"/>
          </a:solidFill>
          <a:ln w="12700">
            <a:solidFill>
              <a:srgbClr val="000000"/>
            </a:solidFill>
            <a:miter lim="800000"/>
            <a:headEnd/>
            <a:tailEnd/>
          </a:ln>
        </xdr:spPr>
      </xdr:sp>
      <xdr:grpSp>
        <xdr:nvGrpSpPr>
          <xdr:cNvPr id="52" name="Group 315"/>
          <xdr:cNvGrpSpPr>
            <a:grpSpLocks/>
          </xdr:cNvGrpSpPr>
        </xdr:nvGrpSpPr>
        <xdr:grpSpPr bwMode="auto">
          <a:xfrm>
            <a:off x="1208171" y="12778995"/>
            <a:ext cx="213961" cy="208264"/>
            <a:chOff x="6336" y="4032"/>
            <a:chExt cx="288" cy="288"/>
          </a:xfrm>
        </xdr:grpSpPr>
        <xdr:sp macro="" textlink="">
          <xdr:nvSpPr>
            <xdr:cNvPr id="74" name="Oval 316"/>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75" name="Rectangle 317"/>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53" name="Text Box 265"/>
          <xdr:cNvSpPr txBox="1">
            <a:spLocks noChangeArrowheads="1"/>
          </xdr:cNvSpPr>
        </xdr:nvSpPr>
        <xdr:spPr bwMode="auto">
          <a:xfrm>
            <a:off x="4279192" y="10718589"/>
            <a:ext cx="305386"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R</a:t>
            </a:r>
            <a:r>
              <a:rPr lang="en-GB" sz="900" b="0" i="0" u="none" strike="noStrike" baseline="-25000">
                <a:solidFill>
                  <a:srgbClr val="000000"/>
                </a:solidFill>
                <a:latin typeface="Arial"/>
                <a:cs typeface="Arial"/>
              </a:rPr>
              <a:t>SL</a:t>
            </a:r>
          </a:p>
        </xdr:txBody>
      </xdr:sp>
      <xdr:sp macro="" textlink="">
        <xdr:nvSpPr>
          <xdr:cNvPr id="54" name="Text Box 265"/>
          <xdr:cNvSpPr txBox="1">
            <a:spLocks noChangeArrowheads="1"/>
          </xdr:cNvSpPr>
        </xdr:nvSpPr>
        <xdr:spPr bwMode="auto">
          <a:xfrm>
            <a:off x="2836536" y="11791400"/>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R</a:t>
            </a:r>
            <a:r>
              <a:rPr lang="en-GB" sz="900" b="0" i="0" u="none" strike="noStrike" baseline="-25000">
                <a:solidFill>
                  <a:srgbClr val="000000"/>
                </a:solidFill>
                <a:latin typeface="Arial"/>
                <a:cs typeface="Arial"/>
              </a:rPr>
              <a:t>SLOPE</a:t>
            </a:r>
          </a:p>
        </xdr:txBody>
      </xdr:sp>
      <xdr:sp macro="" textlink="">
        <xdr:nvSpPr>
          <xdr:cNvPr id="55" name="Text Box 265"/>
          <xdr:cNvSpPr txBox="1">
            <a:spLocks noChangeArrowheads="1"/>
          </xdr:cNvSpPr>
        </xdr:nvSpPr>
        <xdr:spPr bwMode="auto">
          <a:xfrm>
            <a:off x="3508300" y="12362903"/>
            <a:ext cx="307625"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R</a:t>
            </a:r>
            <a:r>
              <a:rPr lang="en-GB" sz="900" b="0" i="0" u="none" strike="noStrike" baseline="-25000">
                <a:solidFill>
                  <a:srgbClr val="000000"/>
                </a:solidFill>
                <a:latin typeface="Arial"/>
                <a:cs typeface="Arial"/>
              </a:rPr>
              <a:t>SS</a:t>
            </a:r>
          </a:p>
        </xdr:txBody>
      </xdr:sp>
      <xdr:sp macro="" textlink="">
        <xdr:nvSpPr>
          <xdr:cNvPr id="56" name="Text Box 265"/>
          <xdr:cNvSpPr txBox="1">
            <a:spLocks noChangeArrowheads="1"/>
          </xdr:cNvSpPr>
        </xdr:nvSpPr>
        <xdr:spPr bwMode="auto">
          <a:xfrm>
            <a:off x="100261" y="12077153"/>
            <a:ext cx="446172"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R</a:t>
            </a:r>
            <a:r>
              <a:rPr lang="en-GB" sz="900" b="0" i="0" u="none" strike="noStrike" baseline="-25000">
                <a:solidFill>
                  <a:srgbClr val="000000"/>
                </a:solidFill>
                <a:latin typeface="Arial"/>
                <a:cs typeface="Arial"/>
              </a:rPr>
              <a:t>COMP</a:t>
            </a:r>
          </a:p>
        </xdr:txBody>
      </xdr:sp>
      <xdr:sp macro="" textlink="">
        <xdr:nvSpPr>
          <xdr:cNvPr id="57" name="Text Box 265"/>
          <xdr:cNvSpPr txBox="1">
            <a:spLocks noChangeArrowheads="1"/>
          </xdr:cNvSpPr>
        </xdr:nvSpPr>
        <xdr:spPr bwMode="auto">
          <a:xfrm>
            <a:off x="125325" y="11515680"/>
            <a:ext cx="516356"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C</a:t>
            </a:r>
            <a:r>
              <a:rPr lang="en-GB" sz="900" b="0" i="0" u="none" strike="noStrike" baseline="-25000">
                <a:solidFill>
                  <a:srgbClr val="000000"/>
                </a:solidFill>
                <a:latin typeface="Arial"/>
                <a:cs typeface="Arial"/>
              </a:rPr>
              <a:t>COMP</a:t>
            </a:r>
          </a:p>
        </xdr:txBody>
      </xdr:sp>
      <xdr:sp macro="" textlink="">
        <xdr:nvSpPr>
          <xdr:cNvPr id="58" name="Text Box 265"/>
          <xdr:cNvSpPr txBox="1">
            <a:spLocks noChangeArrowheads="1"/>
          </xdr:cNvSpPr>
        </xdr:nvSpPr>
        <xdr:spPr bwMode="auto">
          <a:xfrm>
            <a:off x="912394" y="12387969"/>
            <a:ext cx="305803"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R</a:t>
            </a:r>
            <a:r>
              <a:rPr lang="en-GB" sz="900" b="0" i="0" u="none" strike="noStrike" baseline="-25000">
                <a:solidFill>
                  <a:srgbClr val="000000"/>
                </a:solidFill>
                <a:latin typeface="Arial"/>
                <a:cs typeface="Arial"/>
              </a:rPr>
              <a:t>OSC</a:t>
            </a:r>
          </a:p>
        </xdr:txBody>
      </xdr:sp>
      <xdr:grpSp>
        <xdr:nvGrpSpPr>
          <xdr:cNvPr id="59" name="Group 357"/>
          <xdr:cNvGrpSpPr>
            <a:grpSpLocks/>
          </xdr:cNvGrpSpPr>
        </xdr:nvGrpSpPr>
        <xdr:grpSpPr bwMode="auto">
          <a:xfrm>
            <a:off x="3307773" y="11946812"/>
            <a:ext cx="213961" cy="208264"/>
            <a:chOff x="6336" y="4032"/>
            <a:chExt cx="288" cy="288"/>
          </a:xfrm>
        </xdr:grpSpPr>
        <xdr:sp macro="" textlink="">
          <xdr:nvSpPr>
            <xdr:cNvPr id="72" name="Oval 358"/>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73" name="Rectangle 359"/>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60" name="Text Box 265"/>
          <xdr:cNvSpPr txBox="1">
            <a:spLocks noChangeArrowheads="1"/>
          </xdr:cNvSpPr>
        </xdr:nvSpPr>
        <xdr:spPr bwMode="auto">
          <a:xfrm>
            <a:off x="4775486" y="11343979"/>
            <a:ext cx="465768" cy="155408"/>
          </a:xfrm>
          <a:prstGeom prst="rect">
            <a:avLst/>
          </a:prstGeom>
          <a:noFill/>
          <a:ln w="9525">
            <a:noFill/>
            <a:miter lim="800000"/>
            <a:headEnd/>
            <a:tailEnd/>
          </a:ln>
        </xdr:spPr>
        <xdr:txBody>
          <a:bodyPr vertOverflow="clip" wrap="square" lIns="0" tIns="0" rIns="0" bIns="0" anchor="t" upright="1"/>
          <a:lstStyle/>
          <a:p>
            <a:pPr algn="r" rtl="0">
              <a:defRPr sz="1000"/>
            </a:pPr>
            <a:r>
              <a:rPr lang="en-GB" sz="900" b="0" i="0" u="none" strike="noStrike" baseline="0">
                <a:solidFill>
                  <a:srgbClr val="000000"/>
                </a:solidFill>
                <a:latin typeface="Arial"/>
                <a:cs typeface="Arial"/>
              </a:rPr>
              <a:t>COUT</a:t>
            </a:r>
            <a:endParaRPr lang="en-GB" sz="900" b="0" i="0" u="none" strike="noStrike" baseline="-25000">
              <a:solidFill>
                <a:srgbClr val="000000"/>
              </a:solidFill>
              <a:latin typeface="Arial"/>
              <a:cs typeface="Arial"/>
            </a:endParaRPr>
          </a:p>
        </xdr:txBody>
      </xdr:sp>
      <xdr:sp macro="" textlink="">
        <xdr:nvSpPr>
          <xdr:cNvPr id="61" name="Text Box 265"/>
          <xdr:cNvSpPr txBox="1">
            <a:spLocks noChangeArrowheads="1"/>
          </xdr:cNvSpPr>
        </xdr:nvSpPr>
        <xdr:spPr bwMode="auto">
          <a:xfrm>
            <a:off x="1661027" y="11189165"/>
            <a:ext cx="601579" cy="360948"/>
          </a:xfrm>
          <a:prstGeom prst="rect">
            <a:avLst/>
          </a:prstGeom>
          <a:noFill/>
          <a:ln w="9525">
            <a:noFill/>
            <a:miter lim="800000"/>
            <a:headEnd/>
            <a:tailEnd/>
          </a:ln>
        </xdr:spPr>
        <xdr:txBody>
          <a:bodyPr vertOverflow="clip" wrap="square" lIns="0" tIns="0" rIns="0" bIns="0" anchor="t" upright="1"/>
          <a:lstStyle/>
          <a:p>
            <a:pPr algn="r" rtl="0">
              <a:defRPr sz="1000"/>
            </a:pPr>
            <a:r>
              <a:rPr lang="en-GB" sz="1400" b="1" i="0" u="none" strike="noStrike" baseline="0">
                <a:solidFill>
                  <a:srgbClr val="000000"/>
                </a:solidFill>
                <a:latin typeface="Arial"/>
                <a:cs typeface="Arial"/>
              </a:rPr>
              <a:t>A6271</a:t>
            </a:r>
            <a:endParaRPr lang="en-GB" sz="1400" b="1" i="0" u="none" strike="noStrike" baseline="-25000">
              <a:solidFill>
                <a:srgbClr val="000000"/>
              </a:solidFill>
              <a:latin typeface="Arial"/>
              <a:cs typeface="Arial"/>
            </a:endParaRPr>
          </a:p>
        </xdr:txBody>
      </xdr:sp>
      <xdr:sp macro="" textlink="">
        <xdr:nvSpPr>
          <xdr:cNvPr id="62" name="Text Box 265"/>
          <xdr:cNvSpPr txBox="1">
            <a:spLocks noChangeArrowheads="1"/>
          </xdr:cNvSpPr>
        </xdr:nvSpPr>
        <xdr:spPr bwMode="auto">
          <a:xfrm>
            <a:off x="1845177" y="10576223"/>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VIN</a:t>
            </a:r>
            <a:endParaRPr lang="en-GB" sz="900" b="0" i="0" u="none" strike="noStrike" baseline="-25000">
              <a:solidFill>
                <a:srgbClr val="000000"/>
              </a:solidFill>
              <a:latin typeface="Arial"/>
              <a:cs typeface="Arial"/>
            </a:endParaRPr>
          </a:p>
        </xdr:txBody>
      </xdr:sp>
      <xdr:sp macro="" textlink="">
        <xdr:nvSpPr>
          <xdr:cNvPr id="63" name="Text Box 265"/>
          <xdr:cNvSpPr txBox="1">
            <a:spLocks noChangeArrowheads="1"/>
          </xdr:cNvSpPr>
        </xdr:nvSpPr>
        <xdr:spPr bwMode="auto">
          <a:xfrm>
            <a:off x="2296027" y="10601623"/>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LP</a:t>
            </a:r>
            <a:endParaRPr lang="en-GB" sz="900" b="0" i="0" u="none" strike="noStrike" baseline="-25000">
              <a:solidFill>
                <a:srgbClr val="000000"/>
              </a:solidFill>
              <a:latin typeface="Arial"/>
              <a:cs typeface="Arial"/>
            </a:endParaRPr>
          </a:p>
        </xdr:txBody>
      </xdr:sp>
      <xdr:sp macro="" textlink="">
        <xdr:nvSpPr>
          <xdr:cNvPr id="64" name="Text Box 265"/>
          <xdr:cNvSpPr txBox="1">
            <a:spLocks noChangeArrowheads="1"/>
          </xdr:cNvSpPr>
        </xdr:nvSpPr>
        <xdr:spPr bwMode="auto">
          <a:xfrm>
            <a:off x="2283327" y="11046123"/>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LN</a:t>
            </a:r>
            <a:endParaRPr lang="en-GB" sz="900" b="0" i="0" u="none" strike="noStrike" baseline="-25000">
              <a:solidFill>
                <a:srgbClr val="000000"/>
              </a:solidFill>
              <a:latin typeface="Arial"/>
              <a:cs typeface="Arial"/>
            </a:endParaRPr>
          </a:p>
        </xdr:txBody>
      </xdr:sp>
      <xdr:sp macro="" textlink="">
        <xdr:nvSpPr>
          <xdr:cNvPr id="65" name="Text Box 265"/>
          <xdr:cNvSpPr txBox="1">
            <a:spLocks noChangeArrowheads="1"/>
          </xdr:cNvSpPr>
        </xdr:nvSpPr>
        <xdr:spPr bwMode="auto">
          <a:xfrm>
            <a:off x="2270627" y="11604923"/>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SG</a:t>
            </a:r>
            <a:endParaRPr lang="en-GB" sz="900" b="0" i="0" u="none" strike="noStrike" baseline="-25000">
              <a:solidFill>
                <a:srgbClr val="000000"/>
              </a:solidFill>
              <a:latin typeface="Arial"/>
              <a:cs typeface="Arial"/>
            </a:endParaRPr>
          </a:p>
        </xdr:txBody>
      </xdr:sp>
      <xdr:sp macro="" textlink="">
        <xdr:nvSpPr>
          <xdr:cNvPr id="66" name="Text Box 265"/>
          <xdr:cNvSpPr txBox="1">
            <a:spLocks noChangeArrowheads="1"/>
          </xdr:cNvSpPr>
        </xdr:nvSpPr>
        <xdr:spPr bwMode="auto">
          <a:xfrm>
            <a:off x="2283327" y="11979573"/>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SP</a:t>
            </a:r>
            <a:endParaRPr lang="en-GB" sz="900" b="0" i="0" u="none" strike="noStrike" baseline="-25000">
              <a:solidFill>
                <a:srgbClr val="000000"/>
              </a:solidFill>
              <a:latin typeface="Arial"/>
              <a:cs typeface="Arial"/>
            </a:endParaRPr>
          </a:p>
        </xdr:txBody>
      </xdr:sp>
      <xdr:sp macro="" textlink="">
        <xdr:nvSpPr>
          <xdr:cNvPr id="67" name="Text Box 265"/>
          <xdr:cNvSpPr txBox="1">
            <a:spLocks noChangeArrowheads="1"/>
          </xdr:cNvSpPr>
        </xdr:nvSpPr>
        <xdr:spPr bwMode="auto">
          <a:xfrm>
            <a:off x="1521327" y="11427123"/>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COMP</a:t>
            </a:r>
            <a:endParaRPr lang="en-GB" sz="900" b="0" i="0" u="none" strike="noStrike" baseline="-25000">
              <a:solidFill>
                <a:srgbClr val="000000"/>
              </a:solidFill>
              <a:latin typeface="Arial"/>
              <a:cs typeface="Arial"/>
            </a:endParaRPr>
          </a:p>
        </xdr:txBody>
      </xdr:sp>
      <xdr:sp macro="" textlink="">
        <xdr:nvSpPr>
          <xdr:cNvPr id="68" name="Text Box 265"/>
          <xdr:cNvSpPr txBox="1">
            <a:spLocks noChangeArrowheads="1"/>
          </xdr:cNvSpPr>
        </xdr:nvSpPr>
        <xdr:spPr bwMode="auto">
          <a:xfrm>
            <a:off x="1502277" y="12335173"/>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OSC</a:t>
            </a:r>
            <a:endParaRPr lang="en-GB" sz="900" b="0" i="0" u="none" strike="noStrike" baseline="-25000">
              <a:solidFill>
                <a:srgbClr val="000000"/>
              </a:solidFill>
              <a:latin typeface="Arial"/>
              <a:cs typeface="Arial"/>
            </a:endParaRPr>
          </a:p>
        </xdr:txBody>
      </xdr:sp>
      <xdr:sp macro="" textlink="">
        <xdr:nvSpPr>
          <xdr:cNvPr id="69" name="Rectangle 283"/>
          <xdr:cNvSpPr>
            <a:spLocks noChangeArrowheads="1"/>
          </xdr:cNvSpPr>
        </xdr:nvSpPr>
        <xdr:spPr bwMode="auto">
          <a:xfrm>
            <a:off x="2907723" y="11058814"/>
            <a:ext cx="260329" cy="106980"/>
          </a:xfrm>
          <a:prstGeom prst="rect">
            <a:avLst/>
          </a:prstGeom>
          <a:solidFill>
            <a:srgbClr val="FFFFFF"/>
          </a:solidFill>
          <a:ln w="12700">
            <a:solidFill>
              <a:srgbClr val="000000"/>
            </a:solidFill>
            <a:miter lim="800000"/>
            <a:headEnd/>
            <a:tailEnd/>
          </a:ln>
        </xdr:spPr>
      </xdr:sp>
      <xdr:sp macro="" textlink="">
        <xdr:nvSpPr>
          <xdr:cNvPr id="70" name="Text Box 265"/>
          <xdr:cNvSpPr txBox="1">
            <a:spLocks noChangeArrowheads="1"/>
          </xdr:cNvSpPr>
        </xdr:nvSpPr>
        <xdr:spPr bwMode="auto">
          <a:xfrm>
            <a:off x="2711450" y="11198514"/>
            <a:ext cx="689901" cy="261113"/>
          </a:xfrm>
          <a:prstGeom prst="rect">
            <a:avLst/>
          </a:prstGeom>
          <a:noFill/>
          <a:ln w="9525">
            <a:noFill/>
            <a:miter lim="800000"/>
            <a:headEnd/>
            <a:tailEnd/>
          </a:ln>
        </xdr:spPr>
        <xdr:txBody>
          <a:bodyPr vertOverflow="clip" wrap="square" lIns="0" tIns="0" rIns="0" bIns="0" anchor="t" upright="1"/>
          <a:lstStyle/>
          <a:p>
            <a:pPr algn="l" rtl="0">
              <a:defRPr sz="1000"/>
            </a:pPr>
            <a:r>
              <a:rPr lang="en-GB" sz="1000" b="0" i="0" u="none" strike="noStrike" baseline="0">
                <a:solidFill>
                  <a:srgbClr val="000000"/>
                </a:solidFill>
                <a:latin typeface="Arial"/>
                <a:cs typeface="Arial"/>
              </a:rPr>
              <a:t>150</a:t>
            </a:r>
            <a:r>
              <a:rPr lang="el-GR" sz="1000" b="0" i="0" u="none" strike="noStrike" baseline="0">
                <a:solidFill>
                  <a:srgbClr val="000000"/>
                </a:solidFill>
                <a:latin typeface="Arial"/>
                <a:cs typeface="Arial"/>
              </a:rPr>
              <a:t>Ω</a:t>
            </a:r>
            <a:endParaRPr lang="en-GB" sz="1000" b="0" i="0" u="none" strike="noStrike" baseline="0">
              <a:solidFill>
                <a:srgbClr val="000000"/>
              </a:solidFill>
              <a:latin typeface="Arial"/>
              <a:cs typeface="Arial"/>
            </a:endParaRPr>
          </a:p>
        </xdr:txBody>
      </xdr:sp>
      <xdr:sp macro="" textlink="">
        <xdr:nvSpPr>
          <xdr:cNvPr id="71" name="Text Box 265"/>
          <xdr:cNvSpPr txBox="1">
            <a:spLocks noChangeArrowheads="1"/>
          </xdr:cNvSpPr>
        </xdr:nvSpPr>
        <xdr:spPr bwMode="auto">
          <a:xfrm>
            <a:off x="5143498" y="12809453"/>
            <a:ext cx="697834" cy="261113"/>
          </a:xfrm>
          <a:prstGeom prst="rect">
            <a:avLst/>
          </a:prstGeom>
          <a:noFill/>
          <a:ln w="9525">
            <a:noFill/>
            <a:miter lim="800000"/>
            <a:headEnd/>
            <a:tailEnd/>
          </a:ln>
        </xdr:spPr>
        <xdr:txBody>
          <a:bodyPr vertOverflow="clip" wrap="square" lIns="0" tIns="0" rIns="0" bIns="0" anchor="t" upright="1"/>
          <a:lstStyle/>
          <a:p>
            <a:pPr algn="l" rtl="0">
              <a:defRPr sz="1000"/>
            </a:pPr>
            <a:r>
              <a:rPr lang="en-GB" sz="1000" b="0" i="0" u="none" strike="noStrike" baseline="0">
                <a:solidFill>
                  <a:srgbClr val="000000"/>
                </a:solidFill>
                <a:latin typeface="Arial"/>
                <a:cs typeface="Arial"/>
              </a:rPr>
              <a:t>VBAT: 12V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20321</xdr:colOff>
      <xdr:row>28</xdr:row>
      <xdr:rowOff>57786</xdr:rowOff>
    </xdr:from>
    <xdr:to>
      <xdr:col>11</xdr:col>
      <xdr:colOff>325120</xdr:colOff>
      <xdr:row>47</xdr:row>
      <xdr:rowOff>49848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100261</xdr:colOff>
      <xdr:row>47</xdr:row>
      <xdr:rowOff>30619</xdr:rowOff>
    </xdr:from>
    <xdr:to>
      <xdr:col>4</xdr:col>
      <xdr:colOff>383504</xdr:colOff>
      <xdr:row>62</xdr:row>
      <xdr:rowOff>88809</xdr:rowOff>
    </xdr:to>
    <xdr:grpSp>
      <xdr:nvGrpSpPr>
        <xdr:cNvPr id="3" name="Group 2"/>
        <xdr:cNvGrpSpPr/>
      </xdr:nvGrpSpPr>
      <xdr:grpSpPr>
        <a:xfrm>
          <a:off x="100261" y="8749169"/>
          <a:ext cx="5229893" cy="2820440"/>
          <a:chOff x="100261" y="9031744"/>
          <a:chExt cx="5055268" cy="2915690"/>
        </a:xfrm>
      </xdr:grpSpPr>
      <xdr:sp macro="" textlink="">
        <xdr:nvSpPr>
          <xdr:cNvPr id="4" name="Freeform 385"/>
          <xdr:cNvSpPr>
            <a:spLocks/>
          </xdr:cNvSpPr>
        </xdr:nvSpPr>
        <xdr:spPr bwMode="auto">
          <a:xfrm flipH="1">
            <a:off x="1132973" y="9135980"/>
            <a:ext cx="172544" cy="225592"/>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sp macro="" textlink="">
        <xdr:nvSpPr>
          <xdr:cNvPr id="5" name="Text Box 265"/>
          <xdr:cNvSpPr txBox="1">
            <a:spLocks noChangeArrowheads="1"/>
          </xdr:cNvSpPr>
        </xdr:nvSpPr>
        <xdr:spPr bwMode="auto">
          <a:xfrm>
            <a:off x="152400" y="9080406"/>
            <a:ext cx="699833" cy="261113"/>
          </a:xfrm>
          <a:prstGeom prst="rect">
            <a:avLst/>
          </a:prstGeom>
          <a:noFill/>
          <a:ln w="9525">
            <a:noFill/>
            <a:miter lim="800000"/>
            <a:headEnd/>
            <a:tailEnd/>
          </a:ln>
        </xdr:spPr>
        <xdr:txBody>
          <a:bodyPr vertOverflow="clip" wrap="square" lIns="0" tIns="0" rIns="0" bIns="0" anchor="t" upright="1"/>
          <a:lstStyle/>
          <a:p>
            <a:pPr algn="l" rtl="0">
              <a:defRPr sz="1000"/>
            </a:pPr>
            <a:r>
              <a:rPr lang="en-GB" sz="1000" b="0" i="0" u="none" strike="noStrike" baseline="0">
                <a:solidFill>
                  <a:srgbClr val="000000"/>
                </a:solidFill>
                <a:latin typeface="Arial"/>
                <a:cs typeface="Arial"/>
              </a:rPr>
              <a:t>VBAT: 12V </a:t>
            </a:r>
          </a:p>
        </xdr:txBody>
      </xdr:sp>
      <xdr:grpSp>
        <xdr:nvGrpSpPr>
          <xdr:cNvPr id="6" name="Group 269"/>
          <xdr:cNvGrpSpPr>
            <a:grpSpLocks/>
          </xdr:cNvGrpSpPr>
        </xdr:nvGrpSpPr>
        <xdr:grpSpPr bwMode="auto">
          <a:xfrm>
            <a:off x="3483053" y="10471688"/>
            <a:ext cx="425119" cy="104132"/>
            <a:chOff x="1767" y="1311"/>
            <a:chExt cx="2394" cy="399"/>
          </a:xfrm>
        </xdr:grpSpPr>
        <xdr:sp macro="" textlink="">
          <xdr:nvSpPr>
            <xdr:cNvPr id="118" name="Arc 270"/>
            <xdr:cNvSpPr>
              <a:spLocks/>
            </xdr:cNvSpPr>
          </xdr:nvSpPr>
          <xdr:spPr bwMode="auto">
            <a:xfrm>
              <a:off x="3762"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sp macro="" textlink="">
          <xdr:nvSpPr>
            <xdr:cNvPr id="119" name="Arc 271"/>
            <xdr:cNvSpPr>
              <a:spLocks/>
            </xdr:cNvSpPr>
          </xdr:nvSpPr>
          <xdr:spPr bwMode="auto">
            <a:xfrm flipH="1">
              <a:off x="3363"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sp macro="" textlink="">
          <xdr:nvSpPr>
            <xdr:cNvPr id="120" name="Arc 272"/>
            <xdr:cNvSpPr>
              <a:spLocks/>
            </xdr:cNvSpPr>
          </xdr:nvSpPr>
          <xdr:spPr bwMode="auto">
            <a:xfrm>
              <a:off x="2964"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sp macro="" textlink="">
          <xdr:nvSpPr>
            <xdr:cNvPr id="121" name="Arc 273"/>
            <xdr:cNvSpPr>
              <a:spLocks/>
            </xdr:cNvSpPr>
          </xdr:nvSpPr>
          <xdr:spPr bwMode="auto">
            <a:xfrm flipH="1">
              <a:off x="2565"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sp macro="" textlink="">
          <xdr:nvSpPr>
            <xdr:cNvPr id="122" name="Arc 274"/>
            <xdr:cNvSpPr>
              <a:spLocks/>
            </xdr:cNvSpPr>
          </xdr:nvSpPr>
          <xdr:spPr bwMode="auto">
            <a:xfrm>
              <a:off x="2166"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sp macro="" textlink="">
          <xdr:nvSpPr>
            <xdr:cNvPr id="123" name="Arc 275"/>
            <xdr:cNvSpPr>
              <a:spLocks/>
            </xdr:cNvSpPr>
          </xdr:nvSpPr>
          <xdr:spPr bwMode="auto">
            <a:xfrm flipH="1">
              <a:off x="1767" y="1311"/>
              <a:ext cx="399" cy="399"/>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19050">
              <a:solidFill>
                <a:srgbClr val="000000"/>
              </a:solidFill>
              <a:round/>
              <a:headEnd/>
              <a:tailEnd/>
            </a:ln>
          </xdr:spPr>
        </xdr:sp>
      </xdr:grpSp>
      <xdr:sp macro="" textlink="">
        <xdr:nvSpPr>
          <xdr:cNvPr id="7" name="Rectangle 280"/>
          <xdr:cNvSpPr>
            <a:spLocks noChangeArrowheads="1"/>
          </xdr:cNvSpPr>
        </xdr:nvSpPr>
        <xdr:spPr bwMode="auto">
          <a:xfrm>
            <a:off x="1472916" y="9396205"/>
            <a:ext cx="1016313" cy="2082636"/>
          </a:xfrm>
          <a:prstGeom prst="rect">
            <a:avLst/>
          </a:prstGeom>
          <a:solidFill>
            <a:schemeClr val="bg1">
              <a:lumMod val="75000"/>
            </a:schemeClr>
          </a:solidFill>
          <a:ln w="28575">
            <a:solidFill>
              <a:srgbClr val="000000"/>
            </a:solidFill>
            <a:miter lim="800000"/>
            <a:headEnd/>
            <a:tailEnd/>
          </a:ln>
        </xdr:spPr>
      </xdr:sp>
      <xdr:sp macro="" textlink="">
        <xdr:nvSpPr>
          <xdr:cNvPr id="8" name="Freeform 281"/>
          <xdr:cNvSpPr>
            <a:spLocks/>
          </xdr:cNvSpPr>
        </xdr:nvSpPr>
        <xdr:spPr bwMode="auto">
          <a:xfrm flipH="1">
            <a:off x="1312445" y="11270577"/>
            <a:ext cx="160470" cy="468593"/>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sp macro="" textlink="">
        <xdr:nvSpPr>
          <xdr:cNvPr id="9" name="Rectangle 283"/>
          <xdr:cNvSpPr>
            <a:spLocks noChangeArrowheads="1"/>
          </xdr:cNvSpPr>
        </xdr:nvSpPr>
        <xdr:spPr bwMode="auto">
          <a:xfrm rot="16200000">
            <a:off x="1181811" y="11451841"/>
            <a:ext cx="260329" cy="106980"/>
          </a:xfrm>
          <a:prstGeom prst="rect">
            <a:avLst/>
          </a:prstGeom>
          <a:solidFill>
            <a:srgbClr val="FFFFFF"/>
          </a:solidFill>
          <a:ln w="12700">
            <a:solidFill>
              <a:srgbClr val="000000"/>
            </a:solidFill>
            <a:miter lim="800000"/>
            <a:headEnd/>
            <a:tailEnd/>
          </a:ln>
        </xdr:spPr>
      </xdr:sp>
      <xdr:grpSp>
        <xdr:nvGrpSpPr>
          <xdr:cNvPr id="10" name="Group 287"/>
          <xdr:cNvGrpSpPr>
            <a:grpSpLocks/>
          </xdr:cNvGrpSpPr>
        </xdr:nvGrpSpPr>
        <xdr:grpSpPr bwMode="auto">
          <a:xfrm>
            <a:off x="3222596" y="9036280"/>
            <a:ext cx="213961" cy="208264"/>
            <a:chOff x="6336" y="4032"/>
            <a:chExt cx="288" cy="288"/>
          </a:xfrm>
        </xdr:grpSpPr>
        <xdr:sp macro="" textlink="">
          <xdr:nvSpPr>
            <xdr:cNvPr id="116" name="Oval 288"/>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17" name="Rectangle 289"/>
            <xdr:cNvSpPr>
              <a:spLocks noChangeArrowheads="1"/>
            </xdr:cNvSpPr>
          </xdr:nvSpPr>
          <xdr:spPr bwMode="auto">
            <a:xfrm>
              <a:off x="6336" y="4032"/>
              <a:ext cx="288" cy="288"/>
            </a:xfrm>
            <a:prstGeom prst="rect">
              <a:avLst/>
            </a:prstGeom>
            <a:noFill/>
            <a:ln w="9525">
              <a:noFill/>
              <a:miter lim="800000"/>
              <a:headEnd/>
              <a:tailEnd/>
            </a:ln>
          </xdr:spPr>
        </xdr:sp>
      </xdr:grpSp>
      <xdr:grpSp>
        <xdr:nvGrpSpPr>
          <xdr:cNvPr id="11" name="Group 294"/>
          <xdr:cNvGrpSpPr>
            <a:grpSpLocks/>
          </xdr:cNvGrpSpPr>
        </xdr:nvGrpSpPr>
        <xdr:grpSpPr bwMode="auto">
          <a:xfrm>
            <a:off x="3111080" y="11843302"/>
            <a:ext cx="213961" cy="104132"/>
            <a:chOff x="4731" y="2337"/>
            <a:chExt cx="342" cy="114"/>
          </a:xfrm>
        </xdr:grpSpPr>
        <xdr:sp macro="" textlink="">
          <xdr:nvSpPr>
            <xdr:cNvPr id="113" name="Line 295"/>
            <xdr:cNvSpPr>
              <a:spLocks noChangeShapeType="1"/>
            </xdr:cNvSpPr>
          </xdr:nvSpPr>
          <xdr:spPr bwMode="auto">
            <a:xfrm>
              <a:off x="4731" y="2337"/>
              <a:ext cx="342" cy="0"/>
            </a:xfrm>
            <a:prstGeom prst="line">
              <a:avLst/>
            </a:prstGeom>
            <a:noFill/>
            <a:ln w="12700">
              <a:solidFill>
                <a:srgbClr val="000000"/>
              </a:solidFill>
              <a:round/>
              <a:headEnd/>
              <a:tailEnd/>
            </a:ln>
          </xdr:spPr>
        </xdr:sp>
        <xdr:sp macro="" textlink="">
          <xdr:nvSpPr>
            <xdr:cNvPr id="114" name="Line 296"/>
            <xdr:cNvSpPr>
              <a:spLocks noChangeShapeType="1"/>
            </xdr:cNvSpPr>
          </xdr:nvSpPr>
          <xdr:spPr bwMode="auto">
            <a:xfrm>
              <a:off x="4788" y="2394"/>
              <a:ext cx="228" cy="0"/>
            </a:xfrm>
            <a:prstGeom prst="line">
              <a:avLst/>
            </a:prstGeom>
            <a:noFill/>
            <a:ln w="12700">
              <a:solidFill>
                <a:srgbClr val="000000"/>
              </a:solidFill>
              <a:round/>
              <a:headEnd/>
              <a:tailEnd/>
            </a:ln>
          </xdr:spPr>
        </xdr:sp>
        <xdr:sp macro="" textlink="">
          <xdr:nvSpPr>
            <xdr:cNvPr id="115" name="Line 297"/>
            <xdr:cNvSpPr>
              <a:spLocks noChangeShapeType="1"/>
            </xdr:cNvSpPr>
          </xdr:nvSpPr>
          <xdr:spPr bwMode="auto">
            <a:xfrm>
              <a:off x="4845" y="2451"/>
              <a:ext cx="114" cy="0"/>
            </a:xfrm>
            <a:prstGeom prst="line">
              <a:avLst/>
            </a:prstGeom>
            <a:noFill/>
            <a:ln w="12700">
              <a:solidFill>
                <a:srgbClr val="000000"/>
              </a:solidFill>
              <a:round/>
              <a:headEnd/>
              <a:tailEnd/>
            </a:ln>
          </xdr:spPr>
        </xdr:sp>
      </xdr:grpSp>
      <xdr:grpSp>
        <xdr:nvGrpSpPr>
          <xdr:cNvPr id="12" name="Group 298"/>
          <xdr:cNvGrpSpPr>
            <a:grpSpLocks/>
          </xdr:cNvGrpSpPr>
        </xdr:nvGrpSpPr>
        <xdr:grpSpPr bwMode="auto">
          <a:xfrm>
            <a:off x="1885798" y="9031744"/>
            <a:ext cx="213961" cy="208264"/>
            <a:chOff x="6336" y="4032"/>
            <a:chExt cx="288" cy="288"/>
          </a:xfrm>
        </xdr:grpSpPr>
        <xdr:sp macro="" textlink="">
          <xdr:nvSpPr>
            <xdr:cNvPr id="111" name="Oval 299"/>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12" name="Rectangle 300"/>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13" name="Line 302"/>
          <xdr:cNvSpPr>
            <a:spLocks noChangeShapeType="1"/>
          </xdr:cNvSpPr>
        </xdr:nvSpPr>
        <xdr:spPr bwMode="auto">
          <a:xfrm>
            <a:off x="3164570" y="10705465"/>
            <a:ext cx="0" cy="208264"/>
          </a:xfrm>
          <a:prstGeom prst="line">
            <a:avLst/>
          </a:prstGeom>
          <a:noFill/>
          <a:ln w="9525">
            <a:solidFill>
              <a:srgbClr val="000000"/>
            </a:solidFill>
            <a:round/>
            <a:headEnd/>
            <a:tailEnd/>
          </a:ln>
        </xdr:spPr>
      </xdr:sp>
      <xdr:sp macro="" textlink="">
        <xdr:nvSpPr>
          <xdr:cNvPr id="14" name="Line 303"/>
          <xdr:cNvSpPr>
            <a:spLocks noChangeShapeType="1"/>
          </xdr:cNvSpPr>
        </xdr:nvSpPr>
        <xdr:spPr bwMode="auto">
          <a:xfrm flipH="1" flipV="1">
            <a:off x="2489229" y="10809596"/>
            <a:ext cx="675077" cy="2231"/>
          </a:xfrm>
          <a:prstGeom prst="line">
            <a:avLst/>
          </a:prstGeom>
          <a:noFill/>
          <a:ln w="9525">
            <a:solidFill>
              <a:srgbClr val="000000"/>
            </a:solidFill>
            <a:round/>
            <a:headEnd/>
            <a:tailEnd/>
          </a:ln>
        </xdr:spPr>
      </xdr:sp>
      <xdr:sp macro="" textlink="">
        <xdr:nvSpPr>
          <xdr:cNvPr id="15" name="Freeform 304"/>
          <xdr:cNvSpPr>
            <a:spLocks/>
          </xdr:cNvSpPr>
        </xdr:nvSpPr>
        <xdr:spPr bwMode="auto">
          <a:xfrm>
            <a:off x="3218060" y="10601333"/>
            <a:ext cx="106980" cy="416527"/>
          </a:xfrm>
          <a:custGeom>
            <a:avLst/>
            <a:gdLst/>
            <a:ahLst/>
            <a:cxnLst>
              <a:cxn ang="0">
                <a:pos x="57" y="0"/>
              </a:cxn>
              <a:cxn ang="0">
                <a:pos x="57" y="114"/>
              </a:cxn>
              <a:cxn ang="0">
                <a:pos x="0" y="114"/>
              </a:cxn>
              <a:cxn ang="0">
                <a:pos x="0" y="342"/>
              </a:cxn>
              <a:cxn ang="0">
                <a:pos x="57" y="342"/>
              </a:cxn>
              <a:cxn ang="0">
                <a:pos x="57" y="456"/>
              </a:cxn>
            </a:cxnLst>
            <a:rect l="0" t="0" r="r" b="b"/>
            <a:pathLst>
              <a:path w="57" h="456">
                <a:moveTo>
                  <a:pt x="57" y="0"/>
                </a:moveTo>
                <a:lnTo>
                  <a:pt x="57" y="114"/>
                </a:lnTo>
                <a:lnTo>
                  <a:pt x="0" y="114"/>
                </a:lnTo>
                <a:lnTo>
                  <a:pt x="0" y="342"/>
                </a:lnTo>
                <a:lnTo>
                  <a:pt x="57" y="342"/>
                </a:lnTo>
                <a:lnTo>
                  <a:pt x="57" y="456"/>
                </a:lnTo>
              </a:path>
            </a:pathLst>
          </a:custGeom>
          <a:noFill/>
          <a:ln w="12700" cmpd="sng">
            <a:solidFill>
              <a:srgbClr val="000000"/>
            </a:solidFill>
            <a:round/>
            <a:headEnd/>
            <a:tailEnd/>
          </a:ln>
        </xdr:spPr>
      </xdr:sp>
      <xdr:sp macro="" textlink="">
        <xdr:nvSpPr>
          <xdr:cNvPr id="16" name="Line 305"/>
          <xdr:cNvSpPr>
            <a:spLocks noChangeShapeType="1"/>
          </xdr:cNvSpPr>
        </xdr:nvSpPr>
        <xdr:spPr bwMode="auto">
          <a:xfrm flipH="1">
            <a:off x="3322408" y="10913269"/>
            <a:ext cx="1817" cy="825901"/>
          </a:xfrm>
          <a:prstGeom prst="line">
            <a:avLst/>
          </a:prstGeom>
          <a:noFill/>
          <a:ln w="12700">
            <a:solidFill>
              <a:srgbClr val="000000"/>
            </a:solidFill>
            <a:round/>
            <a:headEnd/>
            <a:tailEnd/>
          </a:ln>
        </xdr:spPr>
      </xdr:sp>
      <xdr:sp macro="" textlink="">
        <xdr:nvSpPr>
          <xdr:cNvPr id="17" name="Rectangle 306"/>
          <xdr:cNvSpPr>
            <a:spLocks noChangeArrowheads="1"/>
          </xdr:cNvSpPr>
        </xdr:nvSpPr>
        <xdr:spPr bwMode="auto">
          <a:xfrm rot="16200000">
            <a:off x="3194406" y="11383370"/>
            <a:ext cx="260329" cy="106980"/>
          </a:xfrm>
          <a:prstGeom prst="rect">
            <a:avLst/>
          </a:prstGeom>
          <a:solidFill>
            <a:srgbClr val="FFFFFF"/>
          </a:solidFill>
          <a:ln w="12700">
            <a:solidFill>
              <a:srgbClr val="000000"/>
            </a:solidFill>
            <a:miter lim="800000"/>
            <a:headEnd/>
            <a:tailEnd/>
          </a:ln>
        </xdr:spPr>
      </xdr:sp>
      <xdr:sp macro="" textlink="">
        <xdr:nvSpPr>
          <xdr:cNvPr id="18" name="Line 307"/>
          <xdr:cNvSpPr>
            <a:spLocks noChangeShapeType="1"/>
          </xdr:cNvSpPr>
        </xdr:nvSpPr>
        <xdr:spPr bwMode="auto">
          <a:xfrm flipH="1">
            <a:off x="2489227" y="11200463"/>
            <a:ext cx="855551" cy="491"/>
          </a:xfrm>
          <a:prstGeom prst="line">
            <a:avLst/>
          </a:prstGeom>
          <a:noFill/>
          <a:ln w="12700">
            <a:solidFill>
              <a:srgbClr val="000000"/>
            </a:solidFill>
            <a:round/>
            <a:headEnd/>
            <a:tailEnd/>
          </a:ln>
        </xdr:spPr>
      </xdr:sp>
      <xdr:grpSp>
        <xdr:nvGrpSpPr>
          <xdr:cNvPr id="19" name="Group 315"/>
          <xdr:cNvGrpSpPr>
            <a:grpSpLocks/>
          </xdr:cNvGrpSpPr>
        </xdr:nvGrpSpPr>
        <xdr:grpSpPr bwMode="auto">
          <a:xfrm>
            <a:off x="1954327" y="11635039"/>
            <a:ext cx="213961" cy="208264"/>
            <a:chOff x="6336" y="4032"/>
            <a:chExt cx="288" cy="288"/>
          </a:xfrm>
        </xdr:grpSpPr>
        <xdr:sp macro="" textlink="">
          <xdr:nvSpPr>
            <xdr:cNvPr id="109" name="Oval 316"/>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10" name="Rectangle 317"/>
            <xdr:cNvSpPr>
              <a:spLocks noChangeArrowheads="1"/>
            </xdr:cNvSpPr>
          </xdr:nvSpPr>
          <xdr:spPr bwMode="auto">
            <a:xfrm>
              <a:off x="6336" y="4032"/>
              <a:ext cx="288" cy="288"/>
            </a:xfrm>
            <a:prstGeom prst="rect">
              <a:avLst/>
            </a:prstGeom>
            <a:noFill/>
            <a:ln w="9525">
              <a:noFill/>
              <a:miter lim="800000"/>
              <a:headEnd/>
              <a:tailEnd/>
            </a:ln>
          </xdr:spPr>
        </xdr:sp>
      </xdr:grpSp>
      <xdr:grpSp>
        <xdr:nvGrpSpPr>
          <xdr:cNvPr id="20" name="Group 318"/>
          <xdr:cNvGrpSpPr>
            <a:grpSpLocks/>
          </xdr:cNvGrpSpPr>
        </xdr:nvGrpSpPr>
        <xdr:grpSpPr bwMode="auto">
          <a:xfrm flipV="1">
            <a:off x="3927177" y="9421077"/>
            <a:ext cx="213961" cy="208264"/>
            <a:chOff x="6336" y="4032"/>
            <a:chExt cx="288" cy="288"/>
          </a:xfrm>
        </xdr:grpSpPr>
        <xdr:sp macro="" textlink="">
          <xdr:nvSpPr>
            <xdr:cNvPr id="107" name="Oval 319"/>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08" name="Rectangle 320"/>
            <xdr:cNvSpPr>
              <a:spLocks noChangeArrowheads="1"/>
            </xdr:cNvSpPr>
          </xdr:nvSpPr>
          <xdr:spPr bwMode="auto">
            <a:xfrm>
              <a:off x="6336" y="4032"/>
              <a:ext cx="288" cy="288"/>
            </a:xfrm>
            <a:prstGeom prst="rect">
              <a:avLst/>
            </a:prstGeom>
            <a:noFill/>
            <a:ln w="9525">
              <a:noFill/>
              <a:miter lim="800000"/>
              <a:headEnd/>
              <a:tailEnd/>
            </a:ln>
          </xdr:spPr>
        </xdr:sp>
      </xdr:grpSp>
      <xdr:grpSp>
        <xdr:nvGrpSpPr>
          <xdr:cNvPr id="21" name="Group 322"/>
          <xdr:cNvGrpSpPr>
            <a:grpSpLocks/>
          </xdr:cNvGrpSpPr>
        </xdr:nvGrpSpPr>
        <xdr:grpSpPr bwMode="auto">
          <a:xfrm rot="16200000">
            <a:off x="3224040" y="9617915"/>
            <a:ext cx="213828" cy="208264"/>
            <a:chOff x="7410" y="14079"/>
            <a:chExt cx="228" cy="228"/>
          </a:xfrm>
        </xdr:grpSpPr>
        <xdr:sp macro="" textlink="">
          <xdr:nvSpPr>
            <xdr:cNvPr id="105" name="Freeform 323"/>
            <xdr:cNvSpPr>
              <a:spLocks/>
            </xdr:cNvSpPr>
          </xdr:nvSpPr>
          <xdr:spPr bwMode="auto">
            <a:xfrm rot="5400000" flipV="1">
              <a:off x="7382" y="14107"/>
              <a:ext cx="228" cy="171"/>
            </a:xfrm>
            <a:custGeom>
              <a:avLst/>
              <a:gdLst/>
              <a:ahLst/>
              <a:cxnLst>
                <a:cxn ang="0">
                  <a:pos x="0" y="0"/>
                </a:cxn>
                <a:cxn ang="0">
                  <a:pos x="228" y="0"/>
                </a:cxn>
                <a:cxn ang="0">
                  <a:pos x="114" y="171"/>
                </a:cxn>
                <a:cxn ang="0">
                  <a:pos x="0" y="0"/>
                </a:cxn>
              </a:cxnLst>
              <a:rect l="0" t="0" r="r" b="b"/>
              <a:pathLst>
                <a:path w="228" h="171">
                  <a:moveTo>
                    <a:pt x="0" y="0"/>
                  </a:moveTo>
                  <a:lnTo>
                    <a:pt x="228" y="0"/>
                  </a:lnTo>
                  <a:lnTo>
                    <a:pt x="114" y="171"/>
                  </a:lnTo>
                  <a:lnTo>
                    <a:pt x="0" y="0"/>
                  </a:lnTo>
                  <a:close/>
                </a:path>
              </a:pathLst>
            </a:custGeom>
            <a:solidFill>
              <a:srgbClr val="000000"/>
            </a:solidFill>
            <a:ln w="9525">
              <a:solidFill>
                <a:srgbClr val="000000"/>
              </a:solidFill>
              <a:round/>
              <a:headEnd/>
              <a:tailEnd/>
            </a:ln>
          </xdr:spPr>
        </xdr:sp>
        <xdr:sp macro="" textlink="">
          <xdr:nvSpPr>
            <xdr:cNvPr id="106" name="Freeform 324"/>
            <xdr:cNvSpPr>
              <a:spLocks/>
            </xdr:cNvSpPr>
          </xdr:nvSpPr>
          <xdr:spPr bwMode="auto">
            <a:xfrm flipV="1">
              <a:off x="7524" y="14079"/>
              <a:ext cx="114" cy="228"/>
            </a:xfrm>
            <a:custGeom>
              <a:avLst/>
              <a:gdLst/>
              <a:ahLst/>
              <a:cxnLst>
                <a:cxn ang="0">
                  <a:pos x="0" y="228"/>
                </a:cxn>
                <a:cxn ang="0">
                  <a:pos x="57" y="228"/>
                </a:cxn>
                <a:cxn ang="0">
                  <a:pos x="57" y="0"/>
                </a:cxn>
                <a:cxn ang="0">
                  <a:pos x="114" y="0"/>
                </a:cxn>
              </a:cxnLst>
              <a:rect l="0" t="0" r="r" b="b"/>
              <a:pathLst>
                <a:path w="114" h="228">
                  <a:moveTo>
                    <a:pt x="0" y="228"/>
                  </a:moveTo>
                  <a:lnTo>
                    <a:pt x="57" y="228"/>
                  </a:lnTo>
                  <a:lnTo>
                    <a:pt x="57" y="0"/>
                  </a:lnTo>
                  <a:lnTo>
                    <a:pt x="114" y="0"/>
                  </a:lnTo>
                </a:path>
              </a:pathLst>
            </a:custGeom>
            <a:noFill/>
            <a:ln w="12700" cmpd="sng">
              <a:solidFill>
                <a:srgbClr val="000000"/>
              </a:solidFill>
              <a:round/>
              <a:headEnd/>
              <a:tailEnd/>
            </a:ln>
          </xdr:spPr>
        </xdr:sp>
      </xdr:grpSp>
      <xdr:sp macro="" textlink="">
        <xdr:nvSpPr>
          <xdr:cNvPr id="22" name="Line 325"/>
          <xdr:cNvSpPr>
            <a:spLocks noChangeShapeType="1"/>
          </xdr:cNvSpPr>
        </xdr:nvSpPr>
        <xdr:spPr bwMode="auto">
          <a:xfrm flipH="1">
            <a:off x="3324224" y="9142186"/>
            <a:ext cx="4081" cy="1540102"/>
          </a:xfrm>
          <a:prstGeom prst="line">
            <a:avLst/>
          </a:prstGeom>
          <a:noFill/>
          <a:ln w="12700">
            <a:solidFill>
              <a:srgbClr val="000000"/>
            </a:solidFill>
            <a:round/>
            <a:headEnd/>
            <a:tailEnd/>
          </a:ln>
        </xdr:spPr>
      </xdr:sp>
      <xdr:sp macro="" textlink="">
        <xdr:nvSpPr>
          <xdr:cNvPr id="23" name="Freeform 327"/>
          <xdr:cNvSpPr>
            <a:spLocks/>
          </xdr:cNvSpPr>
        </xdr:nvSpPr>
        <xdr:spPr bwMode="auto">
          <a:xfrm flipV="1">
            <a:off x="3314700" y="10579767"/>
            <a:ext cx="1379536" cy="1159515"/>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sp macro="" textlink="">
        <xdr:nvSpPr>
          <xdr:cNvPr id="24" name="Freeform 334"/>
          <xdr:cNvSpPr>
            <a:spLocks/>
          </xdr:cNvSpPr>
        </xdr:nvSpPr>
        <xdr:spPr bwMode="auto">
          <a:xfrm>
            <a:off x="1312444" y="11637420"/>
            <a:ext cx="2022308" cy="102769"/>
          </a:xfrm>
          <a:custGeom>
            <a:avLst/>
            <a:gdLst/>
            <a:ahLst/>
            <a:cxnLst>
              <a:cxn ang="0">
                <a:pos x="0" y="0"/>
              </a:cxn>
              <a:cxn ang="0">
                <a:pos x="0" y="456"/>
              </a:cxn>
              <a:cxn ang="0">
                <a:pos x="3876" y="456"/>
              </a:cxn>
            </a:cxnLst>
            <a:rect l="0" t="0" r="r" b="b"/>
            <a:pathLst>
              <a:path w="3876" h="456">
                <a:moveTo>
                  <a:pt x="0" y="0"/>
                </a:moveTo>
                <a:lnTo>
                  <a:pt x="0" y="456"/>
                </a:lnTo>
                <a:lnTo>
                  <a:pt x="3876" y="456"/>
                </a:lnTo>
              </a:path>
            </a:pathLst>
          </a:custGeom>
          <a:noFill/>
          <a:ln w="12700" cmpd="sng">
            <a:solidFill>
              <a:srgbClr val="000000"/>
            </a:solidFill>
            <a:round/>
            <a:headEnd/>
            <a:tailEnd/>
          </a:ln>
        </xdr:spPr>
      </xdr:sp>
      <xdr:sp macro="" textlink="">
        <xdr:nvSpPr>
          <xdr:cNvPr id="25" name="Freeform 337"/>
          <xdr:cNvSpPr>
            <a:spLocks/>
          </xdr:cNvSpPr>
        </xdr:nvSpPr>
        <xdr:spPr bwMode="auto">
          <a:xfrm>
            <a:off x="2487706" y="9521992"/>
            <a:ext cx="1542143" cy="296349"/>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sp macro="" textlink="">
        <xdr:nvSpPr>
          <xdr:cNvPr id="26" name="Line 344"/>
          <xdr:cNvSpPr>
            <a:spLocks noChangeShapeType="1"/>
          </xdr:cNvSpPr>
        </xdr:nvSpPr>
        <xdr:spPr bwMode="auto">
          <a:xfrm flipV="1">
            <a:off x="2061307" y="11478841"/>
            <a:ext cx="0" cy="260329"/>
          </a:xfrm>
          <a:prstGeom prst="line">
            <a:avLst/>
          </a:prstGeom>
          <a:noFill/>
          <a:ln w="12700">
            <a:solidFill>
              <a:srgbClr val="000000"/>
            </a:solidFill>
            <a:round/>
            <a:headEnd/>
            <a:tailEnd/>
          </a:ln>
        </xdr:spPr>
      </xdr:sp>
      <xdr:grpSp>
        <xdr:nvGrpSpPr>
          <xdr:cNvPr id="27" name="Group 357"/>
          <xdr:cNvGrpSpPr>
            <a:grpSpLocks/>
          </xdr:cNvGrpSpPr>
        </xdr:nvGrpSpPr>
        <xdr:grpSpPr bwMode="auto">
          <a:xfrm>
            <a:off x="3927178" y="9859591"/>
            <a:ext cx="213961" cy="208264"/>
            <a:chOff x="6336" y="4032"/>
            <a:chExt cx="288" cy="288"/>
          </a:xfrm>
        </xdr:grpSpPr>
        <xdr:sp macro="" textlink="">
          <xdr:nvSpPr>
            <xdr:cNvPr id="103" name="Oval 358"/>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104" name="Rectangle 359"/>
            <xdr:cNvSpPr>
              <a:spLocks noChangeArrowheads="1"/>
            </xdr:cNvSpPr>
          </xdr:nvSpPr>
          <xdr:spPr bwMode="auto">
            <a:xfrm>
              <a:off x="6336" y="4032"/>
              <a:ext cx="288" cy="288"/>
            </a:xfrm>
            <a:prstGeom prst="rect">
              <a:avLst/>
            </a:prstGeom>
            <a:noFill/>
            <a:ln w="9525">
              <a:noFill/>
              <a:miter lim="800000"/>
              <a:headEnd/>
              <a:tailEnd/>
            </a:ln>
          </xdr:spPr>
        </xdr:sp>
      </xdr:grpSp>
      <xdr:grpSp>
        <xdr:nvGrpSpPr>
          <xdr:cNvPr id="28" name="Group 360"/>
          <xdr:cNvGrpSpPr>
            <a:grpSpLocks/>
          </xdr:cNvGrpSpPr>
        </xdr:nvGrpSpPr>
        <xdr:grpSpPr bwMode="auto">
          <a:xfrm rot="10800000" flipV="1">
            <a:off x="4550283" y="10289006"/>
            <a:ext cx="287349" cy="332396"/>
            <a:chOff x="1482" y="6669"/>
            <a:chExt cx="228" cy="342"/>
          </a:xfrm>
        </xdr:grpSpPr>
        <xdr:sp macro="" textlink="">
          <xdr:nvSpPr>
            <xdr:cNvPr id="99" name="Line 361"/>
            <xdr:cNvSpPr>
              <a:spLocks noChangeShapeType="1"/>
            </xdr:cNvSpPr>
          </xdr:nvSpPr>
          <xdr:spPr bwMode="auto">
            <a:xfrm>
              <a:off x="1482" y="6783"/>
              <a:ext cx="228" cy="0"/>
            </a:xfrm>
            <a:prstGeom prst="line">
              <a:avLst/>
            </a:prstGeom>
            <a:noFill/>
            <a:ln w="28575">
              <a:solidFill>
                <a:srgbClr val="000000"/>
              </a:solidFill>
              <a:round/>
              <a:headEnd/>
              <a:tailEnd/>
            </a:ln>
          </xdr:spPr>
        </xdr:sp>
        <xdr:sp macro="" textlink="">
          <xdr:nvSpPr>
            <xdr:cNvPr id="100" name="Line 362"/>
            <xdr:cNvSpPr>
              <a:spLocks noChangeShapeType="1"/>
            </xdr:cNvSpPr>
          </xdr:nvSpPr>
          <xdr:spPr bwMode="auto">
            <a:xfrm>
              <a:off x="1482" y="6897"/>
              <a:ext cx="228" cy="0"/>
            </a:xfrm>
            <a:prstGeom prst="line">
              <a:avLst/>
            </a:prstGeom>
            <a:noFill/>
            <a:ln w="28575">
              <a:solidFill>
                <a:srgbClr val="000000"/>
              </a:solidFill>
              <a:round/>
              <a:headEnd/>
              <a:tailEnd/>
            </a:ln>
          </xdr:spPr>
        </xdr:sp>
        <xdr:sp macro="" textlink="">
          <xdr:nvSpPr>
            <xdr:cNvPr id="101" name="Line 363"/>
            <xdr:cNvSpPr>
              <a:spLocks noChangeShapeType="1"/>
            </xdr:cNvSpPr>
          </xdr:nvSpPr>
          <xdr:spPr bwMode="auto">
            <a:xfrm flipV="1">
              <a:off x="1596" y="6669"/>
              <a:ext cx="0" cy="114"/>
            </a:xfrm>
            <a:prstGeom prst="line">
              <a:avLst/>
            </a:prstGeom>
            <a:noFill/>
            <a:ln w="12700">
              <a:solidFill>
                <a:srgbClr val="000000"/>
              </a:solidFill>
              <a:round/>
              <a:headEnd/>
              <a:tailEnd/>
            </a:ln>
          </xdr:spPr>
        </xdr:sp>
        <xdr:sp macro="" textlink="">
          <xdr:nvSpPr>
            <xdr:cNvPr id="102" name="Line 364"/>
            <xdr:cNvSpPr>
              <a:spLocks noChangeShapeType="1"/>
            </xdr:cNvSpPr>
          </xdr:nvSpPr>
          <xdr:spPr bwMode="auto">
            <a:xfrm flipV="1">
              <a:off x="1596" y="6897"/>
              <a:ext cx="0" cy="114"/>
            </a:xfrm>
            <a:prstGeom prst="line">
              <a:avLst/>
            </a:prstGeom>
            <a:noFill/>
            <a:ln w="12700">
              <a:solidFill>
                <a:srgbClr val="000000"/>
              </a:solidFill>
              <a:round/>
              <a:headEnd/>
              <a:tailEnd/>
            </a:ln>
          </xdr:spPr>
        </xdr:sp>
      </xdr:grpSp>
      <xdr:sp macro="" textlink="">
        <xdr:nvSpPr>
          <xdr:cNvPr id="29" name="Freeform 366"/>
          <xdr:cNvSpPr>
            <a:spLocks/>
          </xdr:cNvSpPr>
        </xdr:nvSpPr>
        <xdr:spPr bwMode="auto">
          <a:xfrm flipH="1" flipV="1">
            <a:off x="2179544" y="9135871"/>
            <a:ext cx="1855133" cy="1173183"/>
          </a:xfrm>
          <a:custGeom>
            <a:avLst/>
            <a:gdLst/>
            <a:ahLst/>
            <a:cxnLst>
              <a:cxn ang="0">
                <a:pos x="0" y="0"/>
              </a:cxn>
              <a:cxn ang="0">
                <a:pos x="0" y="456"/>
              </a:cxn>
              <a:cxn ang="0">
                <a:pos x="3876" y="456"/>
              </a:cxn>
            </a:cxnLst>
            <a:rect l="0" t="0" r="r" b="b"/>
            <a:pathLst>
              <a:path w="3876" h="456">
                <a:moveTo>
                  <a:pt x="0" y="0"/>
                </a:moveTo>
                <a:lnTo>
                  <a:pt x="0" y="456"/>
                </a:lnTo>
                <a:lnTo>
                  <a:pt x="3876" y="456"/>
                </a:lnTo>
              </a:path>
            </a:pathLst>
          </a:custGeom>
          <a:noFill/>
          <a:ln w="12700" cmpd="sng">
            <a:solidFill>
              <a:srgbClr val="000000"/>
            </a:solidFill>
            <a:round/>
            <a:headEnd/>
            <a:tailEnd/>
          </a:ln>
        </xdr:spPr>
      </xdr:sp>
      <xdr:grpSp>
        <xdr:nvGrpSpPr>
          <xdr:cNvPr id="30" name="Group 374"/>
          <xdr:cNvGrpSpPr>
            <a:grpSpLocks/>
          </xdr:cNvGrpSpPr>
        </xdr:nvGrpSpPr>
        <xdr:grpSpPr bwMode="auto">
          <a:xfrm>
            <a:off x="3927178" y="10149550"/>
            <a:ext cx="213961" cy="156198"/>
            <a:chOff x="7410" y="8037"/>
            <a:chExt cx="228" cy="171"/>
          </a:xfrm>
        </xdr:grpSpPr>
        <xdr:sp macro="" textlink="">
          <xdr:nvSpPr>
            <xdr:cNvPr id="97" name="Freeform 375"/>
            <xdr:cNvSpPr>
              <a:spLocks/>
            </xdr:cNvSpPr>
          </xdr:nvSpPr>
          <xdr:spPr bwMode="auto">
            <a:xfrm>
              <a:off x="7410" y="8037"/>
              <a:ext cx="228" cy="171"/>
            </a:xfrm>
            <a:custGeom>
              <a:avLst/>
              <a:gdLst/>
              <a:ahLst/>
              <a:cxnLst>
                <a:cxn ang="0">
                  <a:pos x="0" y="0"/>
                </a:cxn>
                <a:cxn ang="0">
                  <a:pos x="228" y="0"/>
                </a:cxn>
                <a:cxn ang="0">
                  <a:pos x="114" y="171"/>
                </a:cxn>
                <a:cxn ang="0">
                  <a:pos x="0" y="0"/>
                </a:cxn>
              </a:cxnLst>
              <a:rect l="0" t="0" r="r" b="b"/>
              <a:pathLst>
                <a:path w="228" h="171">
                  <a:moveTo>
                    <a:pt x="0" y="0"/>
                  </a:moveTo>
                  <a:lnTo>
                    <a:pt x="228" y="0"/>
                  </a:lnTo>
                  <a:lnTo>
                    <a:pt x="114" y="171"/>
                  </a:lnTo>
                  <a:lnTo>
                    <a:pt x="0" y="0"/>
                  </a:lnTo>
                  <a:close/>
                </a:path>
              </a:pathLst>
            </a:custGeom>
            <a:solidFill>
              <a:srgbClr val="000000"/>
            </a:solidFill>
            <a:ln w="9525">
              <a:solidFill>
                <a:srgbClr val="000000"/>
              </a:solidFill>
              <a:round/>
              <a:headEnd/>
              <a:tailEnd/>
            </a:ln>
          </xdr:spPr>
        </xdr:sp>
        <xdr:sp macro="" textlink="">
          <xdr:nvSpPr>
            <xdr:cNvPr id="98" name="Line 376"/>
            <xdr:cNvSpPr>
              <a:spLocks noChangeShapeType="1"/>
            </xdr:cNvSpPr>
          </xdr:nvSpPr>
          <xdr:spPr bwMode="auto">
            <a:xfrm>
              <a:off x="7410" y="8208"/>
              <a:ext cx="228" cy="0"/>
            </a:xfrm>
            <a:prstGeom prst="line">
              <a:avLst/>
            </a:prstGeom>
            <a:noFill/>
            <a:ln w="12700">
              <a:solidFill>
                <a:srgbClr val="000000"/>
              </a:solidFill>
              <a:round/>
              <a:headEnd/>
              <a:tailEnd/>
            </a:ln>
          </xdr:spPr>
        </xdr:sp>
      </xdr:grpSp>
      <xdr:sp macro="" textlink="">
        <xdr:nvSpPr>
          <xdr:cNvPr id="31" name="Line 382"/>
          <xdr:cNvSpPr>
            <a:spLocks noChangeShapeType="1"/>
          </xdr:cNvSpPr>
        </xdr:nvSpPr>
        <xdr:spPr bwMode="auto">
          <a:xfrm flipH="1">
            <a:off x="681788" y="10353096"/>
            <a:ext cx="791127" cy="1087"/>
          </a:xfrm>
          <a:prstGeom prst="line">
            <a:avLst/>
          </a:prstGeom>
          <a:noFill/>
          <a:ln w="12700">
            <a:solidFill>
              <a:srgbClr val="000000"/>
            </a:solidFill>
            <a:round/>
            <a:headEnd/>
            <a:tailEnd/>
          </a:ln>
        </xdr:spPr>
      </xdr:sp>
      <xdr:sp macro="" textlink="">
        <xdr:nvSpPr>
          <xdr:cNvPr id="32" name="Line 383"/>
          <xdr:cNvSpPr>
            <a:spLocks noChangeShapeType="1"/>
          </xdr:cNvSpPr>
        </xdr:nvSpPr>
        <xdr:spPr bwMode="auto">
          <a:xfrm rot="5400000">
            <a:off x="1500130" y="8413302"/>
            <a:ext cx="0" cy="1444234"/>
          </a:xfrm>
          <a:prstGeom prst="line">
            <a:avLst/>
          </a:prstGeom>
          <a:noFill/>
          <a:ln w="12700">
            <a:solidFill>
              <a:srgbClr val="000000"/>
            </a:solidFill>
            <a:round/>
            <a:headEnd/>
            <a:tailEnd/>
          </a:ln>
        </xdr:spPr>
      </xdr:sp>
      <xdr:sp macro="" textlink="">
        <xdr:nvSpPr>
          <xdr:cNvPr id="33" name="Freeform 384"/>
          <xdr:cNvSpPr>
            <a:spLocks/>
          </xdr:cNvSpPr>
        </xdr:nvSpPr>
        <xdr:spPr bwMode="auto">
          <a:xfrm>
            <a:off x="2498913" y="9965651"/>
            <a:ext cx="1535739" cy="619721"/>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sp macro="" textlink="">
        <xdr:nvSpPr>
          <xdr:cNvPr id="34" name="Freeform 385"/>
          <xdr:cNvSpPr>
            <a:spLocks/>
          </xdr:cNvSpPr>
        </xdr:nvSpPr>
        <xdr:spPr bwMode="auto">
          <a:xfrm flipH="1">
            <a:off x="1988127" y="9135980"/>
            <a:ext cx="172544" cy="260683"/>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sp macro="" textlink="">
        <xdr:nvSpPr>
          <xdr:cNvPr id="35" name="Line 387"/>
          <xdr:cNvSpPr>
            <a:spLocks noChangeShapeType="1"/>
          </xdr:cNvSpPr>
        </xdr:nvSpPr>
        <xdr:spPr bwMode="auto">
          <a:xfrm>
            <a:off x="3218060" y="11739170"/>
            <a:ext cx="0" cy="104132"/>
          </a:xfrm>
          <a:prstGeom prst="line">
            <a:avLst/>
          </a:prstGeom>
          <a:noFill/>
          <a:ln w="12700">
            <a:solidFill>
              <a:srgbClr val="000000"/>
            </a:solidFill>
            <a:round/>
            <a:headEnd/>
            <a:tailEnd/>
          </a:ln>
        </xdr:spPr>
      </xdr:sp>
      <xdr:grpSp>
        <xdr:nvGrpSpPr>
          <xdr:cNvPr id="36" name="Group 388"/>
          <xdr:cNvGrpSpPr>
            <a:grpSpLocks/>
          </xdr:cNvGrpSpPr>
        </xdr:nvGrpSpPr>
        <xdr:grpSpPr bwMode="auto">
          <a:xfrm>
            <a:off x="3111080" y="11635039"/>
            <a:ext cx="213961" cy="208264"/>
            <a:chOff x="6336" y="4032"/>
            <a:chExt cx="288" cy="288"/>
          </a:xfrm>
        </xdr:grpSpPr>
        <xdr:sp macro="" textlink="">
          <xdr:nvSpPr>
            <xdr:cNvPr id="95" name="Oval 389"/>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96" name="Rectangle 390"/>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37" name="Rectangle 283"/>
          <xdr:cNvSpPr>
            <a:spLocks noChangeArrowheads="1"/>
          </xdr:cNvSpPr>
        </xdr:nvSpPr>
        <xdr:spPr bwMode="auto">
          <a:xfrm>
            <a:off x="2900054" y="11144290"/>
            <a:ext cx="260329" cy="106980"/>
          </a:xfrm>
          <a:prstGeom prst="rect">
            <a:avLst/>
          </a:prstGeom>
          <a:solidFill>
            <a:srgbClr val="FFFFFF"/>
          </a:solidFill>
          <a:ln w="12700">
            <a:solidFill>
              <a:srgbClr val="000000"/>
            </a:solidFill>
            <a:miter lim="800000"/>
            <a:headEnd/>
            <a:tailEnd/>
          </a:ln>
        </xdr:spPr>
      </xdr:sp>
      <xdr:sp macro="" textlink="">
        <xdr:nvSpPr>
          <xdr:cNvPr id="38" name="Rectangle 326"/>
          <xdr:cNvSpPr>
            <a:spLocks noChangeArrowheads="1"/>
          </xdr:cNvSpPr>
        </xdr:nvSpPr>
        <xdr:spPr bwMode="auto">
          <a:xfrm rot="16200000">
            <a:off x="3900634" y="9684875"/>
            <a:ext cx="260329" cy="106980"/>
          </a:xfrm>
          <a:prstGeom prst="rect">
            <a:avLst/>
          </a:prstGeom>
          <a:solidFill>
            <a:srgbClr val="FFFFFF"/>
          </a:solidFill>
          <a:ln w="12700">
            <a:solidFill>
              <a:srgbClr val="000000"/>
            </a:solidFill>
            <a:miter lim="800000"/>
            <a:headEnd/>
            <a:tailEnd/>
          </a:ln>
        </xdr:spPr>
      </xdr:sp>
      <xdr:sp macro="" textlink="">
        <xdr:nvSpPr>
          <xdr:cNvPr id="39" name="Freeform 366"/>
          <xdr:cNvSpPr>
            <a:spLocks/>
          </xdr:cNvSpPr>
        </xdr:nvSpPr>
        <xdr:spPr bwMode="auto">
          <a:xfrm flipH="1" flipV="1">
            <a:off x="3094120" y="9135978"/>
            <a:ext cx="1600116" cy="1173183"/>
          </a:xfrm>
          <a:custGeom>
            <a:avLst/>
            <a:gdLst/>
            <a:ahLst/>
            <a:cxnLst>
              <a:cxn ang="0">
                <a:pos x="0" y="0"/>
              </a:cxn>
              <a:cxn ang="0">
                <a:pos x="0" y="456"/>
              </a:cxn>
              <a:cxn ang="0">
                <a:pos x="3876" y="456"/>
              </a:cxn>
            </a:cxnLst>
            <a:rect l="0" t="0" r="r" b="b"/>
            <a:pathLst>
              <a:path w="3876" h="456">
                <a:moveTo>
                  <a:pt x="0" y="0"/>
                </a:moveTo>
                <a:lnTo>
                  <a:pt x="0" y="456"/>
                </a:lnTo>
                <a:lnTo>
                  <a:pt x="3876" y="456"/>
                </a:lnTo>
              </a:path>
            </a:pathLst>
          </a:custGeom>
          <a:noFill/>
          <a:ln w="12700" cmpd="sng">
            <a:solidFill>
              <a:srgbClr val="000000"/>
            </a:solidFill>
            <a:round/>
            <a:headEnd/>
            <a:tailEnd/>
          </a:ln>
        </xdr:spPr>
      </xdr:sp>
      <xdr:grpSp>
        <xdr:nvGrpSpPr>
          <xdr:cNvPr id="40" name="Group 318"/>
          <xdr:cNvGrpSpPr>
            <a:grpSpLocks/>
          </xdr:cNvGrpSpPr>
        </xdr:nvGrpSpPr>
        <xdr:grpSpPr bwMode="auto">
          <a:xfrm flipV="1">
            <a:off x="3925863" y="9035716"/>
            <a:ext cx="213961" cy="208264"/>
            <a:chOff x="6336" y="4032"/>
            <a:chExt cx="288" cy="288"/>
          </a:xfrm>
        </xdr:grpSpPr>
        <xdr:sp macro="" textlink="">
          <xdr:nvSpPr>
            <xdr:cNvPr id="93" name="Oval 319"/>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94" name="Rectangle 320"/>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41" name="Freeform 281"/>
          <xdr:cNvSpPr>
            <a:spLocks/>
          </xdr:cNvSpPr>
        </xdr:nvSpPr>
        <xdr:spPr bwMode="auto">
          <a:xfrm flipH="1">
            <a:off x="601579" y="10354176"/>
            <a:ext cx="165483" cy="220579"/>
          </a:xfrm>
          <a:custGeom>
            <a:avLst/>
            <a:gdLst/>
            <a:ahLst/>
            <a:cxnLst>
              <a:cxn ang="0">
                <a:pos x="0" y="0"/>
              </a:cxn>
              <a:cxn ang="0">
                <a:pos x="228" y="0"/>
              </a:cxn>
              <a:cxn ang="0">
                <a:pos x="228" y="627"/>
              </a:cxn>
            </a:cxnLst>
            <a:rect l="0" t="0" r="r" b="b"/>
            <a:pathLst>
              <a:path w="228" h="627">
                <a:moveTo>
                  <a:pt x="0" y="0"/>
                </a:moveTo>
                <a:lnTo>
                  <a:pt x="228" y="0"/>
                </a:lnTo>
                <a:lnTo>
                  <a:pt x="228" y="627"/>
                </a:lnTo>
              </a:path>
            </a:pathLst>
          </a:custGeom>
          <a:noFill/>
          <a:ln w="12700" cmpd="sng">
            <a:solidFill>
              <a:srgbClr val="000000"/>
            </a:solidFill>
            <a:round/>
            <a:headEnd/>
            <a:tailEnd/>
          </a:ln>
        </xdr:spPr>
      </xdr:sp>
      <xdr:grpSp>
        <xdr:nvGrpSpPr>
          <xdr:cNvPr id="42" name="Group 294"/>
          <xdr:cNvGrpSpPr>
            <a:grpSpLocks/>
          </xdr:cNvGrpSpPr>
        </xdr:nvGrpSpPr>
        <xdr:grpSpPr bwMode="auto">
          <a:xfrm>
            <a:off x="1027696" y="9687425"/>
            <a:ext cx="213961" cy="85082"/>
            <a:chOff x="4731" y="2337"/>
            <a:chExt cx="342" cy="114"/>
          </a:xfrm>
        </xdr:grpSpPr>
        <xdr:sp macro="" textlink="">
          <xdr:nvSpPr>
            <xdr:cNvPr id="90" name="Line 295"/>
            <xdr:cNvSpPr>
              <a:spLocks noChangeShapeType="1"/>
            </xdr:cNvSpPr>
          </xdr:nvSpPr>
          <xdr:spPr bwMode="auto">
            <a:xfrm>
              <a:off x="4731" y="2337"/>
              <a:ext cx="342" cy="0"/>
            </a:xfrm>
            <a:prstGeom prst="line">
              <a:avLst/>
            </a:prstGeom>
            <a:noFill/>
            <a:ln w="12700">
              <a:solidFill>
                <a:srgbClr val="000000"/>
              </a:solidFill>
              <a:round/>
              <a:headEnd/>
              <a:tailEnd/>
            </a:ln>
          </xdr:spPr>
        </xdr:sp>
        <xdr:sp macro="" textlink="">
          <xdr:nvSpPr>
            <xdr:cNvPr id="91" name="Line 296"/>
            <xdr:cNvSpPr>
              <a:spLocks noChangeShapeType="1"/>
            </xdr:cNvSpPr>
          </xdr:nvSpPr>
          <xdr:spPr bwMode="auto">
            <a:xfrm>
              <a:off x="4788" y="2394"/>
              <a:ext cx="228" cy="0"/>
            </a:xfrm>
            <a:prstGeom prst="line">
              <a:avLst/>
            </a:prstGeom>
            <a:noFill/>
            <a:ln w="12700">
              <a:solidFill>
                <a:srgbClr val="000000"/>
              </a:solidFill>
              <a:round/>
              <a:headEnd/>
              <a:tailEnd/>
            </a:ln>
          </xdr:spPr>
        </xdr:sp>
        <xdr:sp macro="" textlink="">
          <xdr:nvSpPr>
            <xdr:cNvPr id="92" name="Line 297"/>
            <xdr:cNvSpPr>
              <a:spLocks noChangeShapeType="1"/>
            </xdr:cNvSpPr>
          </xdr:nvSpPr>
          <xdr:spPr bwMode="auto">
            <a:xfrm>
              <a:off x="4845" y="2451"/>
              <a:ext cx="114" cy="0"/>
            </a:xfrm>
            <a:prstGeom prst="line">
              <a:avLst/>
            </a:prstGeom>
            <a:noFill/>
            <a:ln w="12700">
              <a:solidFill>
                <a:srgbClr val="000000"/>
              </a:solidFill>
              <a:round/>
              <a:headEnd/>
              <a:tailEnd/>
            </a:ln>
          </xdr:spPr>
        </xdr:sp>
      </xdr:grpSp>
      <xdr:grpSp>
        <xdr:nvGrpSpPr>
          <xdr:cNvPr id="43" name="Group 298"/>
          <xdr:cNvGrpSpPr>
            <a:grpSpLocks/>
          </xdr:cNvGrpSpPr>
        </xdr:nvGrpSpPr>
        <xdr:grpSpPr bwMode="auto">
          <a:xfrm>
            <a:off x="1027697" y="9035716"/>
            <a:ext cx="213961" cy="208264"/>
            <a:chOff x="6336" y="4032"/>
            <a:chExt cx="288" cy="288"/>
          </a:xfrm>
        </xdr:grpSpPr>
        <xdr:sp macro="" textlink="">
          <xdr:nvSpPr>
            <xdr:cNvPr id="88" name="Oval 299"/>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89" name="Rectangle 300"/>
            <xdr:cNvSpPr>
              <a:spLocks noChangeArrowheads="1"/>
            </xdr:cNvSpPr>
          </xdr:nvSpPr>
          <xdr:spPr bwMode="auto">
            <a:xfrm>
              <a:off x="6336" y="4032"/>
              <a:ext cx="288" cy="288"/>
            </a:xfrm>
            <a:prstGeom prst="rect">
              <a:avLst/>
            </a:prstGeom>
            <a:noFill/>
            <a:ln w="9525">
              <a:noFill/>
              <a:miter lim="800000"/>
              <a:headEnd/>
              <a:tailEnd/>
            </a:ln>
          </xdr:spPr>
        </xdr:sp>
      </xdr:grpSp>
      <xdr:grpSp>
        <xdr:nvGrpSpPr>
          <xdr:cNvPr id="44" name="Group 360"/>
          <xdr:cNvGrpSpPr>
            <a:grpSpLocks/>
          </xdr:cNvGrpSpPr>
        </xdr:nvGrpSpPr>
        <xdr:grpSpPr bwMode="auto">
          <a:xfrm rot="10800000" flipV="1">
            <a:off x="986318" y="9251280"/>
            <a:ext cx="288936" cy="332396"/>
            <a:chOff x="1482" y="6669"/>
            <a:chExt cx="228" cy="342"/>
          </a:xfrm>
        </xdr:grpSpPr>
        <xdr:sp macro="" textlink="">
          <xdr:nvSpPr>
            <xdr:cNvPr id="84" name="Line 361"/>
            <xdr:cNvSpPr>
              <a:spLocks noChangeShapeType="1"/>
            </xdr:cNvSpPr>
          </xdr:nvSpPr>
          <xdr:spPr bwMode="auto">
            <a:xfrm>
              <a:off x="1482" y="6783"/>
              <a:ext cx="228" cy="0"/>
            </a:xfrm>
            <a:prstGeom prst="line">
              <a:avLst/>
            </a:prstGeom>
            <a:noFill/>
            <a:ln w="28575">
              <a:solidFill>
                <a:srgbClr val="000000"/>
              </a:solidFill>
              <a:round/>
              <a:headEnd/>
              <a:tailEnd/>
            </a:ln>
          </xdr:spPr>
        </xdr:sp>
        <xdr:sp macro="" textlink="">
          <xdr:nvSpPr>
            <xdr:cNvPr id="85" name="Line 362"/>
            <xdr:cNvSpPr>
              <a:spLocks noChangeShapeType="1"/>
            </xdr:cNvSpPr>
          </xdr:nvSpPr>
          <xdr:spPr bwMode="auto">
            <a:xfrm>
              <a:off x="1482" y="6897"/>
              <a:ext cx="228" cy="0"/>
            </a:xfrm>
            <a:prstGeom prst="line">
              <a:avLst/>
            </a:prstGeom>
            <a:noFill/>
            <a:ln w="28575">
              <a:solidFill>
                <a:srgbClr val="000000"/>
              </a:solidFill>
              <a:round/>
              <a:headEnd/>
              <a:tailEnd/>
            </a:ln>
          </xdr:spPr>
        </xdr:sp>
        <xdr:sp macro="" textlink="">
          <xdr:nvSpPr>
            <xdr:cNvPr id="86" name="Line 363"/>
            <xdr:cNvSpPr>
              <a:spLocks noChangeShapeType="1"/>
            </xdr:cNvSpPr>
          </xdr:nvSpPr>
          <xdr:spPr bwMode="auto">
            <a:xfrm flipV="1">
              <a:off x="1596" y="6669"/>
              <a:ext cx="0" cy="114"/>
            </a:xfrm>
            <a:prstGeom prst="line">
              <a:avLst/>
            </a:prstGeom>
            <a:noFill/>
            <a:ln w="12700">
              <a:solidFill>
                <a:srgbClr val="000000"/>
              </a:solidFill>
              <a:round/>
              <a:headEnd/>
              <a:tailEnd/>
            </a:ln>
          </xdr:spPr>
        </xdr:sp>
        <xdr:sp macro="" textlink="">
          <xdr:nvSpPr>
            <xdr:cNvPr id="87" name="Line 364"/>
            <xdr:cNvSpPr>
              <a:spLocks noChangeShapeType="1"/>
            </xdr:cNvSpPr>
          </xdr:nvSpPr>
          <xdr:spPr bwMode="auto">
            <a:xfrm flipV="1">
              <a:off x="1596" y="6897"/>
              <a:ext cx="0" cy="114"/>
            </a:xfrm>
            <a:prstGeom prst="line">
              <a:avLst/>
            </a:prstGeom>
            <a:noFill/>
            <a:ln w="12700">
              <a:solidFill>
                <a:srgbClr val="000000"/>
              </a:solidFill>
              <a:round/>
              <a:headEnd/>
              <a:tailEnd/>
            </a:ln>
          </xdr:spPr>
        </xdr:sp>
      </xdr:grpSp>
      <xdr:sp macro="" textlink="">
        <xdr:nvSpPr>
          <xdr:cNvPr id="45" name="Line 344"/>
          <xdr:cNvSpPr>
            <a:spLocks noChangeShapeType="1"/>
          </xdr:cNvSpPr>
        </xdr:nvSpPr>
        <xdr:spPr bwMode="auto">
          <a:xfrm flipV="1">
            <a:off x="1132974" y="9471859"/>
            <a:ext cx="0" cy="210198"/>
          </a:xfrm>
          <a:prstGeom prst="line">
            <a:avLst/>
          </a:prstGeom>
          <a:noFill/>
          <a:ln w="12700">
            <a:solidFill>
              <a:srgbClr val="000000"/>
            </a:solidFill>
            <a:round/>
            <a:headEnd/>
            <a:tailEnd/>
          </a:ln>
        </xdr:spPr>
      </xdr:sp>
      <xdr:grpSp>
        <xdr:nvGrpSpPr>
          <xdr:cNvPr id="46" name="Group 360"/>
          <xdr:cNvGrpSpPr>
            <a:grpSpLocks/>
          </xdr:cNvGrpSpPr>
        </xdr:nvGrpSpPr>
        <xdr:grpSpPr bwMode="auto">
          <a:xfrm rot="10800000" flipV="1">
            <a:off x="458579" y="10464466"/>
            <a:ext cx="288936" cy="332396"/>
            <a:chOff x="1482" y="6669"/>
            <a:chExt cx="228" cy="342"/>
          </a:xfrm>
        </xdr:grpSpPr>
        <xdr:sp macro="" textlink="">
          <xdr:nvSpPr>
            <xdr:cNvPr id="80" name="Line 361"/>
            <xdr:cNvSpPr>
              <a:spLocks noChangeShapeType="1"/>
            </xdr:cNvSpPr>
          </xdr:nvSpPr>
          <xdr:spPr bwMode="auto">
            <a:xfrm>
              <a:off x="1482" y="6783"/>
              <a:ext cx="228" cy="0"/>
            </a:xfrm>
            <a:prstGeom prst="line">
              <a:avLst/>
            </a:prstGeom>
            <a:noFill/>
            <a:ln w="28575">
              <a:solidFill>
                <a:srgbClr val="000000"/>
              </a:solidFill>
              <a:round/>
              <a:headEnd/>
              <a:tailEnd/>
            </a:ln>
          </xdr:spPr>
        </xdr:sp>
        <xdr:sp macro="" textlink="">
          <xdr:nvSpPr>
            <xdr:cNvPr id="81" name="Line 362"/>
            <xdr:cNvSpPr>
              <a:spLocks noChangeShapeType="1"/>
            </xdr:cNvSpPr>
          </xdr:nvSpPr>
          <xdr:spPr bwMode="auto">
            <a:xfrm>
              <a:off x="1482" y="6897"/>
              <a:ext cx="228" cy="0"/>
            </a:xfrm>
            <a:prstGeom prst="line">
              <a:avLst/>
            </a:prstGeom>
            <a:noFill/>
            <a:ln w="28575">
              <a:solidFill>
                <a:srgbClr val="000000"/>
              </a:solidFill>
              <a:round/>
              <a:headEnd/>
              <a:tailEnd/>
            </a:ln>
          </xdr:spPr>
        </xdr:sp>
        <xdr:sp macro="" textlink="">
          <xdr:nvSpPr>
            <xdr:cNvPr id="82" name="Line 363"/>
            <xdr:cNvSpPr>
              <a:spLocks noChangeShapeType="1"/>
            </xdr:cNvSpPr>
          </xdr:nvSpPr>
          <xdr:spPr bwMode="auto">
            <a:xfrm flipV="1">
              <a:off x="1596" y="6669"/>
              <a:ext cx="0" cy="114"/>
            </a:xfrm>
            <a:prstGeom prst="line">
              <a:avLst/>
            </a:prstGeom>
            <a:noFill/>
            <a:ln w="12700">
              <a:solidFill>
                <a:srgbClr val="000000"/>
              </a:solidFill>
              <a:round/>
              <a:headEnd/>
              <a:tailEnd/>
            </a:ln>
          </xdr:spPr>
        </xdr:sp>
        <xdr:sp macro="" textlink="">
          <xdr:nvSpPr>
            <xdr:cNvPr id="83" name="Line 364"/>
            <xdr:cNvSpPr>
              <a:spLocks noChangeShapeType="1"/>
            </xdr:cNvSpPr>
          </xdr:nvSpPr>
          <xdr:spPr bwMode="auto">
            <a:xfrm flipV="1">
              <a:off x="1596" y="6897"/>
              <a:ext cx="0" cy="114"/>
            </a:xfrm>
            <a:prstGeom prst="line">
              <a:avLst/>
            </a:prstGeom>
            <a:noFill/>
            <a:ln w="12700">
              <a:solidFill>
                <a:srgbClr val="000000"/>
              </a:solidFill>
              <a:round/>
              <a:headEnd/>
              <a:tailEnd/>
            </a:ln>
          </xdr:spPr>
        </xdr:sp>
      </xdr:grpSp>
      <xdr:sp macro="" textlink="">
        <xdr:nvSpPr>
          <xdr:cNvPr id="47" name="Freeform 334"/>
          <xdr:cNvSpPr>
            <a:spLocks/>
          </xdr:cNvSpPr>
        </xdr:nvSpPr>
        <xdr:spPr bwMode="auto">
          <a:xfrm>
            <a:off x="601579" y="10780295"/>
            <a:ext cx="1991226" cy="960019"/>
          </a:xfrm>
          <a:custGeom>
            <a:avLst/>
            <a:gdLst/>
            <a:ahLst/>
            <a:cxnLst>
              <a:cxn ang="0">
                <a:pos x="0" y="0"/>
              </a:cxn>
              <a:cxn ang="0">
                <a:pos x="0" y="456"/>
              </a:cxn>
              <a:cxn ang="0">
                <a:pos x="3876" y="456"/>
              </a:cxn>
            </a:cxnLst>
            <a:rect l="0" t="0" r="r" b="b"/>
            <a:pathLst>
              <a:path w="3876" h="456">
                <a:moveTo>
                  <a:pt x="0" y="0"/>
                </a:moveTo>
                <a:lnTo>
                  <a:pt x="0" y="456"/>
                </a:lnTo>
                <a:lnTo>
                  <a:pt x="3876" y="456"/>
                </a:lnTo>
              </a:path>
            </a:pathLst>
          </a:custGeom>
          <a:noFill/>
          <a:ln w="12700" cmpd="sng">
            <a:solidFill>
              <a:srgbClr val="000000"/>
            </a:solidFill>
            <a:round/>
            <a:headEnd/>
            <a:tailEnd/>
          </a:ln>
        </xdr:spPr>
      </xdr:sp>
      <xdr:sp macro="" textlink="">
        <xdr:nvSpPr>
          <xdr:cNvPr id="48" name="Rectangle 283"/>
          <xdr:cNvSpPr>
            <a:spLocks noChangeArrowheads="1"/>
          </xdr:cNvSpPr>
        </xdr:nvSpPr>
        <xdr:spPr bwMode="auto">
          <a:xfrm rot="16200000">
            <a:off x="469761" y="11017393"/>
            <a:ext cx="260329" cy="106980"/>
          </a:xfrm>
          <a:prstGeom prst="rect">
            <a:avLst/>
          </a:prstGeom>
          <a:solidFill>
            <a:srgbClr val="FFFFFF"/>
          </a:solidFill>
          <a:ln w="12700">
            <a:solidFill>
              <a:srgbClr val="000000"/>
            </a:solidFill>
            <a:miter lim="800000"/>
            <a:headEnd/>
            <a:tailEnd/>
          </a:ln>
        </xdr:spPr>
      </xdr:sp>
      <xdr:grpSp>
        <xdr:nvGrpSpPr>
          <xdr:cNvPr id="49" name="Group 315"/>
          <xdr:cNvGrpSpPr>
            <a:grpSpLocks/>
          </xdr:cNvGrpSpPr>
        </xdr:nvGrpSpPr>
        <xdr:grpSpPr bwMode="auto">
          <a:xfrm>
            <a:off x="1208171" y="11632531"/>
            <a:ext cx="213961" cy="208264"/>
            <a:chOff x="6336" y="4032"/>
            <a:chExt cx="288" cy="288"/>
          </a:xfrm>
        </xdr:grpSpPr>
        <xdr:sp macro="" textlink="">
          <xdr:nvSpPr>
            <xdr:cNvPr id="78" name="Oval 316"/>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79" name="Rectangle 317"/>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50" name="Text Box 265"/>
          <xdr:cNvSpPr txBox="1">
            <a:spLocks noChangeArrowheads="1"/>
          </xdr:cNvSpPr>
        </xdr:nvSpPr>
        <xdr:spPr bwMode="auto">
          <a:xfrm>
            <a:off x="4190003" y="9572125"/>
            <a:ext cx="305386"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R</a:t>
            </a:r>
            <a:r>
              <a:rPr lang="en-GB" sz="900" b="0" i="0" u="none" strike="noStrike" baseline="-25000">
                <a:solidFill>
                  <a:srgbClr val="000000"/>
                </a:solidFill>
                <a:latin typeface="Arial"/>
                <a:cs typeface="Arial"/>
              </a:rPr>
              <a:t>SL</a:t>
            </a:r>
          </a:p>
        </xdr:txBody>
      </xdr:sp>
      <xdr:sp macro="" textlink="">
        <xdr:nvSpPr>
          <xdr:cNvPr id="51" name="Text Box 265"/>
          <xdr:cNvSpPr txBox="1">
            <a:spLocks noChangeArrowheads="1"/>
          </xdr:cNvSpPr>
        </xdr:nvSpPr>
        <xdr:spPr bwMode="auto">
          <a:xfrm>
            <a:off x="2649334" y="11239133"/>
            <a:ext cx="365054"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R</a:t>
            </a:r>
            <a:r>
              <a:rPr lang="en-GB" sz="900" b="0" i="0" u="none" strike="noStrike" baseline="-25000">
                <a:solidFill>
                  <a:srgbClr val="000000"/>
                </a:solidFill>
                <a:latin typeface="Arial"/>
                <a:cs typeface="Arial"/>
              </a:rPr>
              <a:t>SLOPE</a:t>
            </a:r>
          </a:p>
        </xdr:txBody>
      </xdr:sp>
      <xdr:sp macro="" textlink="">
        <xdr:nvSpPr>
          <xdr:cNvPr id="52" name="Text Box 265"/>
          <xdr:cNvSpPr txBox="1">
            <a:spLocks noChangeArrowheads="1"/>
          </xdr:cNvSpPr>
        </xdr:nvSpPr>
        <xdr:spPr bwMode="auto">
          <a:xfrm>
            <a:off x="3429049" y="11393332"/>
            <a:ext cx="303296"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R</a:t>
            </a:r>
            <a:r>
              <a:rPr lang="en-GB" sz="900" b="0" i="0" u="none" strike="noStrike" baseline="-25000">
                <a:solidFill>
                  <a:srgbClr val="000000"/>
                </a:solidFill>
                <a:latin typeface="Arial"/>
                <a:cs typeface="Arial"/>
              </a:rPr>
              <a:t>SS</a:t>
            </a:r>
          </a:p>
        </xdr:txBody>
      </xdr:sp>
      <xdr:sp macro="" textlink="">
        <xdr:nvSpPr>
          <xdr:cNvPr id="53" name="Text Box 265"/>
          <xdr:cNvSpPr txBox="1">
            <a:spLocks noChangeArrowheads="1"/>
          </xdr:cNvSpPr>
        </xdr:nvSpPr>
        <xdr:spPr bwMode="auto">
          <a:xfrm>
            <a:off x="100261" y="10930689"/>
            <a:ext cx="446172"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R</a:t>
            </a:r>
            <a:r>
              <a:rPr lang="en-GB" sz="900" b="0" i="0" u="none" strike="noStrike" baseline="-25000">
                <a:solidFill>
                  <a:srgbClr val="000000"/>
                </a:solidFill>
                <a:latin typeface="Arial"/>
                <a:cs typeface="Arial"/>
              </a:rPr>
              <a:t>COMP</a:t>
            </a:r>
          </a:p>
        </xdr:txBody>
      </xdr:sp>
      <xdr:sp macro="" textlink="">
        <xdr:nvSpPr>
          <xdr:cNvPr id="54" name="Text Box 265"/>
          <xdr:cNvSpPr txBox="1">
            <a:spLocks noChangeArrowheads="1"/>
          </xdr:cNvSpPr>
        </xdr:nvSpPr>
        <xdr:spPr bwMode="auto">
          <a:xfrm>
            <a:off x="125325" y="10369216"/>
            <a:ext cx="516356"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C</a:t>
            </a:r>
            <a:r>
              <a:rPr lang="en-GB" sz="900" b="0" i="0" u="none" strike="noStrike" baseline="-25000">
                <a:solidFill>
                  <a:srgbClr val="000000"/>
                </a:solidFill>
                <a:latin typeface="Arial"/>
                <a:cs typeface="Arial"/>
              </a:rPr>
              <a:t>COMP</a:t>
            </a:r>
          </a:p>
        </xdr:txBody>
      </xdr:sp>
      <xdr:sp macro="" textlink="">
        <xdr:nvSpPr>
          <xdr:cNvPr id="55" name="Text Box 265"/>
          <xdr:cNvSpPr txBox="1">
            <a:spLocks noChangeArrowheads="1"/>
          </xdr:cNvSpPr>
        </xdr:nvSpPr>
        <xdr:spPr bwMode="auto">
          <a:xfrm>
            <a:off x="912394" y="11241505"/>
            <a:ext cx="305803"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R</a:t>
            </a:r>
            <a:r>
              <a:rPr lang="en-GB" sz="900" b="0" i="0" u="none" strike="noStrike" baseline="-25000">
                <a:solidFill>
                  <a:srgbClr val="000000"/>
                </a:solidFill>
                <a:latin typeface="Arial"/>
                <a:cs typeface="Arial"/>
              </a:rPr>
              <a:t>OSC</a:t>
            </a:r>
          </a:p>
        </xdr:txBody>
      </xdr:sp>
      <xdr:grpSp>
        <xdr:nvGrpSpPr>
          <xdr:cNvPr id="56" name="Group 357"/>
          <xdr:cNvGrpSpPr>
            <a:grpSpLocks/>
          </xdr:cNvGrpSpPr>
        </xdr:nvGrpSpPr>
        <xdr:grpSpPr bwMode="auto">
          <a:xfrm>
            <a:off x="3219450" y="11095188"/>
            <a:ext cx="213961" cy="208264"/>
            <a:chOff x="6336" y="4032"/>
            <a:chExt cx="288" cy="288"/>
          </a:xfrm>
        </xdr:grpSpPr>
        <xdr:sp macro="" textlink="">
          <xdr:nvSpPr>
            <xdr:cNvPr id="76" name="Oval 358"/>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77" name="Rectangle 359"/>
            <xdr:cNvSpPr>
              <a:spLocks noChangeArrowheads="1"/>
            </xdr:cNvSpPr>
          </xdr:nvSpPr>
          <xdr:spPr bwMode="auto">
            <a:xfrm>
              <a:off x="6336" y="4032"/>
              <a:ext cx="288" cy="288"/>
            </a:xfrm>
            <a:prstGeom prst="rect">
              <a:avLst/>
            </a:prstGeom>
            <a:noFill/>
            <a:ln w="9525">
              <a:noFill/>
              <a:miter lim="800000"/>
              <a:headEnd/>
              <a:tailEnd/>
            </a:ln>
          </xdr:spPr>
        </xdr:sp>
      </xdr:grpSp>
      <xdr:sp macro="" textlink="">
        <xdr:nvSpPr>
          <xdr:cNvPr id="57" name="Text Box 265"/>
          <xdr:cNvSpPr txBox="1">
            <a:spLocks noChangeArrowheads="1"/>
          </xdr:cNvSpPr>
        </xdr:nvSpPr>
        <xdr:spPr bwMode="auto">
          <a:xfrm>
            <a:off x="4686297" y="10197515"/>
            <a:ext cx="469232" cy="155408"/>
          </a:xfrm>
          <a:prstGeom prst="rect">
            <a:avLst/>
          </a:prstGeom>
          <a:noFill/>
          <a:ln w="9525">
            <a:noFill/>
            <a:miter lim="800000"/>
            <a:headEnd/>
            <a:tailEnd/>
          </a:ln>
        </xdr:spPr>
        <xdr:txBody>
          <a:bodyPr vertOverflow="clip" wrap="square" lIns="0" tIns="0" rIns="0" bIns="0" anchor="t" upright="1"/>
          <a:lstStyle/>
          <a:p>
            <a:pPr algn="r" rtl="0">
              <a:defRPr sz="1000"/>
            </a:pPr>
            <a:r>
              <a:rPr lang="en-GB" sz="900" b="0" i="0" u="none" strike="noStrike" baseline="0">
                <a:solidFill>
                  <a:srgbClr val="000000"/>
                </a:solidFill>
                <a:latin typeface="Arial"/>
                <a:cs typeface="Arial"/>
              </a:rPr>
              <a:t>COUT</a:t>
            </a:r>
            <a:endParaRPr lang="en-GB" sz="900" b="0" i="0" u="none" strike="noStrike" baseline="-25000">
              <a:solidFill>
                <a:srgbClr val="000000"/>
              </a:solidFill>
              <a:latin typeface="Arial"/>
              <a:cs typeface="Arial"/>
            </a:endParaRPr>
          </a:p>
        </xdr:txBody>
      </xdr:sp>
      <xdr:sp macro="" textlink="">
        <xdr:nvSpPr>
          <xdr:cNvPr id="58" name="Text Box 265"/>
          <xdr:cNvSpPr txBox="1">
            <a:spLocks noChangeArrowheads="1"/>
          </xdr:cNvSpPr>
        </xdr:nvSpPr>
        <xdr:spPr bwMode="auto">
          <a:xfrm>
            <a:off x="1661027" y="10042701"/>
            <a:ext cx="601579" cy="360948"/>
          </a:xfrm>
          <a:prstGeom prst="rect">
            <a:avLst/>
          </a:prstGeom>
          <a:noFill/>
          <a:ln w="9525">
            <a:noFill/>
            <a:miter lim="800000"/>
            <a:headEnd/>
            <a:tailEnd/>
          </a:ln>
        </xdr:spPr>
        <xdr:txBody>
          <a:bodyPr vertOverflow="clip" wrap="square" lIns="0" tIns="0" rIns="0" bIns="0" anchor="t" upright="1"/>
          <a:lstStyle/>
          <a:p>
            <a:pPr algn="r" rtl="0">
              <a:defRPr sz="1000"/>
            </a:pPr>
            <a:r>
              <a:rPr lang="en-GB" sz="1400" b="1" i="0" u="none" strike="noStrike" baseline="0">
                <a:solidFill>
                  <a:srgbClr val="000000"/>
                </a:solidFill>
                <a:latin typeface="Arial"/>
                <a:cs typeface="Arial"/>
              </a:rPr>
              <a:t>A6271</a:t>
            </a:r>
            <a:endParaRPr lang="en-GB" sz="1400" b="1" i="0" u="none" strike="noStrike" baseline="-25000">
              <a:solidFill>
                <a:srgbClr val="000000"/>
              </a:solidFill>
              <a:latin typeface="Arial"/>
              <a:cs typeface="Arial"/>
            </a:endParaRPr>
          </a:p>
        </xdr:txBody>
      </xdr:sp>
      <xdr:sp macro="" textlink="">
        <xdr:nvSpPr>
          <xdr:cNvPr id="59" name="Text Box 265"/>
          <xdr:cNvSpPr txBox="1">
            <a:spLocks noChangeArrowheads="1"/>
          </xdr:cNvSpPr>
        </xdr:nvSpPr>
        <xdr:spPr bwMode="auto">
          <a:xfrm>
            <a:off x="1845177" y="9429759"/>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VIN</a:t>
            </a:r>
            <a:endParaRPr lang="en-GB" sz="900" b="0" i="0" u="none" strike="noStrike" baseline="-25000">
              <a:solidFill>
                <a:srgbClr val="000000"/>
              </a:solidFill>
              <a:latin typeface="Arial"/>
              <a:cs typeface="Arial"/>
            </a:endParaRPr>
          </a:p>
        </xdr:txBody>
      </xdr:sp>
      <xdr:sp macro="" textlink="">
        <xdr:nvSpPr>
          <xdr:cNvPr id="60" name="Text Box 265"/>
          <xdr:cNvSpPr txBox="1">
            <a:spLocks noChangeArrowheads="1"/>
          </xdr:cNvSpPr>
        </xdr:nvSpPr>
        <xdr:spPr bwMode="auto">
          <a:xfrm>
            <a:off x="2296027" y="9455159"/>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LP</a:t>
            </a:r>
            <a:endParaRPr lang="en-GB" sz="900" b="0" i="0" u="none" strike="noStrike" baseline="-25000">
              <a:solidFill>
                <a:srgbClr val="000000"/>
              </a:solidFill>
              <a:latin typeface="Arial"/>
              <a:cs typeface="Arial"/>
            </a:endParaRPr>
          </a:p>
        </xdr:txBody>
      </xdr:sp>
      <xdr:sp macro="" textlink="">
        <xdr:nvSpPr>
          <xdr:cNvPr id="61" name="Text Box 265"/>
          <xdr:cNvSpPr txBox="1">
            <a:spLocks noChangeArrowheads="1"/>
          </xdr:cNvSpPr>
        </xdr:nvSpPr>
        <xdr:spPr bwMode="auto">
          <a:xfrm>
            <a:off x="2283327" y="9899659"/>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LN</a:t>
            </a:r>
            <a:endParaRPr lang="en-GB" sz="900" b="0" i="0" u="none" strike="noStrike" baseline="-25000">
              <a:solidFill>
                <a:srgbClr val="000000"/>
              </a:solidFill>
              <a:latin typeface="Arial"/>
              <a:cs typeface="Arial"/>
            </a:endParaRPr>
          </a:p>
        </xdr:txBody>
      </xdr:sp>
      <xdr:sp macro="" textlink="">
        <xdr:nvSpPr>
          <xdr:cNvPr id="62" name="Text Box 265"/>
          <xdr:cNvSpPr txBox="1">
            <a:spLocks noChangeArrowheads="1"/>
          </xdr:cNvSpPr>
        </xdr:nvSpPr>
        <xdr:spPr bwMode="auto">
          <a:xfrm>
            <a:off x="2270627" y="10730619"/>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SG</a:t>
            </a:r>
            <a:endParaRPr lang="en-GB" sz="900" b="0" i="0" u="none" strike="noStrike" baseline="-25000">
              <a:solidFill>
                <a:srgbClr val="000000"/>
              </a:solidFill>
              <a:latin typeface="Arial"/>
              <a:cs typeface="Arial"/>
            </a:endParaRPr>
          </a:p>
        </xdr:txBody>
      </xdr:sp>
      <xdr:sp macro="" textlink="">
        <xdr:nvSpPr>
          <xdr:cNvPr id="63" name="Text Box 265"/>
          <xdr:cNvSpPr txBox="1">
            <a:spLocks noChangeArrowheads="1"/>
          </xdr:cNvSpPr>
        </xdr:nvSpPr>
        <xdr:spPr bwMode="auto">
          <a:xfrm>
            <a:off x="2283327" y="11137021"/>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SP</a:t>
            </a:r>
            <a:endParaRPr lang="en-GB" sz="900" b="0" i="0" u="none" strike="noStrike" baseline="-25000">
              <a:solidFill>
                <a:srgbClr val="000000"/>
              </a:solidFill>
              <a:latin typeface="Arial"/>
              <a:cs typeface="Arial"/>
            </a:endParaRPr>
          </a:p>
        </xdr:txBody>
      </xdr:sp>
      <xdr:sp macro="" textlink="">
        <xdr:nvSpPr>
          <xdr:cNvPr id="64" name="Text Box 265"/>
          <xdr:cNvSpPr txBox="1">
            <a:spLocks noChangeArrowheads="1"/>
          </xdr:cNvSpPr>
        </xdr:nvSpPr>
        <xdr:spPr bwMode="auto">
          <a:xfrm>
            <a:off x="1521327" y="10280659"/>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COMP</a:t>
            </a:r>
            <a:endParaRPr lang="en-GB" sz="900" b="0" i="0" u="none" strike="noStrike" baseline="-25000">
              <a:solidFill>
                <a:srgbClr val="000000"/>
              </a:solidFill>
              <a:latin typeface="Arial"/>
              <a:cs typeface="Arial"/>
            </a:endParaRPr>
          </a:p>
        </xdr:txBody>
      </xdr:sp>
      <xdr:sp macro="" textlink="">
        <xdr:nvSpPr>
          <xdr:cNvPr id="65" name="Text Box 265"/>
          <xdr:cNvSpPr txBox="1">
            <a:spLocks noChangeArrowheads="1"/>
          </xdr:cNvSpPr>
        </xdr:nvSpPr>
        <xdr:spPr bwMode="auto">
          <a:xfrm>
            <a:off x="1502277" y="11188709"/>
            <a:ext cx="365961" cy="155408"/>
          </a:xfrm>
          <a:prstGeom prst="rect">
            <a:avLst/>
          </a:prstGeom>
          <a:noFill/>
          <a:ln w="9525">
            <a:noFill/>
            <a:miter lim="800000"/>
            <a:headEnd/>
            <a:tailEnd/>
          </a:ln>
        </xdr:spPr>
        <xdr:txBody>
          <a:bodyPr vertOverflow="clip" wrap="square" lIns="0" tIns="0" rIns="0" bIns="0" anchor="t" upright="1"/>
          <a:lstStyle/>
          <a:p>
            <a:pPr algn="l" rtl="0">
              <a:defRPr sz="1000"/>
            </a:pPr>
            <a:r>
              <a:rPr lang="en-GB" sz="900" b="0" i="0" u="none" strike="noStrike" baseline="0">
                <a:solidFill>
                  <a:srgbClr val="000000"/>
                </a:solidFill>
                <a:latin typeface="Arial"/>
                <a:cs typeface="Arial"/>
              </a:rPr>
              <a:t>OSC</a:t>
            </a:r>
            <a:endParaRPr lang="en-GB" sz="900" b="0" i="0" u="none" strike="noStrike" baseline="-25000">
              <a:solidFill>
                <a:srgbClr val="000000"/>
              </a:solidFill>
              <a:latin typeface="Arial"/>
              <a:cs typeface="Arial"/>
            </a:endParaRPr>
          </a:p>
        </xdr:txBody>
      </xdr:sp>
      <xdr:sp macro="" textlink="">
        <xdr:nvSpPr>
          <xdr:cNvPr id="66" name="Rectangle 283"/>
          <xdr:cNvSpPr>
            <a:spLocks noChangeArrowheads="1"/>
          </xdr:cNvSpPr>
        </xdr:nvSpPr>
        <xdr:spPr bwMode="auto">
          <a:xfrm>
            <a:off x="2819400" y="9912350"/>
            <a:ext cx="260329" cy="106980"/>
          </a:xfrm>
          <a:prstGeom prst="rect">
            <a:avLst/>
          </a:prstGeom>
          <a:solidFill>
            <a:srgbClr val="FFFFFF"/>
          </a:solidFill>
          <a:ln w="12700">
            <a:solidFill>
              <a:srgbClr val="000000"/>
            </a:solidFill>
            <a:miter lim="800000"/>
            <a:headEnd/>
            <a:tailEnd/>
          </a:ln>
        </xdr:spPr>
      </xdr:sp>
      <xdr:sp macro="" textlink="">
        <xdr:nvSpPr>
          <xdr:cNvPr id="67" name="Text Box 265"/>
          <xdr:cNvSpPr txBox="1">
            <a:spLocks noChangeArrowheads="1"/>
          </xdr:cNvSpPr>
        </xdr:nvSpPr>
        <xdr:spPr bwMode="auto">
          <a:xfrm>
            <a:off x="2711450" y="10052050"/>
            <a:ext cx="601578" cy="261113"/>
          </a:xfrm>
          <a:prstGeom prst="rect">
            <a:avLst/>
          </a:prstGeom>
          <a:noFill/>
          <a:ln w="9525">
            <a:noFill/>
            <a:miter lim="800000"/>
            <a:headEnd/>
            <a:tailEnd/>
          </a:ln>
        </xdr:spPr>
        <xdr:txBody>
          <a:bodyPr vertOverflow="clip" wrap="square" lIns="0" tIns="0" rIns="0" bIns="0" anchor="t" upright="1"/>
          <a:lstStyle/>
          <a:p>
            <a:pPr algn="l" rtl="0">
              <a:defRPr sz="1000"/>
            </a:pPr>
            <a:r>
              <a:rPr lang="en-GB" sz="1000" b="0" i="0" u="none" strike="noStrike" baseline="0">
                <a:solidFill>
                  <a:srgbClr val="000000"/>
                </a:solidFill>
                <a:latin typeface="Arial"/>
                <a:cs typeface="Arial"/>
              </a:rPr>
              <a:t>150</a:t>
            </a:r>
            <a:r>
              <a:rPr lang="el-GR" sz="1000" b="0" i="0" u="none" strike="noStrike" baseline="0">
                <a:solidFill>
                  <a:srgbClr val="000000"/>
                </a:solidFill>
                <a:latin typeface="Arial"/>
                <a:cs typeface="Arial"/>
              </a:rPr>
              <a:t>Ω</a:t>
            </a:r>
            <a:endParaRPr lang="en-GB" sz="1000" b="0" i="0" u="none" strike="noStrike" baseline="0">
              <a:solidFill>
                <a:srgbClr val="000000"/>
              </a:solidFill>
              <a:latin typeface="Arial"/>
              <a:cs typeface="Arial"/>
            </a:endParaRPr>
          </a:p>
        </xdr:txBody>
      </xdr:sp>
      <xdr:sp macro="" textlink="">
        <xdr:nvSpPr>
          <xdr:cNvPr id="68" name="Freeform 334"/>
          <xdr:cNvSpPr>
            <a:spLocks/>
          </xdr:cNvSpPr>
        </xdr:nvSpPr>
        <xdr:spPr bwMode="auto">
          <a:xfrm flipH="1">
            <a:off x="3900487" y="9865519"/>
            <a:ext cx="134189" cy="709612"/>
          </a:xfrm>
          <a:custGeom>
            <a:avLst/>
            <a:gdLst/>
            <a:ahLst/>
            <a:cxnLst>
              <a:cxn ang="0">
                <a:pos x="0" y="0"/>
              </a:cxn>
              <a:cxn ang="0">
                <a:pos x="0" y="456"/>
              </a:cxn>
              <a:cxn ang="0">
                <a:pos x="3876" y="456"/>
              </a:cxn>
            </a:cxnLst>
            <a:rect l="0" t="0" r="r" b="b"/>
            <a:pathLst>
              <a:path w="3876" h="456">
                <a:moveTo>
                  <a:pt x="0" y="0"/>
                </a:moveTo>
                <a:lnTo>
                  <a:pt x="0" y="456"/>
                </a:lnTo>
                <a:lnTo>
                  <a:pt x="3876" y="456"/>
                </a:lnTo>
              </a:path>
            </a:pathLst>
          </a:custGeom>
          <a:noFill/>
          <a:ln w="12700" cmpd="sng">
            <a:solidFill>
              <a:srgbClr val="000000"/>
            </a:solidFill>
            <a:round/>
            <a:headEnd/>
            <a:tailEnd/>
          </a:ln>
        </xdr:spPr>
      </xdr:sp>
      <xdr:sp macro="" textlink="">
        <xdr:nvSpPr>
          <xdr:cNvPr id="69" name="Line 307"/>
          <xdr:cNvSpPr>
            <a:spLocks noChangeShapeType="1"/>
          </xdr:cNvSpPr>
        </xdr:nvSpPr>
        <xdr:spPr bwMode="auto">
          <a:xfrm flipH="1">
            <a:off x="3319462" y="10575130"/>
            <a:ext cx="171449" cy="2"/>
          </a:xfrm>
          <a:prstGeom prst="line">
            <a:avLst/>
          </a:prstGeom>
          <a:noFill/>
          <a:ln w="12700">
            <a:solidFill>
              <a:srgbClr val="000000"/>
            </a:solidFill>
            <a:round/>
            <a:headEnd/>
            <a:tailEnd/>
          </a:ln>
        </xdr:spPr>
      </xdr:sp>
      <xdr:grpSp>
        <xdr:nvGrpSpPr>
          <xdr:cNvPr id="70" name="Group 357"/>
          <xdr:cNvGrpSpPr>
            <a:grpSpLocks/>
          </xdr:cNvGrpSpPr>
        </xdr:nvGrpSpPr>
        <xdr:grpSpPr bwMode="auto">
          <a:xfrm>
            <a:off x="3219450" y="10472273"/>
            <a:ext cx="213961" cy="208264"/>
            <a:chOff x="6336" y="4032"/>
            <a:chExt cx="288" cy="288"/>
          </a:xfrm>
        </xdr:grpSpPr>
        <xdr:sp macro="" textlink="">
          <xdr:nvSpPr>
            <xdr:cNvPr id="74" name="Oval 358"/>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75" name="Rectangle 359"/>
            <xdr:cNvSpPr>
              <a:spLocks noChangeArrowheads="1"/>
            </xdr:cNvSpPr>
          </xdr:nvSpPr>
          <xdr:spPr bwMode="auto">
            <a:xfrm>
              <a:off x="6336" y="4032"/>
              <a:ext cx="288" cy="288"/>
            </a:xfrm>
            <a:prstGeom prst="rect">
              <a:avLst/>
            </a:prstGeom>
            <a:noFill/>
            <a:ln w="9525">
              <a:noFill/>
              <a:miter lim="800000"/>
              <a:headEnd/>
              <a:tailEnd/>
            </a:ln>
          </xdr:spPr>
        </xdr:sp>
      </xdr:grpSp>
      <xdr:grpSp>
        <xdr:nvGrpSpPr>
          <xdr:cNvPr id="71" name="Group 357"/>
          <xdr:cNvGrpSpPr>
            <a:grpSpLocks/>
          </xdr:cNvGrpSpPr>
        </xdr:nvGrpSpPr>
        <xdr:grpSpPr bwMode="auto">
          <a:xfrm>
            <a:off x="3217070" y="11634787"/>
            <a:ext cx="213961" cy="208264"/>
            <a:chOff x="6336" y="4032"/>
            <a:chExt cx="288" cy="288"/>
          </a:xfrm>
        </xdr:grpSpPr>
        <xdr:sp macro="" textlink="">
          <xdr:nvSpPr>
            <xdr:cNvPr id="72" name="Oval 358"/>
            <xdr:cNvSpPr>
              <a:spLocks noChangeAspect="1" noChangeArrowheads="1"/>
            </xdr:cNvSpPr>
          </xdr:nvSpPr>
          <xdr:spPr bwMode="auto">
            <a:xfrm>
              <a:off x="6437" y="4133"/>
              <a:ext cx="86" cy="86"/>
            </a:xfrm>
            <a:prstGeom prst="ellipse">
              <a:avLst/>
            </a:prstGeom>
            <a:solidFill>
              <a:srgbClr val="000000"/>
            </a:solidFill>
            <a:ln w="19050">
              <a:noFill/>
              <a:round/>
              <a:headEnd/>
              <a:tailEnd/>
            </a:ln>
          </xdr:spPr>
        </xdr:sp>
        <xdr:sp macro="" textlink="">
          <xdr:nvSpPr>
            <xdr:cNvPr id="73" name="Rectangle 359"/>
            <xdr:cNvSpPr>
              <a:spLocks noChangeArrowheads="1"/>
            </xdr:cNvSpPr>
          </xdr:nvSpPr>
          <xdr:spPr bwMode="auto">
            <a:xfrm>
              <a:off x="6336" y="4032"/>
              <a:ext cx="288" cy="288"/>
            </a:xfrm>
            <a:prstGeom prst="rect">
              <a:avLst/>
            </a:prstGeom>
            <a:noFill/>
            <a:ln w="9525">
              <a:noFill/>
              <a:miter lim="800000"/>
              <a:headEnd/>
              <a:tailEnd/>
            </a:ln>
          </xdr:spPr>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gaboriault/AppData/Local/Microsoft/Windows/Temporary%20Internet%20Files/Content.Outlook/O63SO1X1/A6271%20Component%20Calculator%20Buck%20Boost%20Mode%20V6%20%20Eval%20Boar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gaboriault/AppData/Local/Microsoft/Windows/Temporary%20Internet%20Files/Content.Outlook/O63SO1X1/A6271%20Component%20Calculator%20Buck%20Mode%20V2%20Eval%20Bo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CK-BOOST"/>
      <sheetName val="Sheet2"/>
      <sheetName val="Sheet3"/>
    </sheetNames>
    <sheetDataSet>
      <sheetData sheetId="0">
        <row r="56">
          <cell r="H56">
            <v>0</v>
          </cell>
          <cell r="I56">
            <v>1168.8963648453337</v>
          </cell>
        </row>
        <row r="57">
          <cell r="H57">
            <v>76.097141808223796</v>
          </cell>
          <cell r="I57">
            <v>0.18319723628467391</v>
          </cell>
        </row>
        <row r="58">
          <cell r="H58">
            <v>76.097141808223796</v>
          </cell>
          <cell r="I58">
            <v>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CK"/>
      <sheetName val="Sheet2"/>
      <sheetName val="Sheet3"/>
    </sheetNames>
    <sheetDataSet>
      <sheetData sheetId="0">
        <row r="50">
          <cell r="H50">
            <v>0</v>
          </cell>
          <cell r="I50">
            <v>19230.76923076923</v>
          </cell>
        </row>
        <row r="51">
          <cell r="H51">
            <v>75.95513324656666</v>
          </cell>
          <cell r="I51">
            <v>3.0636559627822542</v>
          </cell>
        </row>
        <row r="52">
          <cell r="H52">
            <v>75.95513324656666</v>
          </cell>
          <cell r="I52">
            <v>0.1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8"/>
  <sheetViews>
    <sheetView zoomScale="110" zoomScaleNormal="110" workbookViewId="0">
      <selection activeCell="J19" sqref="J19"/>
    </sheetView>
  </sheetViews>
  <sheetFormatPr defaultRowHeight="14.5" x14ac:dyDescent="0.35"/>
  <cols>
    <col min="1" max="1" width="41.1796875" customWidth="1"/>
    <col min="2" max="2" width="12.1796875" style="5" customWidth="1"/>
  </cols>
  <sheetData>
    <row r="1" spans="1:11" ht="18.5" x14ac:dyDescent="0.45">
      <c r="A1" s="32" t="s">
        <v>43</v>
      </c>
      <c r="B1" s="33"/>
      <c r="C1" s="33"/>
      <c r="D1" s="33"/>
      <c r="E1" s="33"/>
      <c r="F1" s="33"/>
    </row>
    <row r="2" spans="1:11" x14ac:dyDescent="0.35">
      <c r="A2" s="6"/>
      <c r="B2" s="10"/>
      <c r="C2" s="6"/>
      <c r="D2" s="6"/>
      <c r="E2" s="6"/>
      <c r="F2" s="6"/>
      <c r="G2" s="7"/>
      <c r="H2" s="7"/>
      <c r="I2" s="7"/>
      <c r="J2" s="7"/>
      <c r="K2" s="7"/>
    </row>
    <row r="3" spans="1:11" x14ac:dyDescent="0.35">
      <c r="A3" s="8" t="s">
        <v>10</v>
      </c>
      <c r="B3" s="10"/>
      <c r="C3" s="8"/>
      <c r="D3" s="6"/>
      <c r="E3" s="6"/>
      <c r="F3" s="6"/>
      <c r="G3" s="7"/>
      <c r="H3" s="7"/>
      <c r="I3" s="7"/>
      <c r="J3" s="7"/>
      <c r="K3" s="7"/>
    </row>
    <row r="4" spans="1:11" x14ac:dyDescent="0.35">
      <c r="A4" s="8"/>
      <c r="B4" s="10"/>
      <c r="C4" s="8"/>
      <c r="D4" s="6"/>
      <c r="E4" s="6"/>
      <c r="F4" s="6"/>
      <c r="G4" s="7"/>
      <c r="H4" s="7"/>
      <c r="I4" s="7"/>
      <c r="J4" s="7"/>
      <c r="K4" s="7"/>
    </row>
    <row r="5" spans="1:11" x14ac:dyDescent="0.35">
      <c r="A5" s="8" t="s">
        <v>54</v>
      </c>
      <c r="B5" s="14">
        <v>12</v>
      </c>
      <c r="C5" s="8" t="s">
        <v>0</v>
      </c>
      <c r="D5" s="6"/>
      <c r="E5" s="6"/>
      <c r="F5" s="6"/>
      <c r="G5" s="7"/>
      <c r="H5" s="7"/>
      <c r="I5" s="7"/>
      <c r="J5" s="7"/>
      <c r="K5" s="7"/>
    </row>
    <row r="6" spans="1:11" x14ac:dyDescent="0.35">
      <c r="A6" s="8" t="s">
        <v>16</v>
      </c>
      <c r="B6" s="14">
        <v>34</v>
      </c>
      <c r="C6" s="8" t="s">
        <v>0</v>
      </c>
      <c r="D6" s="6"/>
      <c r="E6" s="6"/>
      <c r="F6" s="6"/>
      <c r="G6" s="7"/>
      <c r="H6" s="7"/>
      <c r="I6" s="7"/>
      <c r="J6" s="7"/>
      <c r="K6" s="7"/>
    </row>
    <row r="7" spans="1:11" x14ac:dyDescent="0.35">
      <c r="A7" s="8" t="s">
        <v>17</v>
      </c>
      <c r="B7" s="14">
        <v>4.5</v>
      </c>
      <c r="C7" s="8" t="s">
        <v>0</v>
      </c>
      <c r="D7" s="6"/>
      <c r="E7" s="6"/>
      <c r="F7" s="6"/>
      <c r="G7" s="7"/>
      <c r="H7" s="7"/>
      <c r="I7" s="7"/>
      <c r="J7" s="7"/>
      <c r="K7" s="7"/>
    </row>
    <row r="8" spans="1:11" x14ac:dyDescent="0.35">
      <c r="A8" s="8" t="s">
        <v>14</v>
      </c>
      <c r="B8" s="14">
        <v>350</v>
      </c>
      <c r="C8" s="8" t="s">
        <v>2</v>
      </c>
      <c r="D8" s="6"/>
      <c r="E8" s="6"/>
      <c r="F8" s="6"/>
      <c r="G8" s="7" t="s">
        <v>55</v>
      </c>
      <c r="H8" s="7">
        <f>(B11*B13)+B14</f>
        <v>49.4</v>
      </c>
      <c r="I8" s="7"/>
      <c r="J8" s="7"/>
      <c r="K8" s="7"/>
    </row>
    <row r="9" spans="1:11" x14ac:dyDescent="0.35">
      <c r="A9" s="8" t="s">
        <v>13</v>
      </c>
      <c r="B9" s="14">
        <v>153</v>
      </c>
      <c r="C9" s="8" t="s">
        <v>18</v>
      </c>
      <c r="D9" s="6"/>
      <c r="E9" s="6"/>
      <c r="F9" s="6"/>
      <c r="G9" s="7" t="s">
        <v>56</v>
      </c>
      <c r="H9" s="30">
        <f>(B16+B31)*(B9/1000)+B7-2*((B11*B13)+(B14))</f>
        <v>-94.273224999999996</v>
      </c>
      <c r="I9" s="7"/>
      <c r="J9" s="7"/>
      <c r="K9" s="7"/>
    </row>
    <row r="10" spans="1:11" x14ac:dyDescent="0.35">
      <c r="A10" s="8" t="s">
        <v>15</v>
      </c>
      <c r="B10" s="14">
        <v>0.2</v>
      </c>
      <c r="C10" s="9" t="s">
        <v>5</v>
      </c>
      <c r="D10" s="6"/>
      <c r="E10" s="6"/>
      <c r="F10" s="6"/>
      <c r="G10" s="7" t="s">
        <v>57</v>
      </c>
      <c r="H10" s="7">
        <f>(B11*B13)+B14-B7+(B15*B9/1000)</f>
        <v>44.91836</v>
      </c>
      <c r="I10" s="7"/>
      <c r="J10" s="7"/>
      <c r="K10" s="7"/>
    </row>
    <row r="11" spans="1:11" x14ac:dyDescent="0.35">
      <c r="A11" s="8" t="s">
        <v>11</v>
      </c>
      <c r="B11" s="14">
        <v>3.5</v>
      </c>
      <c r="C11" s="8" t="s">
        <v>0</v>
      </c>
      <c r="D11" s="6"/>
      <c r="E11" s="6"/>
      <c r="F11" s="6"/>
      <c r="G11" s="7"/>
      <c r="H11" s="7"/>
      <c r="I11" s="7"/>
      <c r="J11" s="7"/>
      <c r="K11" s="7"/>
    </row>
    <row r="12" spans="1:11" x14ac:dyDescent="0.35">
      <c r="A12" s="8" t="s">
        <v>19</v>
      </c>
      <c r="B12" s="14">
        <v>2.5</v>
      </c>
      <c r="C12" s="8" t="s">
        <v>0</v>
      </c>
      <c r="D12" s="6"/>
      <c r="E12" s="6"/>
      <c r="F12" s="6"/>
      <c r="G12" s="7" t="s">
        <v>58</v>
      </c>
      <c r="H12" s="31">
        <f>(-H9+SQRT(((H9*H9)-(4*H8)*H10)))/(2*H8)</f>
        <v>0.98861476279902083</v>
      </c>
      <c r="I12" s="7"/>
      <c r="J12" s="7"/>
      <c r="K12" s="7"/>
    </row>
    <row r="13" spans="1:11" x14ac:dyDescent="0.35">
      <c r="A13" s="8" t="s">
        <v>12</v>
      </c>
      <c r="B13" s="14">
        <v>14</v>
      </c>
      <c r="C13" s="11" t="str">
        <f>IF((B13*B12)&gt;(B6+B14), "","not ok")</f>
        <v/>
      </c>
      <c r="D13" s="6"/>
      <c r="E13" s="6"/>
      <c r="F13" s="6" t="s">
        <v>60</v>
      </c>
      <c r="G13" s="7" t="s">
        <v>59</v>
      </c>
      <c r="H13" s="30">
        <f>(-H9-SQRT(((H9*H9)-(4*H8)*H10)))/(2*H8)</f>
        <v>0.91975011574348919</v>
      </c>
      <c r="I13" s="7"/>
      <c r="J13" s="7"/>
      <c r="K13" s="7"/>
    </row>
    <row r="14" spans="1:11" x14ac:dyDescent="0.35">
      <c r="A14" s="8" t="s">
        <v>20</v>
      </c>
      <c r="B14" s="14">
        <v>0.4</v>
      </c>
      <c r="C14" s="12" t="s">
        <v>0</v>
      </c>
      <c r="D14" s="6"/>
      <c r="E14" s="6"/>
      <c r="F14" s="6"/>
      <c r="G14" s="7"/>
      <c r="H14" s="7"/>
      <c r="I14" s="7"/>
      <c r="J14" s="7"/>
      <c r="K14" s="7"/>
    </row>
    <row r="15" spans="1:11" x14ac:dyDescent="0.35">
      <c r="A15" s="8" t="s">
        <v>50</v>
      </c>
      <c r="B15" s="14">
        <v>0.12</v>
      </c>
      <c r="C15" s="9" t="s">
        <v>5</v>
      </c>
      <c r="D15" s="6"/>
      <c r="E15" s="6"/>
      <c r="F15" s="6"/>
      <c r="G15" s="7"/>
      <c r="H15" s="7"/>
      <c r="I15" s="7"/>
      <c r="J15" s="7"/>
      <c r="K15" s="7"/>
    </row>
    <row r="16" spans="1:11" x14ac:dyDescent="0.35">
      <c r="A16" s="8" t="s">
        <v>51</v>
      </c>
      <c r="B16" s="29">
        <v>0.1</v>
      </c>
      <c r="C16" s="9" t="s">
        <v>5</v>
      </c>
      <c r="D16" s="6"/>
      <c r="E16" s="6"/>
      <c r="F16" s="6"/>
      <c r="G16" s="7"/>
      <c r="H16" s="7"/>
      <c r="I16" s="7"/>
      <c r="J16" s="7"/>
      <c r="K16" s="7"/>
    </row>
    <row r="17" spans="1:11" x14ac:dyDescent="0.35">
      <c r="A17" s="8" t="s">
        <v>9</v>
      </c>
      <c r="B17" s="14">
        <v>6.6</v>
      </c>
      <c r="C17" s="9" t="s">
        <v>27</v>
      </c>
      <c r="D17" s="6"/>
      <c r="E17" s="6"/>
      <c r="F17" s="6"/>
      <c r="G17" s="7"/>
      <c r="H17" s="7"/>
      <c r="I17" s="7"/>
      <c r="J17" s="7"/>
      <c r="K17" s="7"/>
    </row>
    <row r="18" spans="1:11" x14ac:dyDescent="0.35">
      <c r="A18" s="8"/>
      <c r="B18" s="10"/>
      <c r="C18" s="8"/>
      <c r="D18" s="6"/>
      <c r="E18" s="6"/>
      <c r="F18" s="6"/>
      <c r="G18" s="7"/>
      <c r="H18" s="7"/>
      <c r="I18" s="7"/>
      <c r="J18" s="7"/>
      <c r="K18" s="7"/>
    </row>
    <row r="19" spans="1:11" x14ac:dyDescent="0.35">
      <c r="A19" s="8" t="s">
        <v>22</v>
      </c>
      <c r="B19" s="13">
        <f>(-((B16+B31)*(B9/1000)+B7-2*((B11*B13)+(B14)))-SQRT(((((B16+B31)*(B9/1000)+B7-2*((B11*B13)+(B14)))*((B16+B31)*(B9/1000)+B7-2*((B11*B13)+(B14))))-(4*((B11*B13)+B14))*((B11*B13)+B14-B7+(B15*B9/1000)))))/(2*((B11*B13)+B14))</f>
        <v>0.91975011574348919</v>
      </c>
      <c r="C19" s="8"/>
      <c r="D19" s="6"/>
      <c r="E19" s="6"/>
      <c r="F19" s="6"/>
      <c r="G19" s="7"/>
      <c r="H19" s="7"/>
      <c r="I19" s="7"/>
      <c r="J19" s="7"/>
      <c r="K19" s="7"/>
    </row>
    <row r="20" spans="1:11" x14ac:dyDescent="0.35">
      <c r="A20" s="8" t="s">
        <v>21</v>
      </c>
      <c r="B20" s="13">
        <f>(B9/1000)/(1-B19)</f>
        <v>1.9065448058585437</v>
      </c>
      <c r="C20" s="8" t="s">
        <v>1</v>
      </c>
      <c r="D20" s="6"/>
      <c r="E20" s="6"/>
      <c r="F20" s="6"/>
      <c r="G20" s="7"/>
      <c r="H20" s="7"/>
      <c r="I20" s="7"/>
      <c r="J20" s="7"/>
      <c r="K20" s="7"/>
    </row>
    <row r="21" spans="1:11" x14ac:dyDescent="0.35">
      <c r="A21" s="8" t="s">
        <v>52</v>
      </c>
      <c r="B21" s="13">
        <f>((B13*B11)+B14-B5)/((B13*B11+B14))</f>
        <v>0.75708502024291502</v>
      </c>
      <c r="C21" s="8"/>
      <c r="D21" s="6"/>
      <c r="E21" s="6"/>
      <c r="F21" s="6"/>
      <c r="G21" s="7" t="s">
        <v>63</v>
      </c>
      <c r="H21" s="31">
        <f>((B13*B11)+B14-34)/((B13*B11+B14))</f>
        <v>0.31174089068825911</v>
      </c>
      <c r="I21" s="7"/>
      <c r="J21" s="7"/>
      <c r="K21" s="7"/>
    </row>
    <row r="22" spans="1:11" x14ac:dyDescent="0.35">
      <c r="A22" s="8" t="s">
        <v>53</v>
      </c>
      <c r="B22" s="13">
        <f>(B9/1000)/(1-B21)</f>
        <v>0.62985000000000013</v>
      </c>
      <c r="C22" s="8" t="s">
        <v>1</v>
      </c>
      <c r="D22" s="6"/>
      <c r="E22" s="6"/>
      <c r="F22" s="6"/>
      <c r="G22" s="7" t="s">
        <v>61</v>
      </c>
      <c r="H22" s="7">
        <f>(B9/1000)/(1-H21)</f>
        <v>0.22229999999999997</v>
      </c>
      <c r="I22" s="7"/>
      <c r="J22" s="7"/>
      <c r="K22" s="7"/>
    </row>
    <row r="23" spans="1:11" x14ac:dyDescent="0.35">
      <c r="A23" s="8" t="s">
        <v>64</v>
      </c>
      <c r="B23" s="13">
        <f>IF(B7&lt;5.1,(0.1*B20),(0.15*B20))</f>
        <v>0.19065448058585438</v>
      </c>
      <c r="C23" s="8" t="s">
        <v>1</v>
      </c>
      <c r="D23" s="28"/>
      <c r="E23" s="6"/>
      <c r="F23" s="6"/>
      <c r="G23" s="7" t="s">
        <v>62</v>
      </c>
      <c r="H23" s="31">
        <f>(1*10^6*((B11*B13)+ B14-34)*(1-H21)/(B8*10^3*B25))</f>
        <v>0.54077501445922493</v>
      </c>
      <c r="I23" s="7"/>
      <c r="J23" s="7"/>
      <c r="K23" s="7"/>
    </row>
    <row r="24" spans="1:11" x14ac:dyDescent="0.35">
      <c r="A24" s="8" t="s">
        <v>6</v>
      </c>
      <c r="B24" s="19">
        <f>1*10^6*((B11*B13)+ B14-B7)*(1-B19)/(B8*10^3*B23)</f>
        <v>53.997753903068876</v>
      </c>
      <c r="C24" s="8" t="s">
        <v>8</v>
      </c>
      <c r="D24" s="6"/>
      <c r="E24" s="6"/>
      <c r="F24" s="6"/>
      <c r="G24" s="7"/>
      <c r="H24" s="7"/>
      <c r="I24" s="7"/>
      <c r="J24" s="7"/>
      <c r="K24" s="7"/>
    </row>
    <row r="25" spans="1:11" x14ac:dyDescent="0.35">
      <c r="A25" s="8" t="s">
        <v>7</v>
      </c>
      <c r="B25" s="17">
        <v>56</v>
      </c>
      <c r="C25" s="8" t="s">
        <v>8</v>
      </c>
      <c r="D25" s="6"/>
      <c r="E25" s="6"/>
      <c r="F25" s="6"/>
      <c r="G25" s="7"/>
      <c r="H25" s="7"/>
      <c r="I25" s="7"/>
      <c r="J25" s="7"/>
      <c r="K25" s="7"/>
    </row>
    <row r="26" spans="1:11" x14ac:dyDescent="0.35">
      <c r="A26" s="8" t="s">
        <v>25</v>
      </c>
      <c r="B26" s="15">
        <f>(1*10^6*((B11*B13)+ B14-B7)*(1-B19)/(B8*10^3*B25))/2 + B20</f>
        <v>1.9984636783870471</v>
      </c>
      <c r="C26" s="8" t="s">
        <v>1</v>
      </c>
      <c r="D26" s="6"/>
      <c r="E26" s="6"/>
      <c r="F26" s="6"/>
      <c r="G26" s="7"/>
      <c r="H26" s="7"/>
      <c r="I26" s="7"/>
      <c r="J26" s="7"/>
      <c r="K26" s="7"/>
    </row>
    <row r="27" spans="1:11" x14ac:dyDescent="0.35">
      <c r="A27" s="8"/>
      <c r="B27" s="15"/>
      <c r="C27" s="8"/>
      <c r="D27" s="6"/>
      <c r="E27" s="6"/>
      <c r="F27" s="6"/>
      <c r="G27" s="7"/>
      <c r="H27" s="7"/>
      <c r="I27" s="7"/>
      <c r="J27" s="7"/>
      <c r="K27" s="7"/>
    </row>
    <row r="28" spans="1:11" x14ac:dyDescent="0.35">
      <c r="A28" s="8" t="s">
        <v>29</v>
      </c>
      <c r="B28" s="15">
        <f>(B11*B13+B14-B7)/(B25)</f>
        <v>0.80178571428571421</v>
      </c>
      <c r="C28" s="8" t="s">
        <v>28</v>
      </c>
      <c r="D28" s="22"/>
      <c r="E28" s="6"/>
      <c r="F28" s="6"/>
      <c r="G28" s="7"/>
      <c r="H28" s="7"/>
      <c r="I28" s="7"/>
      <c r="J28" s="7"/>
      <c r="K28" s="7"/>
    </row>
    <row r="29" spans="1:11" x14ac:dyDescent="0.35">
      <c r="A29" s="8" t="s">
        <v>30</v>
      </c>
      <c r="B29" s="15">
        <f>B28*(1-(0.18/B19))</f>
        <v>0.6448719764116343</v>
      </c>
      <c r="C29" s="8" t="s">
        <v>28</v>
      </c>
      <c r="D29" s="6"/>
      <c r="E29" s="6"/>
      <c r="F29" s="6"/>
      <c r="G29" s="7"/>
      <c r="H29" s="7"/>
      <c r="I29" s="7"/>
      <c r="J29" s="7"/>
      <c r="K29" s="7"/>
    </row>
    <row r="30" spans="1:11" x14ac:dyDescent="0.35">
      <c r="A30" s="8" t="s">
        <v>32</v>
      </c>
      <c r="B30" s="15">
        <f>0.32/((B20+B23/2)+(B29*(B19+0.2)*1000/B8))</f>
        <v>7.8720749230488649E-2</v>
      </c>
      <c r="C30" s="9" t="s">
        <v>5</v>
      </c>
      <c r="D30" s="6"/>
      <c r="E30" s="6"/>
      <c r="F30" s="6"/>
      <c r="G30" s="7"/>
      <c r="H30" s="7"/>
      <c r="I30" s="7"/>
      <c r="J30" s="7"/>
      <c r="K30" s="7"/>
    </row>
    <row r="31" spans="1:11" x14ac:dyDescent="0.35">
      <c r="A31" s="8" t="s">
        <v>33</v>
      </c>
      <c r="B31" s="18">
        <v>7.4999999999999997E-2</v>
      </c>
      <c r="C31" s="9" t="s">
        <v>5</v>
      </c>
      <c r="D31" s="28"/>
      <c r="E31" s="6"/>
      <c r="F31" s="6"/>
      <c r="G31" s="7"/>
      <c r="H31" s="7"/>
      <c r="I31" s="7"/>
      <c r="J31" s="7"/>
      <c r="K31" s="7"/>
    </row>
    <row r="32" spans="1:11" x14ac:dyDescent="0.35">
      <c r="A32" s="8" t="s">
        <v>31</v>
      </c>
      <c r="B32" s="16">
        <f xml:space="preserve"> (B29*B31)/(100*10^-6*1*10^-6*B8*10^3)</f>
        <v>1381.8685208820734</v>
      </c>
      <c r="C32" s="9" t="s">
        <v>5</v>
      </c>
      <c r="D32" s="6"/>
      <c r="E32" s="6"/>
      <c r="F32" s="6"/>
      <c r="G32" s="7"/>
      <c r="H32" s="7"/>
      <c r="I32" s="7"/>
      <c r="J32" s="7"/>
      <c r="K32" s="7"/>
    </row>
    <row r="33" spans="1:11" x14ac:dyDescent="0.35">
      <c r="A33" s="8" t="s">
        <v>44</v>
      </c>
      <c r="B33" s="21">
        <v>1300</v>
      </c>
      <c r="C33" s="9" t="s">
        <v>5</v>
      </c>
      <c r="D33" s="6"/>
      <c r="E33" s="6"/>
      <c r="F33" s="6"/>
      <c r="G33" s="7"/>
      <c r="H33" s="7"/>
      <c r="I33" s="7"/>
      <c r="J33" s="7"/>
      <c r="K33" s="7"/>
    </row>
    <row r="34" spans="1:11" x14ac:dyDescent="0.35">
      <c r="A34" s="8"/>
      <c r="B34" s="15"/>
      <c r="C34" s="9"/>
      <c r="D34" s="6"/>
      <c r="E34" s="6"/>
      <c r="F34" s="6"/>
      <c r="G34" s="7"/>
      <c r="H34" s="7"/>
      <c r="I34" s="7"/>
      <c r="J34" s="7"/>
      <c r="K34" s="7"/>
    </row>
    <row r="35" spans="1:11" ht="15.5" x14ac:dyDescent="0.4">
      <c r="A35" s="8" t="s">
        <v>24</v>
      </c>
      <c r="B35" s="15">
        <f>200/B9</f>
        <v>1.3071895424836601</v>
      </c>
      <c r="C35" s="9" t="s">
        <v>5</v>
      </c>
      <c r="D35" s="6"/>
      <c r="E35" s="6"/>
      <c r="F35" s="6"/>
      <c r="G35" s="7"/>
      <c r="H35" s="7"/>
      <c r="I35" s="7"/>
      <c r="J35" s="7"/>
      <c r="K35" s="7"/>
    </row>
    <row r="36" spans="1:11" x14ac:dyDescent="0.35">
      <c r="A36" s="8" t="s">
        <v>49</v>
      </c>
      <c r="B36" s="18">
        <v>1.35</v>
      </c>
      <c r="C36" s="9" t="s">
        <v>5</v>
      </c>
      <c r="D36" s="6"/>
      <c r="E36" s="6"/>
      <c r="F36" s="6"/>
      <c r="G36" s="7"/>
      <c r="H36" s="7"/>
      <c r="I36" s="7"/>
      <c r="J36" s="7"/>
      <c r="K36" s="7"/>
    </row>
    <row r="37" spans="1:11" x14ac:dyDescent="0.35">
      <c r="A37" s="8"/>
      <c r="B37" s="10"/>
      <c r="C37" s="8"/>
      <c r="D37" s="6"/>
      <c r="E37" s="6"/>
      <c r="F37" s="6"/>
      <c r="G37" s="7"/>
      <c r="H37" s="7"/>
      <c r="I37" s="7"/>
      <c r="J37" s="7"/>
      <c r="K37" s="7"/>
    </row>
    <row r="38" spans="1:11" x14ac:dyDescent="0.35">
      <c r="A38" s="8" t="s">
        <v>23</v>
      </c>
      <c r="B38" s="13">
        <f>(B11*B13*(1-B19)^2)/((B9/1000)*2*PI()*B25*10^-6*1000)</f>
        <v>5.8617269352327632</v>
      </c>
      <c r="C38" s="8" t="s">
        <v>2</v>
      </c>
      <c r="D38" s="6"/>
      <c r="E38" s="6"/>
      <c r="F38" s="6"/>
      <c r="G38" s="7"/>
      <c r="H38" s="7"/>
      <c r="I38" s="7"/>
      <c r="J38" s="7"/>
      <c r="K38" s="7"/>
    </row>
    <row r="39" spans="1:11" x14ac:dyDescent="0.35">
      <c r="A39" s="8" t="s">
        <v>26</v>
      </c>
      <c r="B39" s="13">
        <f>B38/5</f>
        <v>1.1723453870465526</v>
      </c>
      <c r="C39" s="8" t="s">
        <v>2</v>
      </c>
      <c r="D39" s="6"/>
      <c r="E39" s="6"/>
      <c r="F39" s="6"/>
      <c r="G39" s="7"/>
      <c r="H39" s="7"/>
      <c r="I39" s="7"/>
      <c r="J39" s="7"/>
      <c r="K39" s="7"/>
    </row>
    <row r="40" spans="1:11" x14ac:dyDescent="0.35">
      <c r="A40" s="8" t="s">
        <v>34</v>
      </c>
      <c r="B40" s="19">
        <f>5*1259*B36*(1-B19)/(B31*1)* ((B11*B13/(B9*10^-3))/((B11*B13/(B9*10^-3))+(B13*B10)+B36))</f>
        <v>8976.7916532636118</v>
      </c>
      <c r="C40" s="8"/>
      <c r="D40" s="6"/>
      <c r="E40" s="6"/>
      <c r="F40" s="6"/>
      <c r="G40" s="7"/>
      <c r="H40" s="7"/>
      <c r="I40" s="7"/>
      <c r="J40" s="7"/>
      <c r="K40" s="7"/>
    </row>
    <row r="41" spans="1:11" x14ac:dyDescent="0.35">
      <c r="A41" s="8" t="str">
        <f>CONCATENATE("RC constant to achieve gain of 0dB at ", ROUND(B39,1), "kHz")</f>
        <v>RC constant to achieve gain of 0dB at 1.2kHz</v>
      </c>
      <c r="B41" s="20">
        <f>1/(PI()*2*B39*10^3)</f>
        <v>1.35757725368672E-4</v>
      </c>
      <c r="C41" s="8"/>
      <c r="D41" s="6"/>
      <c r="E41" s="6"/>
      <c r="F41" s="6"/>
      <c r="G41" s="7"/>
      <c r="H41" s="7"/>
      <c r="I41" s="7"/>
      <c r="J41" s="7"/>
      <c r="K41" s="7"/>
    </row>
    <row r="42" spans="1:11" x14ac:dyDescent="0.35">
      <c r="A42" s="8" t="s">
        <v>39</v>
      </c>
      <c r="B42" s="13">
        <f>1/(2*PI()*B41*B40)</f>
        <v>0.13059737067868044</v>
      </c>
      <c r="C42" s="8" t="s">
        <v>3</v>
      </c>
      <c r="D42" s="6"/>
      <c r="E42" s="6"/>
      <c r="F42" s="6"/>
      <c r="G42" s="7"/>
      <c r="H42" s="7"/>
      <c r="I42" s="7"/>
      <c r="J42" s="7"/>
      <c r="K42" s="7"/>
    </row>
    <row r="43" spans="1:11" x14ac:dyDescent="0.35">
      <c r="A43" s="8" t="s">
        <v>38</v>
      </c>
      <c r="B43" s="10">
        <f xml:space="preserve"> ((750*10^-6)/(2*PI()*B42*1258))</f>
        <v>7.2655136086380072E-7</v>
      </c>
      <c r="C43" s="8" t="s">
        <v>35</v>
      </c>
      <c r="D43" s="6"/>
      <c r="E43" s="6"/>
      <c r="F43" s="6"/>
      <c r="G43" s="7"/>
      <c r="H43" s="7"/>
      <c r="I43" s="7"/>
      <c r="J43" s="7"/>
      <c r="K43" s="7"/>
    </row>
    <row r="44" spans="1:11" x14ac:dyDescent="0.35">
      <c r="A44" s="8" t="s">
        <v>37</v>
      </c>
      <c r="B44" s="17">
        <v>680</v>
      </c>
      <c r="C44" s="8" t="s">
        <v>4</v>
      </c>
      <c r="D44" s="6"/>
      <c r="E44" s="6"/>
      <c r="F44" s="6"/>
      <c r="G44" s="7"/>
      <c r="H44" s="7"/>
      <c r="I44" s="7"/>
      <c r="J44" s="7"/>
      <c r="K44" s="7"/>
    </row>
    <row r="45" spans="1:11" x14ac:dyDescent="0.35">
      <c r="A45" s="8" t="s">
        <v>40</v>
      </c>
      <c r="B45" s="16">
        <f>(B11*B13/(B9*10^-3)+(B13*B10)+B35)/(2*PI()*(B11*B13/(B9*10^-3))*(B17*10^-6)*((B13*B10)+B35))</f>
        <v>5946.5577988925079</v>
      </c>
      <c r="C45" s="8" t="s">
        <v>3</v>
      </c>
      <c r="D45" s="6"/>
      <c r="E45" s="6"/>
      <c r="F45" s="6"/>
      <c r="G45" s="7"/>
      <c r="H45" s="7"/>
      <c r="I45" s="7"/>
      <c r="J45" s="7"/>
      <c r="K45" s="7"/>
    </row>
    <row r="46" spans="1:11" x14ac:dyDescent="0.35">
      <c r="A46" s="8" t="s">
        <v>36</v>
      </c>
      <c r="B46" s="16">
        <f>1/(2*PI()*B45*B44*10^-9)</f>
        <v>39.359137641516909</v>
      </c>
      <c r="C46" s="9" t="s">
        <v>5</v>
      </c>
      <c r="D46" s="6"/>
      <c r="E46" s="6"/>
      <c r="F46" s="6"/>
      <c r="G46" s="7"/>
      <c r="H46" s="7"/>
      <c r="I46" s="7"/>
      <c r="J46" s="7"/>
      <c r="K46" s="7"/>
    </row>
    <row r="47" spans="1:11" x14ac:dyDescent="0.35">
      <c r="A47" s="8" t="s">
        <v>45</v>
      </c>
      <c r="B47" s="17">
        <v>39</v>
      </c>
      <c r="C47" s="9" t="s">
        <v>5</v>
      </c>
      <c r="D47" s="6"/>
      <c r="E47" s="6"/>
      <c r="F47" s="6"/>
      <c r="G47" s="7"/>
      <c r="H47" s="7"/>
      <c r="I47" s="7"/>
      <c r="J47" s="7"/>
      <c r="K47" s="7"/>
    </row>
    <row r="48" spans="1:11" x14ac:dyDescent="0.35">
      <c r="A48" s="8"/>
      <c r="B48" s="10"/>
      <c r="C48" s="8"/>
      <c r="D48" s="6"/>
      <c r="E48" s="6"/>
      <c r="F48" s="6"/>
      <c r="G48" s="7"/>
      <c r="H48" s="7"/>
      <c r="I48" s="7"/>
      <c r="J48" s="7"/>
      <c r="K48" s="7"/>
    </row>
    <row r="49" spans="1:11" x14ac:dyDescent="0.35">
      <c r="A49" s="8" t="s">
        <v>46</v>
      </c>
      <c r="B49" s="10">
        <f>25690/B8</f>
        <v>73.400000000000006</v>
      </c>
      <c r="C49" s="9" t="s">
        <v>48</v>
      </c>
      <c r="D49" s="6"/>
      <c r="E49" s="6"/>
      <c r="F49" s="6"/>
      <c r="G49" s="7"/>
      <c r="H49" s="7"/>
      <c r="I49" s="7"/>
      <c r="J49" s="7"/>
      <c r="K49" s="7"/>
    </row>
    <row r="50" spans="1:11" x14ac:dyDescent="0.35">
      <c r="A50" s="8" t="s">
        <v>47</v>
      </c>
      <c r="B50" s="17">
        <v>73.400000000000006</v>
      </c>
      <c r="C50" s="9" t="s">
        <v>48</v>
      </c>
      <c r="D50" s="6"/>
      <c r="E50" s="6"/>
      <c r="F50" s="6"/>
      <c r="G50" s="7"/>
      <c r="H50" s="7"/>
      <c r="I50" s="7"/>
      <c r="J50" s="7"/>
      <c r="K50" s="7"/>
    </row>
    <row r="51" spans="1:11" x14ac:dyDescent="0.35">
      <c r="A51" s="8"/>
      <c r="B51" s="10"/>
      <c r="C51" s="9"/>
      <c r="D51" s="6"/>
      <c r="E51" s="6"/>
      <c r="F51" s="6"/>
      <c r="G51" s="7"/>
      <c r="H51" s="7"/>
      <c r="I51" s="7"/>
      <c r="J51" s="7"/>
      <c r="K51" s="7"/>
    </row>
    <row r="52" spans="1:11" x14ac:dyDescent="0.35">
      <c r="A52" s="8"/>
      <c r="B52" s="10"/>
      <c r="C52" s="9"/>
      <c r="D52" s="6"/>
      <c r="E52" s="6"/>
      <c r="F52" s="6"/>
      <c r="G52" s="7"/>
      <c r="H52" s="7"/>
      <c r="I52" s="7"/>
      <c r="J52" s="7"/>
      <c r="K52" s="7"/>
    </row>
    <row r="53" spans="1:11" x14ac:dyDescent="0.35">
      <c r="A53" s="10" t="str">
        <f>B25&amp;"µH"</f>
        <v>56µH</v>
      </c>
      <c r="B53" s="10"/>
      <c r="C53" s="8"/>
      <c r="D53" s="6"/>
      <c r="E53" s="6"/>
      <c r="F53" s="6"/>
      <c r="G53" s="7"/>
      <c r="H53" s="7"/>
      <c r="I53" s="7"/>
      <c r="J53" s="7"/>
      <c r="K53" s="7"/>
    </row>
    <row r="54" spans="1:11" x14ac:dyDescent="0.35">
      <c r="A54" s="34"/>
      <c r="B54" s="34"/>
      <c r="C54" s="34"/>
      <c r="D54" s="34"/>
      <c r="E54" s="34"/>
      <c r="F54" s="1"/>
    </row>
    <row r="55" spans="1:11" x14ac:dyDescent="0.35">
      <c r="A55" s="7"/>
      <c r="B55" s="10"/>
      <c r="C55" s="7"/>
      <c r="D55" s="7"/>
      <c r="E55" s="7"/>
      <c r="H55" t="s">
        <v>41</v>
      </c>
      <c r="I55" t="s">
        <v>42</v>
      </c>
    </row>
    <row r="56" spans="1:11" x14ac:dyDescent="0.35">
      <c r="A56" s="23"/>
      <c r="B56" s="10"/>
      <c r="C56" s="23"/>
      <c r="D56" s="23"/>
      <c r="E56" s="23"/>
      <c r="H56">
        <v>0</v>
      </c>
      <c r="I56" s="4">
        <f>B39*1000</f>
        <v>1172.3453870465526</v>
      </c>
    </row>
    <row r="57" spans="1:11" x14ac:dyDescent="0.35">
      <c r="A57" s="23"/>
      <c r="B57" s="10"/>
      <c r="C57" s="23"/>
      <c r="D57" s="23"/>
      <c r="E57" s="23"/>
      <c r="H57" s="3">
        <f>20*LOG10(B40)</f>
        <v>79.062422910958702</v>
      </c>
      <c r="I57" s="2">
        <f>B42</f>
        <v>0.13059737067868044</v>
      </c>
    </row>
    <row r="58" spans="1:11" x14ac:dyDescent="0.35">
      <c r="A58" s="23"/>
      <c r="B58" s="10"/>
      <c r="C58" s="23"/>
      <c r="D58" s="24" t="str">
        <f>B36&amp;"Ω"</f>
        <v>1.35Ω</v>
      </c>
      <c r="E58" s="23"/>
      <c r="H58" s="3">
        <f>20*LOG10(B40)</f>
        <v>79.062422910958702</v>
      </c>
      <c r="I58">
        <v>0.1</v>
      </c>
    </row>
    <row r="59" spans="1:11" x14ac:dyDescent="0.35">
      <c r="A59" s="7"/>
      <c r="B59" s="8"/>
      <c r="C59" s="7"/>
      <c r="D59" s="7"/>
      <c r="E59" s="7"/>
      <c r="H59">
        <f>20*LOG10(B40)</f>
        <v>79.062422910958702</v>
      </c>
      <c r="I59">
        <v>0.1</v>
      </c>
    </row>
    <row r="60" spans="1:11" x14ac:dyDescent="0.35">
      <c r="A60" s="7"/>
      <c r="B60" s="10"/>
      <c r="C60" s="7"/>
      <c r="D60" s="7"/>
      <c r="E60" s="7"/>
    </row>
    <row r="61" spans="1:11" x14ac:dyDescent="0.35">
      <c r="A61" s="7"/>
      <c r="B61" s="10"/>
      <c r="C61" s="7"/>
      <c r="D61" s="7"/>
      <c r="E61" s="7"/>
    </row>
    <row r="62" spans="1:11" x14ac:dyDescent="0.35">
      <c r="A62" s="7" t="str">
        <f>B44&amp;"nF"</f>
        <v>680nF</v>
      </c>
      <c r="B62" s="10"/>
      <c r="C62" s="7"/>
      <c r="D62" s="10"/>
      <c r="E62" s="27" t="str">
        <f>B17&amp;"µF"</f>
        <v>6.6µF</v>
      </c>
    </row>
    <row r="63" spans="1:11" x14ac:dyDescent="0.35">
      <c r="A63" s="7"/>
      <c r="B63" s="10"/>
      <c r="C63" s="7"/>
      <c r="D63" s="7"/>
      <c r="E63" s="7"/>
    </row>
    <row r="64" spans="1:11" x14ac:dyDescent="0.35">
      <c r="A64" s="7"/>
      <c r="B64" s="8" t="str">
        <f>B33&amp;"Ω"</f>
        <v>1300Ω</v>
      </c>
      <c r="C64" s="7"/>
      <c r="D64" s="7"/>
      <c r="E64" s="25"/>
    </row>
    <row r="65" spans="1:5" x14ac:dyDescent="0.35">
      <c r="A65" s="7" t="str">
        <f>B47&amp;"Ω"</f>
        <v>39Ω</v>
      </c>
      <c r="B65" s="10"/>
      <c r="C65" s="7"/>
      <c r="D65" s="7"/>
      <c r="E65" s="7"/>
    </row>
    <row r="66" spans="1:5" x14ac:dyDescent="0.35">
      <c r="A66" s="7"/>
      <c r="B66" s="8" t="str">
        <f>B31&amp;"Ω"</f>
        <v>0.075Ω</v>
      </c>
      <c r="C66" s="7"/>
      <c r="D66" s="24"/>
      <c r="E66" s="7"/>
    </row>
    <row r="67" spans="1:5" x14ac:dyDescent="0.35">
      <c r="A67" s="26" t="str">
        <f>B50&amp;"kΩ"</f>
        <v>73.4kΩ</v>
      </c>
      <c r="B67" s="10"/>
      <c r="C67" s="7"/>
      <c r="D67" s="7"/>
      <c r="E67" s="7"/>
    </row>
    <row r="68" spans="1:5" x14ac:dyDescent="0.35">
      <c r="A68" s="7"/>
      <c r="B68" s="10"/>
      <c r="C68" s="7"/>
      <c r="D68" s="7"/>
      <c r="E68" s="7"/>
    </row>
  </sheetData>
  <mergeCells count="2">
    <mergeCell ref="A1:F1"/>
    <mergeCell ref="A54:E54"/>
  </mergeCells>
  <pageMargins left="0.70866141732283472" right="0.70866141732283472" top="0.74803149606299213" bottom="0.74803149606299213" header="0.31496062992125984" footer="0.31496062992125984"/>
  <pageSetup paperSize="9" orientation="landscape" horizontalDpi="4294967292"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8"/>
  <sheetViews>
    <sheetView zoomScale="110" zoomScaleNormal="110" workbookViewId="0">
      <selection activeCell="A23" sqref="A23"/>
    </sheetView>
  </sheetViews>
  <sheetFormatPr defaultRowHeight="14.5" x14ac:dyDescent="0.35"/>
  <cols>
    <col min="1" max="1" width="42.453125" customWidth="1"/>
    <col min="2" max="2" width="12.1796875" style="5" customWidth="1"/>
  </cols>
  <sheetData>
    <row r="1" spans="1:11" ht="18.5" x14ac:dyDescent="0.45">
      <c r="A1" s="32" t="s">
        <v>65</v>
      </c>
      <c r="B1" s="33"/>
      <c r="C1" s="33"/>
      <c r="D1" s="33"/>
      <c r="E1" s="33"/>
      <c r="F1" s="33"/>
    </row>
    <row r="2" spans="1:11" x14ac:dyDescent="0.35">
      <c r="A2" s="6"/>
      <c r="B2" s="10"/>
      <c r="C2" s="6"/>
      <c r="D2" s="6"/>
      <c r="E2" s="6"/>
      <c r="F2" s="6"/>
      <c r="G2" s="7"/>
      <c r="H2" s="7"/>
      <c r="I2" s="7"/>
      <c r="J2" s="7"/>
      <c r="K2" s="7"/>
    </row>
    <row r="3" spans="1:11" x14ac:dyDescent="0.35">
      <c r="A3" s="8" t="s">
        <v>10</v>
      </c>
      <c r="B3" s="10"/>
      <c r="C3" s="8"/>
      <c r="D3" s="6"/>
      <c r="E3" s="6"/>
      <c r="F3" s="6"/>
      <c r="G3" s="7"/>
      <c r="H3" s="7"/>
      <c r="I3" s="7"/>
      <c r="J3" s="7"/>
      <c r="K3" s="7"/>
    </row>
    <row r="4" spans="1:11" x14ac:dyDescent="0.35">
      <c r="A4" s="8"/>
      <c r="B4" s="10"/>
      <c r="C4" s="8"/>
      <c r="D4" s="6"/>
      <c r="E4" s="6"/>
      <c r="F4" s="6"/>
      <c r="G4" s="7"/>
      <c r="H4" s="7"/>
      <c r="I4" s="7"/>
      <c r="J4" s="7"/>
      <c r="K4" s="7"/>
    </row>
    <row r="5" spans="1:11" x14ac:dyDescent="0.35">
      <c r="A5" s="8" t="s">
        <v>54</v>
      </c>
      <c r="B5" s="14">
        <v>12</v>
      </c>
      <c r="C5" s="8" t="s">
        <v>0</v>
      </c>
      <c r="D5" s="6"/>
      <c r="E5" s="6"/>
      <c r="F5" s="6"/>
      <c r="G5" s="7"/>
      <c r="H5" s="7"/>
      <c r="I5" s="7"/>
      <c r="J5" s="30"/>
      <c r="K5" s="7"/>
    </row>
    <row r="6" spans="1:11" x14ac:dyDescent="0.35">
      <c r="A6" s="8" t="s">
        <v>16</v>
      </c>
      <c r="B6" s="14">
        <v>18</v>
      </c>
      <c r="C6" s="8" t="s">
        <v>0</v>
      </c>
      <c r="D6" s="6"/>
      <c r="E6" s="6"/>
      <c r="F6" s="6"/>
      <c r="G6" s="7"/>
      <c r="H6" s="7"/>
      <c r="I6" s="7"/>
      <c r="J6" s="7"/>
      <c r="K6" s="7"/>
    </row>
    <row r="7" spans="1:11" x14ac:dyDescent="0.35">
      <c r="A7" s="8" t="s">
        <v>17</v>
      </c>
      <c r="B7" s="14">
        <v>4.5</v>
      </c>
      <c r="C7" s="8" t="s">
        <v>0</v>
      </c>
      <c r="D7" s="6"/>
      <c r="E7" s="6"/>
      <c r="F7" s="6"/>
      <c r="G7" s="7"/>
      <c r="H7" s="7"/>
      <c r="I7" s="7"/>
      <c r="J7" s="7"/>
      <c r="K7" s="7"/>
    </row>
    <row r="8" spans="1:11" x14ac:dyDescent="0.35">
      <c r="A8" s="8" t="s">
        <v>14</v>
      </c>
      <c r="B8" s="14">
        <v>250</v>
      </c>
      <c r="C8" s="8" t="s">
        <v>2</v>
      </c>
      <c r="D8" s="6"/>
      <c r="E8" s="6"/>
      <c r="F8" s="6"/>
      <c r="G8" s="7"/>
      <c r="H8" s="7">
        <v>8</v>
      </c>
      <c r="I8" s="7" t="s">
        <v>55</v>
      </c>
      <c r="J8" s="7">
        <f>-B14-(B11*B13)-B7</f>
        <v>-20.9</v>
      </c>
      <c r="K8" s="7"/>
    </row>
    <row r="9" spans="1:11" x14ac:dyDescent="0.35">
      <c r="A9" s="8" t="s">
        <v>13</v>
      </c>
      <c r="B9" s="14">
        <v>400</v>
      </c>
      <c r="C9" s="8" t="s">
        <v>18</v>
      </c>
      <c r="D9" s="6"/>
      <c r="E9" s="6"/>
      <c r="F9" s="6"/>
      <c r="G9" s="7"/>
      <c r="H9" s="7">
        <v>9</v>
      </c>
      <c r="I9" s="7" t="s">
        <v>56</v>
      </c>
      <c r="J9" s="7">
        <f>B7-((B9/1000)*(B16+B31))+2*(B14+(B11*B13))</f>
        <v>37.223999999999997</v>
      </c>
      <c r="K9" s="7"/>
    </row>
    <row r="10" spans="1:11" x14ac:dyDescent="0.35">
      <c r="A10" s="8" t="s">
        <v>15</v>
      </c>
      <c r="B10" s="14">
        <v>0.2</v>
      </c>
      <c r="C10" s="9" t="s">
        <v>5</v>
      </c>
      <c r="D10" s="6"/>
      <c r="E10" s="6"/>
      <c r="F10" s="6"/>
      <c r="G10" s="7"/>
      <c r="H10" s="7">
        <v>10</v>
      </c>
      <c r="I10" s="7" t="s">
        <v>57</v>
      </c>
      <c r="J10" s="7">
        <f>((-B9/1000)*B15)-B14-((B11*B13))</f>
        <v>-16.448</v>
      </c>
      <c r="K10" s="7"/>
    </row>
    <row r="11" spans="1:11" x14ac:dyDescent="0.35">
      <c r="A11" s="8" t="s">
        <v>11</v>
      </c>
      <c r="B11" s="14">
        <v>4</v>
      </c>
      <c r="C11" s="8" t="s">
        <v>0</v>
      </c>
      <c r="D11" s="6"/>
      <c r="E11" s="6"/>
      <c r="F11" s="6"/>
      <c r="G11" s="7"/>
      <c r="H11" s="7"/>
      <c r="I11" s="7"/>
      <c r="J11" s="7"/>
      <c r="K11" s="7"/>
    </row>
    <row r="12" spans="1:11" x14ac:dyDescent="0.35">
      <c r="A12" s="8" t="s">
        <v>19</v>
      </c>
      <c r="B12" s="14">
        <v>2.5</v>
      </c>
      <c r="C12" s="8" t="s">
        <v>0</v>
      </c>
      <c r="D12" s="6"/>
      <c r="E12" s="6"/>
      <c r="F12" s="6"/>
      <c r="G12" s="7"/>
      <c r="H12" s="7" t="s">
        <v>60</v>
      </c>
      <c r="I12" s="7" t="s">
        <v>66</v>
      </c>
      <c r="J12" s="31">
        <f>(-J9+SQRT(((J9*J9)-(4*J8)*J10)))/(2*J8)</f>
        <v>0.81273510047206821</v>
      </c>
      <c r="K12" s="7"/>
    </row>
    <row r="13" spans="1:11" x14ac:dyDescent="0.35">
      <c r="A13" s="8" t="s">
        <v>12</v>
      </c>
      <c r="B13" s="14">
        <v>4</v>
      </c>
      <c r="C13" s="11"/>
      <c r="D13" s="6"/>
      <c r="E13" s="6"/>
      <c r="F13" s="6"/>
      <c r="G13" s="7"/>
      <c r="H13" s="7"/>
      <c r="I13" s="7" t="s">
        <v>67</v>
      </c>
      <c r="J13" s="31">
        <f>(-J9-SQRT(((J9*J9)-(4*J8)*J10)))/(2*J8)</f>
        <v>0.96831753110687913</v>
      </c>
      <c r="K13" s="7"/>
    </row>
    <row r="14" spans="1:11" x14ac:dyDescent="0.35">
      <c r="A14" s="8" t="s">
        <v>20</v>
      </c>
      <c r="B14" s="14">
        <v>0.4</v>
      </c>
      <c r="C14" s="12" t="s">
        <v>0</v>
      </c>
      <c r="D14" s="6"/>
      <c r="E14" s="6"/>
      <c r="F14" s="6"/>
      <c r="G14" s="7"/>
      <c r="H14" s="7"/>
      <c r="I14" s="7"/>
      <c r="J14" s="7"/>
      <c r="K14" s="7"/>
    </row>
    <row r="15" spans="1:11" x14ac:dyDescent="0.35">
      <c r="A15" s="8" t="s">
        <v>50</v>
      </c>
      <c r="B15" s="14">
        <v>0.12</v>
      </c>
      <c r="C15" s="9" t="s">
        <v>5</v>
      </c>
      <c r="D15" s="6"/>
      <c r="E15" s="6"/>
      <c r="F15" s="6"/>
      <c r="G15" s="7"/>
      <c r="H15" s="7"/>
      <c r="I15" s="7"/>
      <c r="J15" s="7"/>
      <c r="K15" s="7"/>
    </row>
    <row r="16" spans="1:11" x14ac:dyDescent="0.35">
      <c r="A16" s="8" t="s">
        <v>51</v>
      </c>
      <c r="B16" s="29">
        <f>0.1</f>
        <v>0.1</v>
      </c>
      <c r="C16" s="9" t="s">
        <v>5</v>
      </c>
      <c r="D16" s="6"/>
      <c r="E16" s="6"/>
      <c r="F16" s="6"/>
      <c r="G16" s="7"/>
      <c r="H16" s="7"/>
      <c r="I16" s="7"/>
      <c r="J16" s="31"/>
      <c r="K16" s="7"/>
    </row>
    <row r="17" spans="1:11" x14ac:dyDescent="0.35">
      <c r="A17" s="8" t="s">
        <v>9</v>
      </c>
      <c r="B17" s="14">
        <v>10</v>
      </c>
      <c r="C17" s="9" t="s">
        <v>27</v>
      </c>
      <c r="D17" s="6"/>
      <c r="E17" s="6"/>
      <c r="F17" s="6"/>
      <c r="G17" s="7"/>
      <c r="H17" s="7"/>
      <c r="I17" s="7"/>
      <c r="J17" s="7"/>
      <c r="K17" s="7"/>
    </row>
    <row r="18" spans="1:11" x14ac:dyDescent="0.35">
      <c r="A18" s="8"/>
      <c r="B18" s="10"/>
      <c r="C18" s="8"/>
      <c r="D18" s="6"/>
      <c r="E18" s="6"/>
      <c r="F18" s="6"/>
      <c r="G18" s="7"/>
      <c r="H18" s="7"/>
      <c r="I18" s="7"/>
      <c r="J18" s="7"/>
      <c r="K18" s="7"/>
    </row>
    <row r="19" spans="1:11" x14ac:dyDescent="0.35">
      <c r="A19" s="8" t="s">
        <v>22</v>
      </c>
      <c r="B19" s="13">
        <f>(-(B7-((B9/1000)*(B16+B31))+2*(B14+(B11*B13)))+SQRT((((B7-((B9/1000)*(B16+B31))+2*(B14+(B11*B13)))*(B7-((B9/1000)*(B16+B31))+2*(B14+(B11*B13))))-(4*(-B14-(B11*B13)-B7))*(((-B9/1000)*B15)-B14-((B11*B13))))))/(2*(-B14-(B11*B13)-B7))</f>
        <v>0.81273510047206821</v>
      </c>
      <c r="C19" s="8"/>
      <c r="D19" s="6"/>
      <c r="E19" s="6"/>
      <c r="F19" s="6"/>
      <c r="G19" s="7"/>
      <c r="H19" s="7"/>
      <c r="I19" s="7"/>
      <c r="J19" s="7"/>
      <c r="K19" s="7"/>
    </row>
    <row r="20" spans="1:11" x14ac:dyDescent="0.35">
      <c r="A20" s="8" t="s">
        <v>21</v>
      </c>
      <c r="B20" s="35">
        <f>(B9/1000)/(1-B19)</f>
        <v>2.1360116124716546</v>
      </c>
      <c r="C20" s="8" t="s">
        <v>1</v>
      </c>
      <c r="D20" s="6"/>
      <c r="E20" s="6"/>
      <c r="F20" s="6"/>
      <c r="G20" s="7"/>
      <c r="H20" s="7"/>
      <c r="I20" s="7"/>
      <c r="J20" s="7"/>
      <c r="K20" s="7"/>
    </row>
    <row r="21" spans="1:11" x14ac:dyDescent="0.35">
      <c r="A21" s="8" t="s">
        <v>52</v>
      </c>
      <c r="B21" s="13">
        <f>((B13*B11)+B14)/((B13*B11+B14+B5))</f>
        <v>0.57746478873239437</v>
      </c>
      <c r="C21" s="8"/>
      <c r="D21" s="6"/>
      <c r="E21" s="6"/>
      <c r="F21" s="6"/>
      <c r="G21" s="7"/>
      <c r="H21" s="7"/>
      <c r="I21" s="7"/>
      <c r="J21" s="7"/>
      <c r="K21" s="7"/>
    </row>
    <row r="22" spans="1:11" x14ac:dyDescent="0.35">
      <c r="A22" s="8" t="s">
        <v>68</v>
      </c>
      <c r="B22" s="13">
        <f>(B9/1000)/(1-B21)</f>
        <v>0.94666666666666677</v>
      </c>
      <c r="C22" s="8" t="s">
        <v>1</v>
      </c>
      <c r="D22" s="6"/>
      <c r="E22" s="6"/>
      <c r="F22" s="6"/>
      <c r="G22" s="7"/>
      <c r="H22" s="7"/>
      <c r="I22" s="7"/>
      <c r="J22" s="7"/>
      <c r="K22" s="7"/>
    </row>
    <row r="23" spans="1:11" x14ac:dyDescent="0.35">
      <c r="A23" s="8" t="s">
        <v>69</v>
      </c>
      <c r="B23" s="13">
        <f>B20*0.15</f>
        <v>0.32040174187074816</v>
      </c>
      <c r="C23" s="8" t="s">
        <v>1</v>
      </c>
      <c r="D23" s="6"/>
      <c r="E23" s="6"/>
      <c r="F23" s="6"/>
      <c r="G23" s="7"/>
      <c r="H23" s="7"/>
      <c r="I23" s="7"/>
      <c r="J23" s="7"/>
      <c r="K23" s="7"/>
    </row>
    <row r="24" spans="1:11" x14ac:dyDescent="0.35">
      <c r="A24" s="8" t="s">
        <v>6</v>
      </c>
      <c r="B24" s="19">
        <f>1*10^6*((B7*B19)/(B8*10^3*B23))</f>
        <v>45.659027079817626</v>
      </c>
      <c r="C24" s="8" t="s">
        <v>8</v>
      </c>
      <c r="D24" s="36"/>
      <c r="E24" s="6"/>
      <c r="F24" s="6"/>
      <c r="G24" s="7"/>
      <c r="H24" s="7"/>
      <c r="I24" s="7"/>
      <c r="J24" s="7"/>
      <c r="K24" s="7"/>
    </row>
    <row r="25" spans="1:11" x14ac:dyDescent="0.35">
      <c r="A25" s="8" t="s">
        <v>7</v>
      </c>
      <c r="B25" s="17">
        <v>47</v>
      </c>
      <c r="C25" s="8" t="s">
        <v>8</v>
      </c>
      <c r="D25" s="6"/>
      <c r="E25" s="6"/>
      <c r="F25" s="6"/>
      <c r="G25" s="7"/>
      <c r="H25" s="7"/>
      <c r="I25" s="7"/>
      <c r="J25" s="7"/>
      <c r="K25" s="7"/>
    </row>
    <row r="26" spans="1:11" x14ac:dyDescent="0.35">
      <c r="A26" s="8" t="s">
        <v>25</v>
      </c>
      <c r="B26" s="15">
        <f>(1*10^6*((B7*B19)/(B8*10^3*B25)))/2+B20</f>
        <v>2.2916417380939658</v>
      </c>
      <c r="C26" s="8" t="s">
        <v>1</v>
      </c>
      <c r="D26" s="22"/>
      <c r="E26" s="6"/>
      <c r="F26" s="28"/>
      <c r="G26" s="7"/>
      <c r="H26" s="7"/>
      <c r="I26" s="7"/>
      <c r="J26" s="7"/>
      <c r="K26" s="7"/>
    </row>
    <row r="27" spans="1:11" x14ac:dyDescent="0.35">
      <c r="A27" s="8"/>
      <c r="B27" s="15"/>
      <c r="C27" s="8"/>
      <c r="D27" s="6"/>
      <c r="E27" s="6"/>
      <c r="F27" s="6"/>
      <c r="G27" s="7"/>
      <c r="H27" s="7"/>
      <c r="I27" s="7"/>
      <c r="J27" s="7"/>
      <c r="K27" s="7"/>
    </row>
    <row r="28" spans="1:11" x14ac:dyDescent="0.35">
      <c r="A28" s="8" t="s">
        <v>29</v>
      </c>
      <c r="B28" s="15">
        <f>(B11*B13+B14)/(B25)</f>
        <v>0.34893617021276591</v>
      </c>
      <c r="C28" s="8" t="s">
        <v>28</v>
      </c>
      <c r="D28" s="22"/>
      <c r="E28" s="6"/>
      <c r="F28" s="6"/>
      <c r="G28" s="7"/>
      <c r="H28" s="7"/>
      <c r="I28" s="7"/>
      <c r="J28" s="7"/>
      <c r="K28" s="7"/>
    </row>
    <row r="29" spans="1:11" x14ac:dyDescent="0.35">
      <c r="A29" s="8" t="s">
        <v>30</v>
      </c>
      <c r="B29" s="15">
        <f>B28*(1-(0.18/B19))</f>
        <v>0.27165574932062497</v>
      </c>
      <c r="C29" s="8" t="s">
        <v>28</v>
      </c>
      <c r="D29" s="6"/>
      <c r="E29" s="6"/>
      <c r="F29" s="6"/>
      <c r="G29" s="7"/>
      <c r="H29" s="7"/>
      <c r="I29" s="7"/>
      <c r="J29" s="7"/>
      <c r="K29" s="7"/>
    </row>
    <row r="30" spans="1:11" x14ac:dyDescent="0.35">
      <c r="A30" s="8" t="s">
        <v>32</v>
      </c>
      <c r="B30" s="15">
        <f>0.32/((B20+B23/2)+(B29*(B19+0.2)*1000/B8))</f>
        <v>9.4209813801606812E-2</v>
      </c>
      <c r="C30" s="9" t="s">
        <v>5</v>
      </c>
      <c r="D30" s="6"/>
      <c r="E30" s="6"/>
      <c r="F30" s="6"/>
      <c r="G30" s="7"/>
      <c r="H30" s="7"/>
      <c r="I30" s="7"/>
      <c r="J30" s="7"/>
      <c r="K30" s="7"/>
    </row>
    <row r="31" spans="1:11" x14ac:dyDescent="0.35">
      <c r="A31" s="8" t="s">
        <v>33</v>
      </c>
      <c r="B31" s="18">
        <v>0.09</v>
      </c>
      <c r="C31" s="9" t="s">
        <v>5</v>
      </c>
      <c r="D31" s="6"/>
      <c r="E31" s="6"/>
      <c r="F31" s="6"/>
      <c r="G31" s="7"/>
      <c r="H31" s="7"/>
      <c r="I31" s="7"/>
      <c r="J31" s="7"/>
      <c r="K31" s="7"/>
    </row>
    <row r="32" spans="1:11" x14ac:dyDescent="0.35">
      <c r="A32" s="8" t="s">
        <v>31</v>
      </c>
      <c r="B32" s="16">
        <f xml:space="preserve"> (B29*B31)/(100*10^-6*1*10^-6*B8*10^3)</f>
        <v>977.96069755424992</v>
      </c>
      <c r="C32" s="9" t="s">
        <v>5</v>
      </c>
      <c r="D32" s="6"/>
      <c r="E32" s="6"/>
      <c r="F32" s="6"/>
      <c r="G32" s="7"/>
      <c r="H32" s="7"/>
      <c r="I32" s="7"/>
      <c r="J32" s="7"/>
      <c r="K32" s="7"/>
    </row>
    <row r="33" spans="1:11" x14ac:dyDescent="0.35">
      <c r="A33" s="8" t="s">
        <v>44</v>
      </c>
      <c r="B33" s="21">
        <v>1000</v>
      </c>
      <c r="C33" s="9" t="s">
        <v>5</v>
      </c>
      <c r="D33" s="6"/>
      <c r="E33" s="6"/>
      <c r="F33" s="6"/>
      <c r="G33" s="7"/>
      <c r="H33" s="7"/>
      <c r="I33" s="7"/>
      <c r="J33" s="7"/>
      <c r="K33" s="7"/>
    </row>
    <row r="34" spans="1:11" x14ac:dyDescent="0.35">
      <c r="A34" s="8"/>
      <c r="B34" s="15"/>
      <c r="C34" s="9"/>
      <c r="D34" s="6"/>
      <c r="E34" s="6"/>
      <c r="F34" s="6"/>
      <c r="G34" s="7"/>
      <c r="H34" s="7"/>
      <c r="I34" s="7"/>
      <c r="J34" s="7"/>
      <c r="K34" s="7"/>
    </row>
    <row r="35" spans="1:11" ht="15.5" x14ac:dyDescent="0.4">
      <c r="A35" s="8" t="s">
        <v>24</v>
      </c>
      <c r="B35" s="15">
        <f>200/B9</f>
        <v>0.5</v>
      </c>
      <c r="C35" s="9" t="s">
        <v>5</v>
      </c>
      <c r="D35" s="6"/>
      <c r="E35" s="6"/>
      <c r="F35" s="6"/>
      <c r="G35" s="7"/>
      <c r="H35" s="7"/>
      <c r="I35" s="7"/>
      <c r="J35" s="7"/>
      <c r="K35" s="7"/>
    </row>
    <row r="36" spans="1:11" x14ac:dyDescent="0.35">
      <c r="A36" s="8" t="s">
        <v>49</v>
      </c>
      <c r="B36" s="18">
        <v>0.5</v>
      </c>
      <c r="C36" s="9" t="s">
        <v>5</v>
      </c>
      <c r="D36" s="6"/>
      <c r="E36" s="6"/>
      <c r="F36" s="6"/>
      <c r="G36" s="7"/>
      <c r="H36" s="7"/>
      <c r="I36" s="7"/>
      <c r="J36" s="7"/>
      <c r="K36" s="7"/>
    </row>
    <row r="37" spans="1:11" x14ac:dyDescent="0.35">
      <c r="A37" s="8"/>
      <c r="B37" s="10"/>
      <c r="C37" s="8"/>
      <c r="D37" s="6"/>
      <c r="E37" s="6"/>
      <c r="F37" s="6"/>
      <c r="G37" s="7"/>
      <c r="H37" s="7"/>
      <c r="I37" s="7"/>
      <c r="J37" s="7"/>
      <c r="K37" s="7"/>
    </row>
    <row r="38" spans="1:11" x14ac:dyDescent="0.35">
      <c r="A38" s="8" t="s">
        <v>23</v>
      </c>
      <c r="B38" s="13">
        <f>(B11*B13*(1-B19)^2)/((B9/1000)*2*PI()*B25*10^-6*B19*1000)</f>
        <v>5.8444818242266683</v>
      </c>
      <c r="C38" s="8" t="s">
        <v>2</v>
      </c>
      <c r="D38" s="6"/>
      <c r="E38" s="6"/>
      <c r="F38" s="6"/>
      <c r="G38" s="7"/>
      <c r="H38" s="7"/>
      <c r="I38" s="7"/>
      <c r="J38" s="7"/>
      <c r="K38" s="7"/>
    </row>
    <row r="39" spans="1:11" x14ac:dyDescent="0.35">
      <c r="A39" s="8" t="s">
        <v>26</v>
      </c>
      <c r="B39" s="13">
        <f>B38/5</f>
        <v>1.1688963648453337</v>
      </c>
      <c r="C39" s="8" t="s">
        <v>2</v>
      </c>
      <c r="D39" s="6"/>
      <c r="E39" s="6"/>
      <c r="F39" s="6"/>
      <c r="G39" s="7"/>
      <c r="H39" s="7"/>
      <c r="I39" s="7"/>
      <c r="J39" s="7"/>
      <c r="K39" s="7"/>
    </row>
    <row r="40" spans="1:11" x14ac:dyDescent="0.35">
      <c r="A40" s="8" t="s">
        <v>34</v>
      </c>
      <c r="B40" s="19">
        <f>5*1259*B36*(1-B19)/(B31*1)* ((B11*B13/(B9*10^-3))/((B11*B13/(B9*10^-3))+B19*((B13*B10)+B36)))</f>
        <v>6380.5349280977243</v>
      </c>
      <c r="C40" s="8"/>
      <c r="D40" s="36"/>
      <c r="E40" s="6"/>
      <c r="F40" s="6"/>
      <c r="G40" s="7"/>
      <c r="H40" s="7"/>
      <c r="I40" s="7"/>
      <c r="J40" s="7"/>
      <c r="K40" s="7"/>
    </row>
    <row r="41" spans="1:11" x14ac:dyDescent="0.35">
      <c r="A41" s="8" t="str">
        <f>CONCATENATE("RC constant to achieve gain of 0dB at ", ROUND(B39,1), "kHz")</f>
        <v>RC constant to achieve gain of 0dB at 1.2kHz</v>
      </c>
      <c r="B41" s="20">
        <f>1/(PI()*2*B39*10^3)</f>
        <v>1.36158301008109E-4</v>
      </c>
      <c r="C41" s="8"/>
      <c r="D41" s="6"/>
      <c r="E41" s="6"/>
      <c r="F41" s="6"/>
      <c r="G41" s="7"/>
      <c r="H41" s="7"/>
      <c r="I41" s="7"/>
      <c r="J41" s="7"/>
      <c r="K41" s="7"/>
    </row>
    <row r="42" spans="1:11" x14ac:dyDescent="0.35">
      <c r="A42" s="8" t="s">
        <v>39</v>
      </c>
      <c r="B42" s="13">
        <f>1/(2*PI()*B41*B40)</f>
        <v>0.18319723628467391</v>
      </c>
      <c r="C42" s="8" t="s">
        <v>3</v>
      </c>
      <c r="D42" s="6"/>
      <c r="E42" s="6"/>
      <c r="F42" s="6"/>
      <c r="G42" s="7"/>
      <c r="H42" s="7"/>
      <c r="I42" s="7"/>
      <c r="J42" s="7"/>
      <c r="K42" s="7"/>
    </row>
    <row r="43" spans="1:11" x14ac:dyDescent="0.35">
      <c r="A43" s="8" t="s">
        <v>38</v>
      </c>
      <c r="B43" s="10">
        <f xml:space="preserve"> ((750*10^-6)/(2*PI()*B42*1258))</f>
        <v>5.1794284300438184E-7</v>
      </c>
      <c r="C43" s="8" t="s">
        <v>35</v>
      </c>
      <c r="D43" s="6"/>
      <c r="E43" s="6"/>
      <c r="F43" s="6"/>
      <c r="G43" s="7"/>
      <c r="H43" s="7"/>
      <c r="I43" s="7"/>
      <c r="J43" s="7"/>
      <c r="K43" s="7"/>
    </row>
    <row r="44" spans="1:11" x14ac:dyDescent="0.35">
      <c r="A44" s="8" t="s">
        <v>37</v>
      </c>
      <c r="B44" s="17">
        <v>470</v>
      </c>
      <c r="C44" s="8" t="s">
        <v>4</v>
      </c>
      <c r="D44" s="6"/>
      <c r="E44" s="6"/>
      <c r="F44" s="6"/>
      <c r="G44" s="7"/>
      <c r="H44" s="7"/>
      <c r="I44" s="7"/>
      <c r="J44" s="7"/>
      <c r="K44" s="7"/>
    </row>
    <row r="45" spans="1:11" x14ac:dyDescent="0.35">
      <c r="A45" s="8" t="s">
        <v>40</v>
      </c>
      <c r="B45" s="16">
        <f>(B11*B13/(B9*10^-3)+B19*((B13*B10)+B35))/(2*PI()*(B11*B13/(B9*10^-3))*(B17*10^-6)*((B13*B10)+B35))</f>
        <v>12566.064951806839</v>
      </c>
      <c r="C45" s="8" t="s">
        <v>3</v>
      </c>
      <c r="D45" s="6"/>
      <c r="E45" s="6"/>
      <c r="F45" s="6"/>
      <c r="G45" s="7"/>
      <c r="H45" s="7"/>
      <c r="I45" s="7"/>
      <c r="J45" s="7"/>
      <c r="K45" s="7"/>
    </row>
    <row r="46" spans="1:11" x14ac:dyDescent="0.35">
      <c r="A46" s="8" t="s">
        <v>36</v>
      </c>
      <c r="B46" s="16">
        <f>1/(2*PI()*B45*B44*10^-9)</f>
        <v>26.947778782943818</v>
      </c>
      <c r="C46" s="9" t="s">
        <v>5</v>
      </c>
      <c r="D46" s="6"/>
      <c r="E46" s="6"/>
      <c r="F46" s="6"/>
      <c r="G46" s="7"/>
      <c r="H46" s="7"/>
      <c r="I46" s="7"/>
      <c r="J46" s="7"/>
      <c r="K46" s="7"/>
    </row>
    <row r="47" spans="1:11" x14ac:dyDescent="0.35">
      <c r="A47" s="8" t="s">
        <v>45</v>
      </c>
      <c r="B47" s="17">
        <v>27</v>
      </c>
      <c r="C47" s="9" t="s">
        <v>5</v>
      </c>
      <c r="D47" s="6"/>
      <c r="E47" s="6"/>
      <c r="F47" s="6"/>
      <c r="G47" s="7"/>
      <c r="H47" s="7"/>
      <c r="I47" s="7"/>
      <c r="J47" s="7"/>
      <c r="K47" s="7"/>
    </row>
    <row r="48" spans="1:11" x14ac:dyDescent="0.35">
      <c r="A48" s="8"/>
      <c r="B48" s="10"/>
      <c r="C48" s="8"/>
      <c r="D48" s="6"/>
      <c r="E48" s="6"/>
      <c r="F48" s="6"/>
      <c r="G48" s="7"/>
      <c r="H48" s="7"/>
      <c r="I48" s="7"/>
      <c r="J48" s="7"/>
      <c r="K48" s="7"/>
    </row>
    <row r="49" spans="1:11" x14ac:dyDescent="0.35">
      <c r="A49" s="8" t="s">
        <v>46</v>
      </c>
      <c r="B49" s="10">
        <f>25690/B8</f>
        <v>102.76</v>
      </c>
      <c r="C49" s="9" t="s">
        <v>48</v>
      </c>
      <c r="D49" s="6"/>
      <c r="E49" s="6"/>
      <c r="F49" s="6"/>
      <c r="G49" s="7"/>
      <c r="H49" s="7"/>
      <c r="I49" s="7"/>
      <c r="J49" s="7"/>
      <c r="K49" s="7"/>
    </row>
    <row r="50" spans="1:11" x14ac:dyDescent="0.35">
      <c r="A50" s="8" t="s">
        <v>47</v>
      </c>
      <c r="B50" s="17">
        <v>100</v>
      </c>
      <c r="C50" s="9" t="s">
        <v>48</v>
      </c>
      <c r="D50" s="6"/>
      <c r="E50" s="6"/>
      <c r="F50" s="6"/>
      <c r="G50" s="7"/>
      <c r="H50" s="7"/>
      <c r="I50" s="7"/>
      <c r="J50" s="7"/>
      <c r="K50" s="7"/>
    </row>
    <row r="51" spans="1:11" x14ac:dyDescent="0.35">
      <c r="A51" s="8"/>
      <c r="B51" s="10"/>
      <c r="C51" s="9"/>
      <c r="D51" s="6"/>
      <c r="E51" s="6"/>
      <c r="F51" s="6"/>
      <c r="G51" s="7"/>
      <c r="H51" s="7"/>
      <c r="I51" s="7"/>
      <c r="J51" s="7"/>
      <c r="K51" s="7"/>
    </row>
    <row r="52" spans="1:11" x14ac:dyDescent="0.35">
      <c r="A52" s="8"/>
      <c r="B52" s="10"/>
      <c r="C52" s="9"/>
      <c r="D52" s="6"/>
      <c r="E52" s="6"/>
      <c r="F52" s="6"/>
      <c r="G52" s="7"/>
      <c r="H52" s="7"/>
      <c r="I52" s="7"/>
      <c r="J52" s="7"/>
      <c r="K52" s="7"/>
    </row>
    <row r="53" spans="1:11" x14ac:dyDescent="0.35">
      <c r="A53" s="10" t="str">
        <f>B25&amp;"µH"</f>
        <v>47µH</v>
      </c>
      <c r="B53" s="10"/>
      <c r="C53" s="8"/>
      <c r="D53" s="6"/>
      <c r="E53" s="6"/>
      <c r="F53" s="6"/>
      <c r="G53" s="7"/>
      <c r="H53" s="7"/>
      <c r="I53" s="7"/>
      <c r="J53" s="7"/>
      <c r="K53" s="7"/>
    </row>
    <row r="54" spans="1:11" x14ac:dyDescent="0.35">
      <c r="A54" s="34"/>
      <c r="B54" s="34"/>
      <c r="C54" s="34"/>
      <c r="D54" s="34"/>
      <c r="E54" s="34"/>
      <c r="F54" s="1"/>
    </row>
    <row r="55" spans="1:11" x14ac:dyDescent="0.35">
      <c r="A55" s="7"/>
      <c r="B55" s="10"/>
      <c r="C55" s="7"/>
      <c r="D55" s="7"/>
      <c r="E55" s="7"/>
      <c r="H55" t="s">
        <v>41</v>
      </c>
      <c r="I55" t="s">
        <v>42</v>
      </c>
    </row>
    <row r="56" spans="1:11" x14ac:dyDescent="0.35">
      <c r="A56" s="23"/>
      <c r="B56" s="10"/>
      <c r="C56" s="23"/>
      <c r="D56" s="23"/>
      <c r="E56" s="23"/>
      <c r="H56">
        <v>0</v>
      </c>
      <c r="I56" s="4">
        <f>B39*1000</f>
        <v>1168.8963648453337</v>
      </c>
    </row>
    <row r="57" spans="1:11" x14ac:dyDescent="0.35">
      <c r="A57" s="23"/>
      <c r="B57" s="10"/>
      <c r="C57" s="23"/>
      <c r="D57" s="23"/>
      <c r="E57" s="23"/>
      <c r="H57" s="3">
        <f>20*LOG10(B40)</f>
        <v>76.097141808223796</v>
      </c>
      <c r="I57" s="2">
        <f>B42</f>
        <v>0.18319723628467391</v>
      </c>
    </row>
    <row r="58" spans="1:11" x14ac:dyDescent="0.35">
      <c r="A58" s="23"/>
      <c r="B58" s="10"/>
      <c r="C58" s="23"/>
      <c r="D58" s="24" t="str">
        <f>B36&amp;"Ω"</f>
        <v>0.5Ω</v>
      </c>
      <c r="E58" s="23"/>
      <c r="H58" s="3">
        <f>20*LOG10(B40)</f>
        <v>76.097141808223796</v>
      </c>
      <c r="I58">
        <v>0.1</v>
      </c>
    </row>
    <row r="59" spans="1:11" x14ac:dyDescent="0.35">
      <c r="A59" s="7"/>
      <c r="B59" s="8"/>
      <c r="C59" s="7"/>
      <c r="D59" s="7"/>
      <c r="E59" s="7"/>
      <c r="H59">
        <f>20*LOG10(B40)</f>
        <v>76.097141808223796</v>
      </c>
      <c r="I59">
        <v>0.1</v>
      </c>
    </row>
    <row r="60" spans="1:11" x14ac:dyDescent="0.35">
      <c r="A60" s="7"/>
      <c r="B60" s="10"/>
      <c r="C60" s="7"/>
      <c r="D60" s="7"/>
      <c r="E60" s="7"/>
    </row>
    <row r="61" spans="1:11" x14ac:dyDescent="0.35">
      <c r="A61" s="7"/>
      <c r="B61" s="10"/>
      <c r="C61" s="7"/>
      <c r="D61" s="7"/>
      <c r="E61" s="7"/>
    </row>
    <row r="62" spans="1:11" x14ac:dyDescent="0.35">
      <c r="A62" s="7" t="str">
        <f>B44&amp;"nF"</f>
        <v>470nF</v>
      </c>
      <c r="B62" s="10"/>
      <c r="C62" s="7"/>
      <c r="D62" s="10"/>
      <c r="E62" s="27" t="str">
        <f>B17&amp;"µF"</f>
        <v>10µF</v>
      </c>
    </row>
    <row r="63" spans="1:11" x14ac:dyDescent="0.35">
      <c r="A63" s="7"/>
      <c r="B63" s="10"/>
      <c r="C63" s="7"/>
      <c r="D63" s="7"/>
      <c r="E63" s="7"/>
    </row>
    <row r="64" spans="1:11" x14ac:dyDescent="0.35">
      <c r="A64" s="7"/>
      <c r="B64" s="8" t="str">
        <f>B33&amp;"Ω"</f>
        <v>1000Ω</v>
      </c>
      <c r="C64" s="7"/>
      <c r="D64" s="7"/>
      <c r="E64" s="25"/>
    </row>
    <row r="65" spans="1:5" x14ac:dyDescent="0.35">
      <c r="A65" s="7" t="str">
        <f>B47&amp;"Ω"</f>
        <v>27Ω</v>
      </c>
      <c r="B65" s="10"/>
      <c r="C65" s="7"/>
      <c r="D65" s="7"/>
      <c r="E65" s="7"/>
    </row>
    <row r="66" spans="1:5" x14ac:dyDescent="0.35">
      <c r="A66" s="7"/>
      <c r="B66" s="8" t="str">
        <f>B31&amp;"Ω"</f>
        <v>0.09Ω</v>
      </c>
      <c r="C66" s="7"/>
      <c r="D66" s="24"/>
      <c r="E66" s="7"/>
    </row>
    <row r="67" spans="1:5" x14ac:dyDescent="0.35">
      <c r="A67" s="26" t="str">
        <f>B50&amp;"kΩ"</f>
        <v>100kΩ</v>
      </c>
      <c r="B67" s="10"/>
      <c r="C67" s="7"/>
      <c r="D67" s="7"/>
      <c r="E67" s="7"/>
    </row>
    <row r="68" spans="1:5" x14ac:dyDescent="0.35">
      <c r="A68" s="7"/>
      <c r="B68" s="10"/>
      <c r="C68" s="7"/>
      <c r="D68" s="7"/>
      <c r="E68" s="7"/>
    </row>
  </sheetData>
  <mergeCells count="2">
    <mergeCell ref="A1:F1"/>
    <mergeCell ref="A54:E54"/>
  </mergeCells>
  <pageMargins left="0.70866141732283472" right="0.70866141732283472" top="0.74803149606299213" bottom="0.74803149606299213" header="0.31496062992125984" footer="0.31496062992125984"/>
  <pageSetup paperSize="9" orientation="landscape" horizontalDpi="4294967292"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tabSelected="1" zoomScaleNormal="100" workbookViewId="0">
      <selection activeCell="E20" sqref="E20"/>
    </sheetView>
  </sheetViews>
  <sheetFormatPr defaultRowHeight="14.5" x14ac:dyDescent="0.35"/>
  <cols>
    <col min="1" max="1" width="41.1796875" customWidth="1"/>
    <col min="2" max="2" width="12.1796875" style="5" customWidth="1"/>
  </cols>
  <sheetData>
    <row r="1" spans="1:11" ht="18.5" x14ac:dyDescent="0.45">
      <c r="A1" s="32" t="s">
        <v>70</v>
      </c>
      <c r="B1" s="33"/>
      <c r="C1" s="33"/>
      <c r="D1" s="33"/>
      <c r="E1" s="33"/>
      <c r="F1" s="33"/>
    </row>
    <row r="2" spans="1:11" x14ac:dyDescent="0.35">
      <c r="A2" s="6"/>
      <c r="B2" s="10"/>
      <c r="C2" s="6"/>
      <c r="D2" s="6"/>
      <c r="E2" s="6"/>
      <c r="F2" s="6"/>
      <c r="G2" s="7"/>
      <c r="H2" s="7"/>
      <c r="I2" s="7"/>
      <c r="J2" s="7"/>
      <c r="K2" s="7"/>
    </row>
    <row r="3" spans="1:11" x14ac:dyDescent="0.35">
      <c r="A3" s="8" t="s">
        <v>10</v>
      </c>
      <c r="B3" s="10"/>
      <c r="C3" s="8"/>
      <c r="D3" s="6"/>
      <c r="E3" s="6"/>
      <c r="F3" s="6"/>
      <c r="G3" s="7"/>
      <c r="H3" s="7"/>
      <c r="I3" s="7"/>
      <c r="J3" s="7"/>
      <c r="K3" s="7"/>
    </row>
    <row r="4" spans="1:11" x14ac:dyDescent="0.35">
      <c r="A4" s="8"/>
      <c r="B4" s="10"/>
      <c r="C4" s="8"/>
      <c r="D4" s="6"/>
      <c r="E4" s="6"/>
      <c r="F4" s="6"/>
      <c r="G4" s="7"/>
      <c r="H4" s="7"/>
      <c r="I4" s="7"/>
      <c r="J4" s="7"/>
      <c r="K4" s="7"/>
    </row>
    <row r="5" spans="1:11" x14ac:dyDescent="0.35">
      <c r="A5" s="8" t="s">
        <v>16</v>
      </c>
      <c r="B5" s="14">
        <v>18</v>
      </c>
      <c r="C5" s="8" t="s">
        <v>0</v>
      </c>
      <c r="D5" s="6"/>
      <c r="E5" s="6"/>
      <c r="F5" s="6"/>
      <c r="G5" s="7"/>
      <c r="H5" s="7"/>
      <c r="I5" s="7"/>
      <c r="J5" s="7"/>
      <c r="K5" s="7"/>
    </row>
    <row r="6" spans="1:11" x14ac:dyDescent="0.35">
      <c r="A6" s="8" t="s">
        <v>17</v>
      </c>
      <c r="B6" s="14">
        <v>5</v>
      </c>
      <c r="C6" s="8" t="s">
        <v>0</v>
      </c>
      <c r="D6" s="6"/>
      <c r="E6" s="6"/>
      <c r="F6" s="6"/>
      <c r="G6" s="7"/>
      <c r="H6" s="7"/>
      <c r="I6" s="7"/>
      <c r="J6" s="7"/>
      <c r="K6" s="7"/>
    </row>
    <row r="7" spans="1:11" x14ac:dyDescent="0.35">
      <c r="A7" s="8" t="s">
        <v>14</v>
      </c>
      <c r="B7" s="14">
        <v>250</v>
      </c>
      <c r="C7" s="8" t="s">
        <v>2</v>
      </c>
      <c r="D7" s="6"/>
      <c r="E7" s="6"/>
      <c r="F7" s="6"/>
      <c r="G7" s="7"/>
      <c r="H7" s="7"/>
      <c r="I7" s="7"/>
      <c r="J7" s="7"/>
      <c r="K7" s="7"/>
    </row>
    <row r="8" spans="1:11" x14ac:dyDescent="0.35">
      <c r="A8" s="8" t="s">
        <v>13</v>
      </c>
      <c r="B8" s="14">
        <v>1000</v>
      </c>
      <c r="C8" s="8" t="s">
        <v>18</v>
      </c>
      <c r="D8" s="6"/>
      <c r="E8" s="6"/>
      <c r="F8" s="6"/>
      <c r="G8" s="7"/>
      <c r="H8" s="7"/>
      <c r="I8" s="7"/>
      <c r="J8" s="7"/>
      <c r="K8" s="7"/>
    </row>
    <row r="9" spans="1:11" x14ac:dyDescent="0.35">
      <c r="A9" s="8" t="s">
        <v>15</v>
      </c>
      <c r="B9" s="14">
        <v>0.2</v>
      </c>
      <c r="C9" s="9" t="s">
        <v>5</v>
      </c>
      <c r="D9" s="6"/>
      <c r="E9" s="6"/>
      <c r="F9" s="6"/>
      <c r="G9" s="7"/>
      <c r="H9" s="7"/>
      <c r="I9" s="7"/>
      <c r="J9" s="7"/>
      <c r="K9" s="7"/>
    </row>
    <row r="10" spans="1:11" x14ac:dyDescent="0.35">
      <c r="A10" s="8" t="s">
        <v>11</v>
      </c>
      <c r="B10" s="14">
        <v>3.5</v>
      </c>
      <c r="C10" s="8" t="s">
        <v>0</v>
      </c>
      <c r="D10" s="6"/>
      <c r="E10" s="6"/>
      <c r="F10" s="6"/>
      <c r="G10" s="7"/>
      <c r="H10" s="7"/>
      <c r="I10" s="7"/>
      <c r="J10" s="7"/>
      <c r="K10" s="7"/>
    </row>
    <row r="11" spans="1:11" x14ac:dyDescent="0.35">
      <c r="A11" s="8" t="s">
        <v>19</v>
      </c>
      <c r="B11" s="14">
        <v>2.5</v>
      </c>
      <c r="C11" s="8" t="s">
        <v>0</v>
      </c>
      <c r="D11" s="6"/>
      <c r="E11" s="6"/>
      <c r="F11" s="6"/>
      <c r="G11" s="7"/>
      <c r="H11" s="7"/>
      <c r="I11" s="7"/>
      <c r="J11" s="7"/>
      <c r="K11" s="7"/>
    </row>
    <row r="12" spans="1:11" x14ac:dyDescent="0.35">
      <c r="A12" s="8" t="s">
        <v>12</v>
      </c>
      <c r="B12" s="14">
        <v>1</v>
      </c>
      <c r="C12" s="11" t="str">
        <f>IF((B12*B10)&lt;(B6), "","not ok")</f>
        <v/>
      </c>
      <c r="D12" s="6"/>
      <c r="E12" s="6"/>
      <c r="F12" s="6"/>
      <c r="G12" s="7"/>
      <c r="H12" s="7"/>
      <c r="I12" s="7"/>
      <c r="J12" s="7"/>
      <c r="K12" s="7"/>
    </row>
    <row r="13" spans="1:11" x14ac:dyDescent="0.35">
      <c r="A13" s="8" t="s">
        <v>20</v>
      </c>
      <c r="B13" s="14">
        <v>0.4</v>
      </c>
      <c r="C13" s="12" t="s">
        <v>0</v>
      </c>
      <c r="D13" s="6"/>
      <c r="E13" s="6"/>
      <c r="F13" s="6"/>
      <c r="G13" s="7"/>
      <c r="H13" s="7"/>
      <c r="I13" s="7"/>
      <c r="J13" s="7"/>
      <c r="K13" s="7"/>
    </row>
    <row r="14" spans="1:11" x14ac:dyDescent="0.35">
      <c r="A14" s="8" t="s">
        <v>9</v>
      </c>
      <c r="B14" s="14">
        <v>10</v>
      </c>
      <c r="C14" s="9" t="s">
        <v>27</v>
      </c>
      <c r="D14" s="6"/>
      <c r="E14" s="6"/>
      <c r="F14" s="6"/>
      <c r="G14" s="7"/>
      <c r="H14" s="7"/>
      <c r="I14" s="7"/>
      <c r="J14" s="7"/>
      <c r="K14" s="7"/>
    </row>
    <row r="15" spans="1:11" x14ac:dyDescent="0.35">
      <c r="A15" s="8"/>
      <c r="B15" s="10"/>
      <c r="C15" s="8"/>
      <c r="D15" s="6"/>
      <c r="E15" s="6"/>
      <c r="F15" s="6"/>
      <c r="G15" s="7"/>
      <c r="H15" s="7"/>
      <c r="I15" s="7"/>
      <c r="J15" s="7"/>
      <c r="K15" s="7"/>
    </row>
    <row r="16" spans="1:11" x14ac:dyDescent="0.35">
      <c r="A16" s="8" t="s">
        <v>22</v>
      </c>
      <c r="B16" s="13">
        <f>((B12*B10)+B13)/((B6+B13))</f>
        <v>0.72222222222222221</v>
      </c>
      <c r="C16" s="8"/>
      <c r="D16" s="6"/>
      <c r="E16" s="6"/>
      <c r="F16" s="6"/>
      <c r="G16" s="7"/>
      <c r="H16" s="7"/>
      <c r="I16" s="7"/>
      <c r="J16" s="7"/>
      <c r="K16" s="7"/>
    </row>
    <row r="17" spans="1:11" x14ac:dyDescent="0.35">
      <c r="A17" s="8" t="s">
        <v>21</v>
      </c>
      <c r="B17" s="13">
        <f>B8/1000</f>
        <v>1</v>
      </c>
      <c r="C17" s="8" t="s">
        <v>1</v>
      </c>
      <c r="D17" s="6"/>
      <c r="E17" s="6"/>
      <c r="F17" s="6"/>
      <c r="G17" s="7"/>
      <c r="H17" s="7"/>
      <c r="I17" s="7"/>
      <c r="J17" s="7"/>
      <c r="K17" s="7"/>
    </row>
    <row r="18" spans="1:11" x14ac:dyDescent="0.35">
      <c r="A18" s="8" t="s">
        <v>71</v>
      </c>
      <c r="B18" s="13">
        <f>B17*0.3</f>
        <v>0.3</v>
      </c>
      <c r="C18" s="8" t="s">
        <v>1</v>
      </c>
      <c r="D18" s="6"/>
      <c r="E18" s="6"/>
      <c r="F18" s="6"/>
      <c r="G18" s="7"/>
      <c r="H18" s="7"/>
      <c r="I18" s="7"/>
      <c r="J18" s="7"/>
      <c r="K18" s="7"/>
    </row>
    <row r="19" spans="1:11" x14ac:dyDescent="0.35">
      <c r="A19" s="8" t="s">
        <v>6</v>
      </c>
      <c r="B19" s="19">
        <f>1*10^6*((B10*B12)+ B13)*(1-B16)/(B7*10^3*B18)</f>
        <v>14.444444444444446</v>
      </c>
      <c r="C19" s="8" t="s">
        <v>8</v>
      </c>
      <c r="D19" s="6"/>
      <c r="E19" s="6"/>
      <c r="F19" s="6"/>
      <c r="G19" s="7"/>
      <c r="H19" s="7"/>
      <c r="I19" s="7"/>
      <c r="J19" s="7"/>
      <c r="K19" s="7"/>
    </row>
    <row r="20" spans="1:11" x14ac:dyDescent="0.35">
      <c r="A20" s="8" t="s">
        <v>7</v>
      </c>
      <c r="B20" s="17">
        <v>15</v>
      </c>
      <c r="C20" s="8" t="s">
        <v>8</v>
      </c>
      <c r="D20" s="6"/>
      <c r="E20" s="6"/>
      <c r="F20" s="6"/>
      <c r="G20" s="7"/>
      <c r="H20" s="7"/>
      <c r="I20" s="7"/>
      <c r="J20" s="7"/>
      <c r="K20" s="7"/>
    </row>
    <row r="21" spans="1:11" x14ac:dyDescent="0.35">
      <c r="A21" s="8" t="s">
        <v>25</v>
      </c>
      <c r="B21" s="15">
        <f>B17+(B18/2)</f>
        <v>1.1499999999999999</v>
      </c>
      <c r="C21" s="8" t="s">
        <v>1</v>
      </c>
      <c r="D21" s="6"/>
      <c r="E21" s="6"/>
      <c r="F21" s="6"/>
      <c r="G21" s="7"/>
      <c r="H21" s="7"/>
      <c r="I21" s="7"/>
      <c r="J21" s="7"/>
      <c r="K21" s="7"/>
    </row>
    <row r="22" spans="1:11" x14ac:dyDescent="0.35">
      <c r="A22" s="8"/>
      <c r="B22" s="15"/>
      <c r="C22" s="8"/>
      <c r="D22" s="6"/>
      <c r="E22" s="6"/>
      <c r="F22" s="6"/>
      <c r="G22" s="7"/>
      <c r="H22" s="7"/>
      <c r="I22" s="7"/>
      <c r="J22" s="7"/>
      <c r="K22" s="7"/>
    </row>
    <row r="23" spans="1:11" x14ac:dyDescent="0.35">
      <c r="A23" s="8" t="s">
        <v>29</v>
      </c>
      <c r="B23" s="15">
        <f>(B10*B12+B13)/(B20)</f>
        <v>0.26</v>
      </c>
      <c r="C23" s="8" t="s">
        <v>28</v>
      </c>
      <c r="D23" s="22"/>
      <c r="E23" s="6"/>
      <c r="F23" s="6"/>
      <c r="G23" s="7"/>
      <c r="H23" s="7"/>
      <c r="I23" s="7"/>
      <c r="J23" s="7"/>
      <c r="K23" s="7"/>
    </row>
    <row r="24" spans="1:11" x14ac:dyDescent="0.35">
      <c r="A24" s="8" t="s">
        <v>30</v>
      </c>
      <c r="B24" s="15">
        <f>B23*0.75</f>
        <v>0.19500000000000001</v>
      </c>
      <c r="C24" s="8" t="s">
        <v>28</v>
      </c>
      <c r="D24" s="6"/>
      <c r="E24" s="6"/>
      <c r="F24" s="6"/>
      <c r="G24" s="7"/>
      <c r="H24" s="7"/>
      <c r="I24" s="7"/>
      <c r="J24" s="7"/>
      <c r="K24" s="7"/>
    </row>
    <row r="25" spans="1:11" x14ac:dyDescent="0.35">
      <c r="A25" s="8" t="s">
        <v>32</v>
      </c>
      <c r="B25" s="15">
        <f>0.32/((B17+B18/2)+(B24*(B16+0.2)*1000/B7))</f>
        <v>0.17118402282453637</v>
      </c>
      <c r="C25" s="9" t="s">
        <v>5</v>
      </c>
      <c r="D25" s="6"/>
      <c r="E25" s="6"/>
      <c r="F25" s="6"/>
      <c r="G25" s="7"/>
      <c r="H25" s="7"/>
      <c r="I25" s="7"/>
      <c r="J25" s="7"/>
      <c r="K25" s="7"/>
    </row>
    <row r="26" spans="1:11" x14ac:dyDescent="0.35">
      <c r="A26" s="8" t="s">
        <v>33</v>
      </c>
      <c r="B26" s="18">
        <v>0.18</v>
      </c>
      <c r="C26" s="9" t="s">
        <v>5</v>
      </c>
      <c r="D26" s="28"/>
      <c r="E26" s="6"/>
      <c r="F26" s="6"/>
      <c r="G26" s="7"/>
      <c r="H26" s="7"/>
      <c r="I26" s="7"/>
      <c r="J26" s="7"/>
      <c r="K26" s="7"/>
    </row>
    <row r="27" spans="1:11" x14ac:dyDescent="0.35">
      <c r="A27" s="8" t="s">
        <v>31</v>
      </c>
      <c r="B27" s="16">
        <f xml:space="preserve"> (B24*B26)/(100*10^-6*1*10^-6*B7*10^3)</f>
        <v>1404</v>
      </c>
      <c r="C27" s="9" t="s">
        <v>5</v>
      </c>
      <c r="D27" s="6"/>
      <c r="E27" s="6"/>
      <c r="F27" s="6"/>
      <c r="G27" s="7"/>
      <c r="H27" s="7"/>
      <c r="I27" s="7"/>
      <c r="J27" s="7"/>
      <c r="K27" s="7"/>
    </row>
    <row r="28" spans="1:11" x14ac:dyDescent="0.35">
      <c r="A28" s="8" t="s">
        <v>44</v>
      </c>
      <c r="B28" s="21">
        <v>1500</v>
      </c>
      <c r="C28" s="9" t="s">
        <v>5</v>
      </c>
      <c r="D28" s="6"/>
      <c r="E28" s="6"/>
      <c r="F28" s="6"/>
      <c r="G28" s="7"/>
      <c r="H28" s="7"/>
      <c r="I28" s="7"/>
      <c r="J28" s="7"/>
      <c r="K28" s="7"/>
    </row>
    <row r="29" spans="1:11" x14ac:dyDescent="0.35">
      <c r="A29" s="8"/>
      <c r="B29" s="15"/>
      <c r="C29" s="9"/>
      <c r="D29" s="6"/>
      <c r="E29" s="6"/>
      <c r="F29" s="6"/>
      <c r="G29" s="7"/>
      <c r="H29" s="7"/>
      <c r="I29" s="7"/>
      <c r="J29" s="7"/>
      <c r="K29" s="7"/>
    </row>
    <row r="30" spans="1:11" ht="15.5" x14ac:dyDescent="0.4">
      <c r="A30" s="8" t="s">
        <v>24</v>
      </c>
      <c r="B30" s="15">
        <f>200/B8</f>
        <v>0.2</v>
      </c>
      <c r="C30" s="9" t="s">
        <v>5</v>
      </c>
      <c r="D30" s="6"/>
      <c r="E30" s="6"/>
      <c r="F30" s="6"/>
      <c r="G30" s="7"/>
      <c r="H30" s="7"/>
      <c r="I30" s="7"/>
      <c r="J30" s="7"/>
      <c r="K30" s="7"/>
    </row>
    <row r="31" spans="1:11" x14ac:dyDescent="0.35">
      <c r="A31" s="8" t="s">
        <v>49</v>
      </c>
      <c r="B31" s="18">
        <v>0.2</v>
      </c>
      <c r="C31" s="9" t="s">
        <v>5</v>
      </c>
      <c r="D31" s="6"/>
      <c r="E31" s="6"/>
      <c r="F31" s="6"/>
      <c r="G31" s="7"/>
      <c r="H31" s="7"/>
      <c r="I31" s="7"/>
      <c r="J31" s="7"/>
      <c r="K31" s="7"/>
    </row>
    <row r="32" spans="1:11" x14ac:dyDescent="0.35">
      <c r="A32" s="8"/>
      <c r="B32" s="10"/>
      <c r="C32" s="8"/>
      <c r="D32" s="6"/>
      <c r="E32" s="6"/>
      <c r="F32" s="6"/>
      <c r="G32" s="7"/>
      <c r="H32" s="7"/>
      <c r="I32" s="7"/>
      <c r="J32" s="7"/>
      <c r="K32" s="7"/>
    </row>
    <row r="33" spans="1:11" x14ac:dyDescent="0.35">
      <c r="A33" s="8" t="s">
        <v>26</v>
      </c>
      <c r="B33" s="13">
        <f>B7/13</f>
        <v>19.23076923076923</v>
      </c>
      <c r="C33" s="8" t="s">
        <v>2</v>
      </c>
      <c r="D33" s="6"/>
      <c r="E33" s="6"/>
      <c r="F33" s="6"/>
      <c r="G33" s="7"/>
      <c r="H33" s="7"/>
      <c r="I33" s="7"/>
      <c r="J33" s="7"/>
      <c r="K33" s="7"/>
    </row>
    <row r="34" spans="1:11" x14ac:dyDescent="0.35">
      <c r="A34" s="8" t="s">
        <v>34</v>
      </c>
      <c r="B34" s="19">
        <f>(5*1259*B31)/(B26*1)* ((B10*B12/(B8*10^-3))/((B10*B12/(B8*10^-3))+(B12*B9)+B31))</f>
        <v>6277.0655270655261</v>
      </c>
      <c r="C34" s="8"/>
      <c r="D34" s="6"/>
      <c r="E34" s="6"/>
      <c r="F34" s="6"/>
      <c r="G34" s="7"/>
      <c r="H34" s="7"/>
      <c r="I34" s="7"/>
      <c r="J34" s="7"/>
      <c r="K34" s="7"/>
    </row>
    <row r="35" spans="1:11" x14ac:dyDescent="0.35">
      <c r="A35" s="8" t="str">
        <f>CONCATENATE("RC constant to achieve gain of 0dB at ", ROUND(B33,1), "kHz")</f>
        <v>RC constant to achieve gain of 0dB at 19.2kHz</v>
      </c>
      <c r="B35" s="20">
        <f>1/(PI()*2*B33*10^3)</f>
        <v>8.2760570407785574E-6</v>
      </c>
      <c r="C35" s="8"/>
      <c r="D35" s="6"/>
      <c r="E35" s="6"/>
      <c r="F35" s="6"/>
      <c r="G35" s="7"/>
      <c r="H35" s="7"/>
      <c r="I35" s="7"/>
      <c r="J35" s="7"/>
      <c r="K35" s="7"/>
    </row>
    <row r="36" spans="1:11" x14ac:dyDescent="0.35">
      <c r="A36" s="8" t="s">
        <v>39</v>
      </c>
      <c r="B36" s="13">
        <f>1/(2*PI()*B35*B34)</f>
        <v>3.0636559627822542</v>
      </c>
      <c r="C36" s="8" t="s">
        <v>3</v>
      </c>
      <c r="D36" s="6"/>
      <c r="E36" s="6"/>
      <c r="F36" s="6"/>
      <c r="G36" s="7"/>
      <c r="H36" s="7"/>
      <c r="I36" s="7"/>
      <c r="J36" s="7"/>
      <c r="K36" s="7"/>
    </row>
    <row r="37" spans="1:11" x14ac:dyDescent="0.35">
      <c r="A37" s="8" t="s">
        <v>38</v>
      </c>
      <c r="B37" s="10">
        <f xml:space="preserve"> ((750*10^-6)/(2*PI()*B36*1258))</f>
        <v>3.0971394485710854E-8</v>
      </c>
      <c r="C37" s="8" t="s">
        <v>35</v>
      </c>
      <c r="D37" s="6"/>
      <c r="E37" s="6"/>
      <c r="F37" s="6"/>
      <c r="G37" s="7"/>
      <c r="H37" s="7"/>
      <c r="I37" s="7"/>
      <c r="J37" s="7"/>
      <c r="K37" s="7"/>
    </row>
    <row r="38" spans="1:11" x14ac:dyDescent="0.35">
      <c r="A38" s="8" t="s">
        <v>37</v>
      </c>
      <c r="B38" s="17">
        <v>33</v>
      </c>
      <c r="C38" s="8" t="s">
        <v>4</v>
      </c>
      <c r="D38" s="6"/>
      <c r="E38" s="6"/>
      <c r="F38" s="6"/>
      <c r="G38" s="7"/>
      <c r="H38" s="7"/>
      <c r="I38" s="7"/>
      <c r="J38" s="7"/>
      <c r="K38" s="7"/>
    </row>
    <row r="39" spans="1:11" x14ac:dyDescent="0.35">
      <c r="A39" s="8" t="s">
        <v>40</v>
      </c>
      <c r="B39" s="16">
        <f>(B10*B12/(B8*10^-3)+(B12*B9)+B30)/(2*PI()*(B10*B12/(B8*10^-3))*(B14*10^-6)*((B12*B9)+B30))</f>
        <v>44336.019861313704</v>
      </c>
      <c r="C39" s="8" t="s">
        <v>3</v>
      </c>
      <c r="D39" s="6"/>
      <c r="E39" s="6"/>
      <c r="F39" s="6"/>
      <c r="G39" s="7"/>
      <c r="H39" s="7"/>
      <c r="I39" s="7"/>
      <c r="J39" s="7"/>
      <c r="K39" s="7"/>
    </row>
    <row r="40" spans="1:11" x14ac:dyDescent="0.35">
      <c r="A40" s="8" t="s">
        <v>36</v>
      </c>
      <c r="B40" s="16">
        <f>1/(2*PI()*B39*B38*10^-9)</f>
        <v>108.78010878010876</v>
      </c>
      <c r="C40" s="9" t="s">
        <v>5</v>
      </c>
      <c r="D40" s="6"/>
      <c r="E40" s="6"/>
      <c r="F40" s="6"/>
      <c r="G40" s="7"/>
      <c r="H40" s="7"/>
      <c r="I40" s="7"/>
      <c r="J40" s="7"/>
      <c r="K40" s="7"/>
    </row>
    <row r="41" spans="1:11" x14ac:dyDescent="0.35">
      <c r="A41" s="8" t="s">
        <v>45</v>
      </c>
      <c r="B41" s="17">
        <v>110</v>
      </c>
      <c r="C41" s="9" t="s">
        <v>5</v>
      </c>
      <c r="D41" s="6"/>
      <c r="E41" s="6"/>
      <c r="F41" s="6"/>
      <c r="G41" s="7"/>
      <c r="H41" s="7"/>
      <c r="I41" s="7"/>
      <c r="J41" s="7"/>
      <c r="K41" s="7"/>
    </row>
    <row r="42" spans="1:11" x14ac:dyDescent="0.35">
      <c r="A42" s="8"/>
      <c r="B42" s="10"/>
      <c r="C42" s="8"/>
      <c r="D42" s="6"/>
      <c r="E42" s="6"/>
      <c r="F42" s="6"/>
      <c r="G42" s="7"/>
      <c r="H42" s="7"/>
      <c r="I42" s="7"/>
      <c r="J42" s="7"/>
      <c r="K42" s="7"/>
    </row>
    <row r="43" spans="1:11" x14ac:dyDescent="0.35">
      <c r="A43" s="8" t="s">
        <v>46</v>
      </c>
      <c r="B43" s="10">
        <f>25690/B7</f>
        <v>102.76</v>
      </c>
      <c r="C43" s="9" t="s">
        <v>48</v>
      </c>
      <c r="D43" s="6"/>
      <c r="E43" s="6"/>
      <c r="F43" s="6"/>
      <c r="G43" s="7"/>
      <c r="H43" s="7"/>
      <c r="I43" s="7"/>
      <c r="J43" s="7"/>
      <c r="K43" s="7"/>
    </row>
    <row r="44" spans="1:11" x14ac:dyDescent="0.35">
      <c r="A44" s="8" t="s">
        <v>47</v>
      </c>
      <c r="B44" s="17">
        <v>100</v>
      </c>
      <c r="C44" s="9" t="s">
        <v>48</v>
      </c>
      <c r="D44" s="6"/>
      <c r="E44" s="6"/>
      <c r="F44" s="6"/>
      <c r="G44" s="7"/>
      <c r="H44" s="7"/>
      <c r="I44" s="7"/>
      <c r="J44" s="7"/>
      <c r="K44" s="7"/>
    </row>
    <row r="45" spans="1:11" x14ac:dyDescent="0.35">
      <c r="A45" s="8"/>
      <c r="B45" s="10"/>
      <c r="C45" s="9"/>
      <c r="D45" s="6"/>
      <c r="E45" s="6"/>
      <c r="F45" s="6"/>
      <c r="G45" s="7"/>
      <c r="H45" s="7"/>
      <c r="I45" s="7"/>
      <c r="J45" s="7"/>
      <c r="K45" s="7"/>
    </row>
    <row r="46" spans="1:11" x14ac:dyDescent="0.35">
      <c r="A46" s="8"/>
      <c r="B46" s="10"/>
      <c r="C46" s="9"/>
      <c r="D46" s="6"/>
      <c r="E46" s="6"/>
      <c r="F46" s="6"/>
      <c r="G46" s="7"/>
      <c r="H46" s="7"/>
      <c r="I46" s="7"/>
      <c r="J46" s="7"/>
      <c r="K46" s="7"/>
    </row>
    <row r="47" spans="1:11" x14ac:dyDescent="0.35">
      <c r="A47" s="10"/>
      <c r="B47" s="10"/>
      <c r="C47" s="8"/>
      <c r="D47" s="6"/>
      <c r="E47" s="6"/>
      <c r="F47" s="6"/>
      <c r="G47" s="7"/>
      <c r="H47" s="7"/>
      <c r="I47" s="7"/>
      <c r="J47" s="7"/>
      <c r="K47" s="7"/>
    </row>
    <row r="48" spans="1:11" x14ac:dyDescent="0.35">
      <c r="A48" s="34"/>
      <c r="B48" s="34"/>
      <c r="C48" s="34"/>
      <c r="D48" s="34"/>
      <c r="E48" s="34"/>
      <c r="F48" s="1"/>
    </row>
    <row r="49" spans="1:9" x14ac:dyDescent="0.35">
      <c r="A49" s="7"/>
      <c r="B49" s="10"/>
      <c r="C49" s="7"/>
      <c r="D49" s="7"/>
      <c r="E49" s="7"/>
      <c r="H49" t="s">
        <v>41</v>
      </c>
      <c r="I49" t="s">
        <v>42</v>
      </c>
    </row>
    <row r="50" spans="1:9" x14ac:dyDescent="0.35">
      <c r="A50" s="23"/>
      <c r="B50" s="10"/>
      <c r="C50" s="23"/>
      <c r="D50" s="23"/>
      <c r="E50" s="23"/>
      <c r="H50">
        <v>0</v>
      </c>
      <c r="I50" s="4">
        <f>B33*1000</f>
        <v>19230.76923076923</v>
      </c>
    </row>
    <row r="51" spans="1:9" x14ac:dyDescent="0.35">
      <c r="A51" s="23"/>
      <c r="B51" s="10"/>
      <c r="C51" s="23"/>
      <c r="D51" s="23"/>
      <c r="E51" s="23"/>
      <c r="H51" s="3">
        <f>20*LOG10(B34)</f>
        <v>75.95513324656666</v>
      </c>
      <c r="I51" s="2">
        <f>B36</f>
        <v>3.0636559627822542</v>
      </c>
    </row>
    <row r="52" spans="1:9" x14ac:dyDescent="0.35">
      <c r="A52" s="23"/>
      <c r="B52" s="10"/>
      <c r="C52" s="23"/>
      <c r="D52" s="24" t="str">
        <f>B31&amp;"Ω"</f>
        <v>0.2Ω</v>
      </c>
      <c r="E52" s="23"/>
      <c r="H52" s="3">
        <f>20*LOG10(B34)</f>
        <v>75.95513324656666</v>
      </c>
      <c r="I52">
        <v>0.1</v>
      </c>
    </row>
    <row r="53" spans="1:9" x14ac:dyDescent="0.35">
      <c r="A53" s="7"/>
      <c r="B53" s="8"/>
      <c r="C53" s="7"/>
      <c r="D53" s="7"/>
      <c r="E53" s="7"/>
      <c r="H53">
        <f>20*LOG10(B34)</f>
        <v>75.95513324656666</v>
      </c>
      <c r="I53">
        <v>0.1</v>
      </c>
    </row>
    <row r="54" spans="1:9" x14ac:dyDescent="0.35">
      <c r="A54" s="7"/>
      <c r="B54" s="10"/>
      <c r="C54" s="7"/>
      <c r="D54" s="7"/>
      <c r="E54" s="7"/>
    </row>
    <row r="55" spans="1:9" x14ac:dyDescent="0.35">
      <c r="A55" s="7"/>
      <c r="B55" s="10"/>
      <c r="C55" s="7"/>
      <c r="D55" s="7"/>
      <c r="E55" s="7"/>
    </row>
    <row r="56" spans="1:9" x14ac:dyDescent="0.35">
      <c r="A56" s="7" t="str">
        <f>B38&amp;"nF"</f>
        <v>33nF</v>
      </c>
      <c r="B56" s="10"/>
      <c r="C56" s="7" t="str">
        <f>B20&amp;"µH"</f>
        <v>15µH</v>
      </c>
      <c r="D56" s="10"/>
      <c r="E56" s="27" t="str">
        <f>B14&amp;"µF"</f>
        <v>10µF</v>
      </c>
    </row>
    <row r="57" spans="1:9" x14ac:dyDescent="0.35">
      <c r="A57" s="7"/>
      <c r="B57" s="10"/>
      <c r="C57" s="7"/>
      <c r="D57" s="7"/>
      <c r="E57" s="7"/>
    </row>
    <row r="58" spans="1:9" x14ac:dyDescent="0.35">
      <c r="A58" s="7"/>
      <c r="B58" s="8" t="str">
        <f>B28&amp;"Ω"</f>
        <v>1500Ω</v>
      </c>
      <c r="C58" s="7"/>
      <c r="D58" s="7"/>
      <c r="E58" s="25"/>
    </row>
    <row r="59" spans="1:9" x14ac:dyDescent="0.35">
      <c r="A59" s="7" t="str">
        <f>B41&amp;"Ω"</f>
        <v>110Ω</v>
      </c>
      <c r="B59" s="10"/>
      <c r="C59" s="7"/>
      <c r="D59" s="7"/>
      <c r="E59" s="7"/>
    </row>
    <row r="60" spans="1:9" x14ac:dyDescent="0.35">
      <c r="A60" s="7"/>
      <c r="B60" s="8"/>
      <c r="C60" s="7"/>
      <c r="D60" s="24"/>
      <c r="E60" s="7"/>
    </row>
    <row r="61" spans="1:9" x14ac:dyDescent="0.35">
      <c r="A61" s="26" t="str">
        <f>B44&amp;"kΩ"</f>
        <v>100kΩ</v>
      </c>
      <c r="B61" s="8" t="str">
        <f>B26&amp;"Ω"</f>
        <v>0.18Ω</v>
      </c>
      <c r="C61" s="7"/>
      <c r="D61" s="7"/>
      <c r="E61" s="7"/>
    </row>
    <row r="62" spans="1:9" x14ac:dyDescent="0.35">
      <c r="A62" s="7"/>
      <c r="B62" s="10"/>
      <c r="C62" s="7"/>
      <c r="D62" s="7"/>
      <c r="E62" s="7"/>
    </row>
  </sheetData>
  <mergeCells count="2">
    <mergeCell ref="A1:F1"/>
    <mergeCell ref="A48:E48"/>
  </mergeCells>
  <pageMargins left="0.70866141732283472" right="0.70866141732283472" top="0.74803149606299213" bottom="0.74803149606299213" header="0.31496062992125984" footer="0.31496062992125984"/>
  <pageSetup paperSize="9" orientation="landscape" horizontalDpi="4294967292"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BOOST</vt:lpstr>
      <vt:lpstr>BUCK-BOOST</vt:lpstr>
      <vt:lpstr>BUCK</vt:lpstr>
      <vt:lpstr>'BUCK-BOOST'!Print_Area</vt:lpstr>
    </vt:vector>
  </TitlesOfParts>
  <Company>Allegro Microsystems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ptod</dc:creator>
  <cp:lastModifiedBy>Allegro Employee</cp:lastModifiedBy>
  <cp:lastPrinted>2014-03-20T11:29:49Z</cp:lastPrinted>
  <dcterms:created xsi:type="dcterms:W3CDTF">2009-08-12T13:24:42Z</dcterms:created>
  <dcterms:modified xsi:type="dcterms:W3CDTF">2015-04-01T16:18:12Z</dcterms:modified>
</cp:coreProperties>
</file>