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670" yWindow="3465" windowWidth="19155" windowHeight="8580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</sheets>
  <definedNames>
    <definedName name="_xlnm.Print_Area" localSheetId="0">Design!$A$1:$I$92</definedName>
    <definedName name="_xlnm.Print_Area" localSheetId="1">Snubber!$A$2:$I$34</definedName>
  </definedNames>
  <calcPr calcId="125725" iterate="1" iterateCount="1000"/>
</workbook>
</file>

<file path=xl/calcChain.xml><?xml version="1.0" encoding="utf-8"?>
<calcChain xmlns="http://schemas.openxmlformats.org/spreadsheetml/2006/main">
  <c r="B34" i="1"/>
  <c r="AP19" i="12"/>
  <c r="AW19"/>
  <c r="AP20"/>
  <c r="AW20"/>
  <c r="AP21"/>
  <c r="AW21"/>
  <c r="AP22"/>
  <c r="AW22"/>
  <c r="AP23"/>
  <c r="AW23"/>
  <c r="AP24"/>
  <c r="AW24"/>
  <c r="AP10"/>
  <c r="AW10"/>
  <c r="AP11"/>
  <c r="AW11"/>
  <c r="AP12"/>
  <c r="AW12"/>
  <c r="AP13"/>
  <c r="AW13"/>
  <c r="V19"/>
  <c r="AC19"/>
  <c r="V20"/>
  <c r="AC20"/>
  <c r="V21"/>
  <c r="AC21"/>
  <c r="V22"/>
  <c r="AC22"/>
  <c r="V23"/>
  <c r="AC23"/>
  <c r="V24"/>
  <c r="AC24"/>
  <c r="V10"/>
  <c r="AC10"/>
  <c r="V11"/>
  <c r="AC11"/>
  <c r="V12"/>
  <c r="AC12"/>
  <c r="V13"/>
  <c r="AC13"/>
  <c r="A19"/>
  <c r="I19"/>
  <c r="A20"/>
  <c r="I20"/>
  <c r="A21"/>
  <c r="I21"/>
  <c r="A22"/>
  <c r="I22"/>
  <c r="A23"/>
  <c r="I23"/>
  <c r="A24"/>
  <c r="I24"/>
  <c r="I10"/>
  <c r="I11"/>
  <c r="I12"/>
  <c r="I13"/>
  <c r="B10"/>
  <c r="B11" s="1"/>
  <c r="B12" s="1"/>
  <c r="B13" s="1"/>
  <c r="G61" i="2" l="1"/>
  <c r="C65" s="1"/>
  <c r="B67" i="1"/>
  <c r="B74"/>
  <c r="I60" i="2"/>
  <c r="B35" s="1"/>
  <c r="H60"/>
  <c r="G60"/>
  <c r="B65" l="1"/>
  <c r="H66"/>
  <c r="H65"/>
  <c r="H64"/>
  <c r="C67" s="1"/>
  <c r="F4" i="1"/>
  <c r="H114" i="7"/>
  <c r="H113"/>
  <c r="B52" i="1"/>
  <c r="A5" i="7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"/>
  <c r="A47"/>
  <c r="AU88"/>
  <c r="AQ2" i="12"/>
  <c r="W2"/>
  <c r="C2"/>
  <c r="AP16"/>
  <c r="AP17" s="1"/>
  <c r="V16"/>
  <c r="V17" s="1"/>
  <c r="B16"/>
  <c r="B17" s="1"/>
  <c r="AP5"/>
  <c r="AP6" s="1"/>
  <c r="V5"/>
  <c r="V6" s="1"/>
  <c r="V7" s="1"/>
  <c r="B5"/>
  <c r="B6" s="1"/>
  <c r="A18"/>
  <c r="A17"/>
  <c r="A16"/>
  <c r="A15"/>
  <c r="A48" i="7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G87"/>
  <c r="R87"/>
  <c r="C87"/>
  <c r="B87"/>
  <c r="AG86"/>
  <c r="R86"/>
  <c r="C86"/>
  <c r="AG85"/>
  <c r="R85"/>
  <c r="C85"/>
  <c r="AG84"/>
  <c r="R84"/>
  <c r="C84"/>
  <c r="AG83"/>
  <c r="R83"/>
  <c r="C83"/>
  <c r="AG82"/>
  <c r="R82"/>
  <c r="C82"/>
  <c r="AG81"/>
  <c r="R81"/>
  <c r="C81"/>
  <c r="AG80"/>
  <c r="R80"/>
  <c r="C80"/>
  <c r="AG79"/>
  <c r="R79"/>
  <c r="C79"/>
  <c r="AG78"/>
  <c r="R78"/>
  <c r="C78"/>
  <c r="AG77"/>
  <c r="R77"/>
  <c r="C77"/>
  <c r="AG76"/>
  <c r="R76"/>
  <c r="C76"/>
  <c r="AG75"/>
  <c r="R75"/>
  <c r="C75"/>
  <c r="AG74"/>
  <c r="R74"/>
  <c r="C74"/>
  <c r="AG73"/>
  <c r="R73"/>
  <c r="C73"/>
  <c r="AG72"/>
  <c r="R72"/>
  <c r="C72"/>
  <c r="AG71"/>
  <c r="R71"/>
  <c r="C71"/>
  <c r="AG70"/>
  <c r="R70"/>
  <c r="C70"/>
  <c r="AG69"/>
  <c r="R69"/>
  <c r="C69"/>
  <c r="AG68"/>
  <c r="R68"/>
  <c r="C68"/>
  <c r="AG67"/>
  <c r="R67"/>
  <c r="C67"/>
  <c r="AG66"/>
  <c r="R66"/>
  <c r="C66"/>
  <c r="AG65"/>
  <c r="R65"/>
  <c r="C65"/>
  <c r="AG64"/>
  <c r="R64"/>
  <c r="C64"/>
  <c r="AG63"/>
  <c r="R63"/>
  <c r="C63"/>
  <c r="AG62"/>
  <c r="R62"/>
  <c r="C62"/>
  <c r="AG61"/>
  <c r="R61"/>
  <c r="C61"/>
  <c r="AG60"/>
  <c r="R60"/>
  <c r="C60"/>
  <c r="AG59"/>
  <c r="R59"/>
  <c r="C59"/>
  <c r="AG58"/>
  <c r="R58"/>
  <c r="C58"/>
  <c r="AG57"/>
  <c r="R57"/>
  <c r="C57"/>
  <c r="AG56"/>
  <c r="R56"/>
  <c r="C56"/>
  <c r="AG55"/>
  <c r="R55"/>
  <c r="C55"/>
  <c r="AG54"/>
  <c r="R54"/>
  <c r="C54"/>
  <c r="AG53"/>
  <c r="R53"/>
  <c r="C53"/>
  <c r="AG52"/>
  <c r="R52"/>
  <c r="C52"/>
  <c r="AG51"/>
  <c r="R51"/>
  <c r="C51"/>
  <c r="AG50"/>
  <c r="R50"/>
  <c r="C50"/>
  <c r="AG49"/>
  <c r="R49"/>
  <c r="C49"/>
  <c r="AG48"/>
  <c r="R48"/>
  <c r="C48"/>
  <c r="AG47"/>
  <c r="R47"/>
  <c r="C47"/>
  <c r="AG5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27"/>
  <c r="AG28"/>
  <c r="AG29"/>
  <c r="AG30"/>
  <c r="AG31"/>
  <c r="AG32"/>
  <c r="AG33"/>
  <c r="AG34"/>
  <c r="AG35"/>
  <c r="AG36"/>
  <c r="AG37"/>
  <c r="AG38"/>
  <c r="AG39"/>
  <c r="AG40"/>
  <c r="AG41"/>
  <c r="AG42"/>
  <c r="AG43"/>
  <c r="AG44"/>
  <c r="AG4"/>
  <c r="B4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"/>
  <c r="C5" i="8"/>
  <c r="B15" s="1"/>
  <c r="C5" i="7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"/>
  <c r="BA19" i="12" l="1"/>
  <c r="BA20"/>
  <c r="BA21"/>
  <c r="BA22"/>
  <c r="BA23"/>
  <c r="BA24"/>
  <c r="BA10"/>
  <c r="BA11"/>
  <c r="BA12"/>
  <c r="BA13"/>
  <c r="AT19"/>
  <c r="AT20"/>
  <c r="AT21"/>
  <c r="AT22"/>
  <c r="AT23"/>
  <c r="AT24"/>
  <c r="AT10"/>
  <c r="AT11"/>
  <c r="AT12"/>
  <c r="AT13"/>
  <c r="AU21"/>
  <c r="AU12"/>
  <c r="AU22"/>
  <c r="AU13"/>
  <c r="AU23"/>
  <c r="AU19"/>
  <c r="AU10"/>
  <c r="AU24"/>
  <c r="AU20"/>
  <c r="AU11"/>
  <c r="AG16"/>
  <c r="AG19"/>
  <c r="AG20"/>
  <c r="AG21"/>
  <c r="AG22"/>
  <c r="AG23"/>
  <c r="AG24"/>
  <c r="AG10"/>
  <c r="AG11"/>
  <c r="AG12"/>
  <c r="AG13"/>
  <c r="Z19"/>
  <c r="Z20"/>
  <c r="Z21"/>
  <c r="Z22"/>
  <c r="Z23"/>
  <c r="Z24"/>
  <c r="Z10"/>
  <c r="Z11"/>
  <c r="Z12"/>
  <c r="Z13"/>
  <c r="AA23"/>
  <c r="AA19"/>
  <c r="AA10"/>
  <c r="AA24"/>
  <c r="AA20"/>
  <c r="AA11"/>
  <c r="AA21"/>
  <c r="AA12"/>
  <c r="AA22"/>
  <c r="AA13"/>
  <c r="F21"/>
  <c r="F22"/>
  <c r="F24"/>
  <c r="G13"/>
  <c r="F19"/>
  <c r="G12"/>
  <c r="F10"/>
  <c r="F11"/>
  <c r="F12"/>
  <c r="F13"/>
  <c r="G10"/>
  <c r="M19"/>
  <c r="M20"/>
  <c r="M21"/>
  <c r="M22"/>
  <c r="M23"/>
  <c r="M24"/>
  <c r="M10"/>
  <c r="M11"/>
  <c r="M12"/>
  <c r="M13"/>
  <c r="F20"/>
  <c r="F23"/>
  <c r="G11"/>
  <c r="B12" i="8"/>
  <c r="B13" s="1"/>
  <c r="B66" i="2"/>
  <c r="C66"/>
  <c r="B67"/>
  <c r="H67"/>
  <c r="D55" i="1" s="1"/>
  <c r="B71"/>
  <c r="B75" s="1"/>
  <c r="B72"/>
  <c r="AG5" i="12"/>
  <c r="AG9"/>
  <c r="AG17"/>
  <c r="AG6"/>
  <c r="AG4"/>
  <c r="AG18"/>
  <c r="AG7"/>
  <c r="AG15"/>
  <c r="B86" i="7"/>
  <c r="B85" s="1"/>
  <c r="B84" s="1"/>
  <c r="AG8" i="12"/>
  <c r="BA6"/>
  <c r="BA4"/>
  <c r="BA7"/>
  <c r="BA16"/>
  <c r="BA8"/>
  <c r="BA15"/>
  <c r="BA17"/>
  <c r="BA9"/>
  <c r="BA5"/>
  <c r="BA18"/>
  <c r="M7"/>
  <c r="M16"/>
  <c r="M15"/>
  <c r="M9"/>
  <c r="M5"/>
  <c r="M18"/>
  <c r="M8"/>
  <c r="M17"/>
  <c r="M4"/>
  <c r="M6"/>
  <c r="V18"/>
  <c r="B18"/>
  <c r="B19" s="1"/>
  <c r="B20" s="1"/>
  <c r="B7"/>
  <c r="B8" s="1"/>
  <c r="B9" s="1"/>
  <c r="AP18"/>
  <c r="AP7"/>
  <c r="AP8" s="1"/>
  <c r="V8"/>
  <c r="B43" i="7"/>
  <c r="G19" i="12" l="1"/>
  <c r="B21"/>
  <c r="G20"/>
  <c r="B68" i="2"/>
  <c r="B54" i="1" s="1"/>
  <c r="C68" i="2"/>
  <c r="B55" i="1" s="1"/>
  <c r="AP9" i="12"/>
  <c r="V9"/>
  <c r="B83" i="7"/>
  <c r="B42"/>
  <c r="B42" i="2"/>
  <c r="B22" i="12" l="1"/>
  <c r="G21"/>
  <c r="B82" i="7"/>
  <c r="B41"/>
  <c r="B12" i="2"/>
  <c r="D12"/>
  <c r="C12"/>
  <c r="B23" i="1"/>
  <c r="B25" s="1"/>
  <c r="C27" s="1"/>
  <c r="B62"/>
  <c r="B64" s="1"/>
  <c r="D4" i="2"/>
  <c r="B4"/>
  <c r="G22" i="12" l="1"/>
  <c r="B23"/>
  <c r="B27" i="1"/>
  <c r="B81" i="7"/>
  <c r="B40"/>
  <c r="C29" i="1"/>
  <c r="B65"/>
  <c r="B29"/>
  <c r="D29"/>
  <c r="B24" i="12" l="1"/>
  <c r="G24" s="1"/>
  <c r="G23"/>
  <c r="B80" i="7"/>
  <c r="B79" s="1"/>
  <c r="B39"/>
  <c r="B78" l="1"/>
  <c r="B38"/>
  <c r="B77" l="1"/>
  <c r="B37"/>
  <c r="B76" l="1"/>
  <c r="B36"/>
  <c r="B75" l="1"/>
  <c r="B35"/>
  <c r="B74" l="1"/>
  <c r="B34"/>
  <c r="B73" l="1"/>
  <c r="B33"/>
  <c r="B72" l="1"/>
  <c r="B32"/>
  <c r="B71" l="1"/>
  <c r="B31"/>
  <c r="B70" l="1"/>
  <c r="B30"/>
  <c r="B69" l="1"/>
  <c r="B29"/>
  <c r="B68" l="1"/>
  <c r="B28"/>
  <c r="B67" l="1"/>
  <c r="B27"/>
  <c r="B66" l="1"/>
  <c r="B26"/>
  <c r="B65" l="1"/>
  <c r="B25"/>
  <c r="B64" l="1"/>
  <c r="B24"/>
  <c r="B63" l="1"/>
  <c r="B23"/>
  <c r="B62" l="1"/>
  <c r="B22"/>
  <c r="B61" l="1"/>
  <c r="B21"/>
  <c r="B60" l="1"/>
  <c r="B20"/>
  <c r="B59" l="1"/>
  <c r="B19"/>
  <c r="B58" l="1"/>
  <c r="B18"/>
  <c r="B57" l="1"/>
  <c r="B17"/>
  <c r="B56" l="1"/>
  <c r="B16"/>
  <c r="B55" l="1"/>
  <c r="B15"/>
  <c r="B54" l="1"/>
  <c r="B14"/>
  <c r="B53" l="1"/>
  <c r="B13"/>
  <c r="B52" l="1"/>
  <c r="B12"/>
  <c r="B51" l="1"/>
  <c r="B11"/>
  <c r="B50" l="1"/>
  <c r="B10"/>
  <c r="B49" l="1"/>
  <c r="B9"/>
  <c r="B48" l="1"/>
  <c r="B8"/>
  <c r="B47" l="1"/>
  <c r="B7"/>
  <c r="B6" l="1"/>
  <c r="B5" l="1"/>
  <c r="B4" l="1"/>
  <c r="B35" i="1" l="1"/>
  <c r="C35"/>
  <c r="B36"/>
  <c r="C36"/>
  <c r="B50"/>
  <c r="G4" i="7"/>
  <c r="H4"/>
  <c r="J4"/>
  <c r="V4"/>
  <c r="W4"/>
  <c r="Y4"/>
  <c r="AK4"/>
  <c r="AL4"/>
  <c r="AN4"/>
  <c r="G5"/>
  <c r="H5"/>
  <c r="J5"/>
  <c r="V5"/>
  <c r="W5"/>
  <c r="Y5"/>
  <c r="AK5"/>
  <c r="AL5"/>
  <c r="AN5"/>
  <c r="G6"/>
  <c r="H6"/>
  <c r="J6"/>
  <c r="V6"/>
  <c r="W6"/>
  <c r="Y6"/>
  <c r="AK6"/>
  <c r="AL6"/>
  <c r="AN6"/>
  <c r="G7"/>
  <c r="H7"/>
  <c r="J7"/>
  <c r="V7"/>
  <c r="W7"/>
  <c r="Y7"/>
  <c r="AK7"/>
  <c r="AL7"/>
  <c r="AN7"/>
  <c r="G8"/>
  <c r="H8"/>
  <c r="J8"/>
  <c r="V8"/>
  <c r="W8"/>
  <c r="Y8"/>
  <c r="AK8"/>
  <c r="AL8"/>
  <c r="AN8"/>
  <c r="G9"/>
  <c r="H9"/>
  <c r="J9"/>
  <c r="V9"/>
  <c r="W9"/>
  <c r="Y9"/>
  <c r="AK9"/>
  <c r="AL9"/>
  <c r="AN9"/>
  <c r="G10"/>
  <c r="H10"/>
  <c r="J10"/>
  <c r="V10"/>
  <c r="W10"/>
  <c r="Y10"/>
  <c r="AK10"/>
  <c r="AL10"/>
  <c r="AN10"/>
  <c r="G11"/>
  <c r="H11"/>
  <c r="J11"/>
  <c r="V11"/>
  <c r="W11"/>
  <c r="Y11"/>
  <c r="AK11"/>
  <c r="AL11"/>
  <c r="AN11"/>
  <c r="G12"/>
  <c r="H12"/>
  <c r="J12"/>
  <c r="V12"/>
  <c r="W12"/>
  <c r="Y12"/>
  <c r="AK12"/>
  <c r="AL12"/>
  <c r="AN12"/>
  <c r="G13"/>
  <c r="H13"/>
  <c r="J13"/>
  <c r="V13"/>
  <c r="W13"/>
  <c r="Y13"/>
  <c r="AK13"/>
  <c r="AL13"/>
  <c r="AN13"/>
  <c r="G14"/>
  <c r="H14"/>
  <c r="J14"/>
  <c r="V14"/>
  <c r="W14"/>
  <c r="Y14"/>
  <c r="AK14"/>
  <c r="AL14"/>
  <c r="AN14"/>
  <c r="G15"/>
  <c r="H15"/>
  <c r="J15"/>
  <c r="V15"/>
  <c r="W15"/>
  <c r="Y15"/>
  <c r="AK15"/>
  <c r="AL15"/>
  <c r="AN15"/>
  <c r="G16"/>
  <c r="H16"/>
  <c r="J16"/>
  <c r="V16"/>
  <c r="W16"/>
  <c r="Y16"/>
  <c r="AK16"/>
  <c r="AL16"/>
  <c r="AN16"/>
  <c r="G17"/>
  <c r="H17"/>
  <c r="J17"/>
  <c r="V17"/>
  <c r="W17"/>
  <c r="Y17"/>
  <c r="AK17"/>
  <c r="AL17"/>
  <c r="AN17"/>
  <c r="G18"/>
  <c r="H18"/>
  <c r="J18"/>
  <c r="V18"/>
  <c r="W18"/>
  <c r="Y18"/>
  <c r="AK18"/>
  <c r="AL18"/>
  <c r="AN18"/>
  <c r="G19"/>
  <c r="H19"/>
  <c r="J19"/>
  <c r="V19"/>
  <c r="W19"/>
  <c r="Y19"/>
  <c r="AK19"/>
  <c r="AL19"/>
  <c r="AN19"/>
  <c r="G20"/>
  <c r="H20"/>
  <c r="J20"/>
  <c r="V20"/>
  <c r="W20"/>
  <c r="Y20"/>
  <c r="AK20"/>
  <c r="AL20"/>
  <c r="AN20"/>
  <c r="G21"/>
  <c r="H21"/>
  <c r="J21"/>
  <c r="V21"/>
  <c r="W21"/>
  <c r="Y21"/>
  <c r="AK21"/>
  <c r="AL21"/>
  <c r="AN21"/>
  <c r="G22"/>
  <c r="H22"/>
  <c r="J22"/>
  <c r="V22"/>
  <c r="W22"/>
  <c r="Y22"/>
  <c r="AK22"/>
  <c r="AL22"/>
  <c r="AN22"/>
  <c r="G23"/>
  <c r="H23"/>
  <c r="J23"/>
  <c r="V23"/>
  <c r="W23"/>
  <c r="Y23"/>
  <c r="AK23"/>
  <c r="AL23"/>
  <c r="AN23"/>
  <c r="G24"/>
  <c r="H24"/>
  <c r="J24"/>
  <c r="V24"/>
  <c r="W24"/>
  <c r="Y24"/>
  <c r="AK24"/>
  <c r="AL24"/>
  <c r="AN24"/>
  <c r="G25"/>
  <c r="H25"/>
  <c r="J25"/>
  <c r="V25"/>
  <c r="W25"/>
  <c r="Y25"/>
  <c r="AK25"/>
  <c r="AL25"/>
  <c r="AN25"/>
  <c r="G26"/>
  <c r="H26"/>
  <c r="J26"/>
  <c r="V26"/>
  <c r="W26"/>
  <c r="Y26"/>
  <c r="AK26"/>
  <c r="AL26"/>
  <c r="AN26"/>
  <c r="G27"/>
  <c r="H27"/>
  <c r="J27"/>
  <c r="V27"/>
  <c r="W27"/>
  <c r="Y27"/>
  <c r="AK27"/>
  <c r="AL27"/>
  <c r="AN27"/>
  <c r="G28"/>
  <c r="H28"/>
  <c r="J28"/>
  <c r="V28"/>
  <c r="W28"/>
  <c r="Y28"/>
  <c r="AK28"/>
  <c r="AL28"/>
  <c r="AN28"/>
  <c r="G29"/>
  <c r="H29"/>
  <c r="J29"/>
  <c r="V29"/>
  <c r="W29"/>
  <c r="Y29"/>
  <c r="AK29"/>
  <c r="AL29"/>
  <c r="AN29"/>
  <c r="G30"/>
  <c r="H30"/>
  <c r="J30"/>
  <c r="V30"/>
  <c r="W30"/>
  <c r="Y30"/>
  <c r="AK30"/>
  <c r="AL30"/>
  <c r="AN30"/>
  <c r="G31"/>
  <c r="H31"/>
  <c r="J31"/>
  <c r="V31"/>
  <c r="W31"/>
  <c r="Y31"/>
  <c r="AK31"/>
  <c r="AL31"/>
  <c r="AN31"/>
  <c r="G32"/>
  <c r="H32"/>
  <c r="J32"/>
  <c r="V32"/>
  <c r="W32"/>
  <c r="Y32"/>
  <c r="AK32"/>
  <c r="AL32"/>
  <c r="AN32"/>
  <c r="G33"/>
  <c r="H33"/>
  <c r="J33"/>
  <c r="V33"/>
  <c r="W33"/>
  <c r="Y33"/>
  <c r="AK33"/>
  <c r="AL33"/>
  <c r="AN33"/>
  <c r="G34"/>
  <c r="H34"/>
  <c r="J34"/>
  <c r="V34"/>
  <c r="W34"/>
  <c r="Y34"/>
  <c r="AK34"/>
  <c r="AL34"/>
  <c r="AN34"/>
  <c r="G35"/>
  <c r="H35"/>
  <c r="J35"/>
  <c r="V35"/>
  <c r="W35"/>
  <c r="Y35"/>
  <c r="AK35"/>
  <c r="AL35"/>
  <c r="AN35"/>
  <c r="G36"/>
  <c r="H36"/>
  <c r="J36"/>
  <c r="V36"/>
  <c r="W36"/>
  <c r="Y36"/>
  <c r="AK36"/>
  <c r="AL36"/>
  <c r="AN36"/>
  <c r="G37"/>
  <c r="H37"/>
  <c r="J37"/>
  <c r="V37"/>
  <c r="W37"/>
  <c r="Y37"/>
  <c r="AK37"/>
  <c r="AL37"/>
  <c r="AN37"/>
  <c r="G38"/>
  <c r="H38"/>
  <c r="J38"/>
  <c r="V38"/>
  <c r="W38"/>
  <c r="Y38"/>
  <c r="AK38"/>
  <c r="AL38"/>
  <c r="AN38"/>
  <c r="G39"/>
  <c r="H39"/>
  <c r="J39"/>
  <c r="V39"/>
  <c r="W39"/>
  <c r="Y39"/>
  <c r="AK39"/>
  <c r="AL39"/>
  <c r="AN39"/>
  <c r="G40"/>
  <c r="H40"/>
  <c r="J40"/>
  <c r="V40"/>
  <c r="W40"/>
  <c r="Y40"/>
  <c r="AK40"/>
  <c r="AL40"/>
  <c r="AN40"/>
  <c r="G41"/>
  <c r="H41"/>
  <c r="J41"/>
  <c r="V41"/>
  <c r="W41"/>
  <c r="Y41"/>
  <c r="AK41"/>
  <c r="AL41"/>
  <c r="AN41"/>
  <c r="G42"/>
  <c r="H42"/>
  <c r="J42"/>
  <c r="V42"/>
  <c r="W42"/>
  <c r="Y42"/>
  <c r="AK42"/>
  <c r="AL42"/>
  <c r="AN42"/>
  <c r="G43"/>
  <c r="H43"/>
  <c r="J43"/>
  <c r="V43"/>
  <c r="W43"/>
  <c r="Y43"/>
  <c r="AK43"/>
  <c r="AL43"/>
  <c r="AN43"/>
  <c r="G44"/>
  <c r="H44"/>
  <c r="J44"/>
  <c r="V44"/>
  <c r="W44"/>
  <c r="Y44"/>
  <c r="AK44"/>
  <c r="AL44"/>
  <c r="AN44"/>
  <c r="G47"/>
  <c r="H47"/>
  <c r="J47"/>
  <c r="V47"/>
  <c r="W47"/>
  <c r="Y47"/>
  <c r="AK47"/>
  <c r="AL47"/>
  <c r="AN47"/>
  <c r="G48"/>
  <c r="H48"/>
  <c r="J48"/>
  <c r="V48"/>
  <c r="W48"/>
  <c r="Y48"/>
  <c r="AK48"/>
  <c r="AL48"/>
  <c r="AN48"/>
  <c r="G49"/>
  <c r="H49"/>
  <c r="J49"/>
  <c r="V49"/>
  <c r="W49"/>
  <c r="Y49"/>
  <c r="AK49"/>
  <c r="AL49"/>
  <c r="AN49"/>
  <c r="G50"/>
  <c r="H50"/>
  <c r="J50"/>
  <c r="V50"/>
  <c r="W50"/>
  <c r="Y50"/>
  <c r="AK50"/>
  <c r="AL50"/>
  <c r="AN50"/>
  <c r="G51"/>
  <c r="H51"/>
  <c r="J51"/>
  <c r="V51"/>
  <c r="W51"/>
  <c r="Y51"/>
  <c r="AK51"/>
  <c r="AL51"/>
  <c r="AN51"/>
  <c r="G52"/>
  <c r="H52"/>
  <c r="J52"/>
  <c r="V52"/>
  <c r="W52"/>
  <c r="Y52"/>
  <c r="AK52"/>
  <c r="AL52"/>
  <c r="AN52"/>
  <c r="G53"/>
  <c r="H53"/>
  <c r="J53"/>
  <c r="V53"/>
  <c r="W53"/>
  <c r="Y53"/>
  <c r="AK53"/>
  <c r="AL53"/>
  <c r="AN53"/>
  <c r="G54"/>
  <c r="H54"/>
  <c r="J54"/>
  <c r="V54"/>
  <c r="W54"/>
  <c r="Y54"/>
  <c r="AK54"/>
  <c r="AL54"/>
  <c r="AN54"/>
  <c r="G55"/>
  <c r="H55"/>
  <c r="J55"/>
  <c r="V55"/>
  <c r="W55"/>
  <c r="Y55"/>
  <c r="AK55"/>
  <c r="AL55"/>
  <c r="AN55"/>
  <c r="G56"/>
  <c r="H56"/>
  <c r="J56"/>
  <c r="V56"/>
  <c r="W56"/>
  <c r="Y56"/>
  <c r="AK56"/>
  <c r="AL56"/>
  <c r="AN56"/>
  <c r="G57"/>
  <c r="H57"/>
  <c r="J57"/>
  <c r="V57"/>
  <c r="W57"/>
  <c r="Y57"/>
  <c r="AK57"/>
  <c r="AL57"/>
  <c r="AN57"/>
  <c r="G58"/>
  <c r="H58"/>
  <c r="J58"/>
  <c r="V58"/>
  <c r="W58"/>
  <c r="Y58"/>
  <c r="AK58"/>
  <c r="AL58"/>
  <c r="AN58"/>
  <c r="G59"/>
  <c r="H59"/>
  <c r="J59"/>
  <c r="V59"/>
  <c r="W59"/>
  <c r="Y59"/>
  <c r="AK59"/>
  <c r="AL59"/>
  <c r="AN59"/>
  <c r="G60"/>
  <c r="H60"/>
  <c r="J60"/>
  <c r="V60"/>
  <c r="W60"/>
  <c r="Y60"/>
  <c r="AK60"/>
  <c r="AL60"/>
  <c r="AN60"/>
  <c r="G61"/>
  <c r="H61"/>
  <c r="J61"/>
  <c r="V61"/>
  <c r="W61"/>
  <c r="Y61"/>
  <c r="AK61"/>
  <c r="AL61"/>
  <c r="AN61"/>
  <c r="G62"/>
  <c r="H62"/>
  <c r="J62"/>
  <c r="V62"/>
  <c r="W62"/>
  <c r="Y62"/>
  <c r="AK62"/>
  <c r="AL62"/>
  <c r="AN62"/>
  <c r="G63"/>
  <c r="H63"/>
  <c r="J63"/>
  <c r="V63"/>
  <c r="W63"/>
  <c r="Y63"/>
  <c r="AK63"/>
  <c r="AL63"/>
  <c r="AN63"/>
  <c r="G64"/>
  <c r="H64"/>
  <c r="J64"/>
  <c r="V64"/>
  <c r="W64"/>
  <c r="Y64"/>
  <c r="AK64"/>
  <c r="AL64"/>
  <c r="AN64"/>
  <c r="G65"/>
  <c r="H65"/>
  <c r="J65"/>
  <c r="V65"/>
  <c r="W65"/>
  <c r="Y65"/>
  <c r="AK65"/>
  <c r="AL65"/>
  <c r="AN65"/>
  <c r="G66"/>
  <c r="H66"/>
  <c r="J66"/>
  <c r="V66"/>
  <c r="W66"/>
  <c r="Y66"/>
  <c r="AK66"/>
  <c r="AL66"/>
  <c r="AN66"/>
  <c r="G67"/>
  <c r="H67"/>
  <c r="J67"/>
  <c r="V67"/>
  <c r="W67"/>
  <c r="Y67"/>
  <c r="AK67"/>
  <c r="AL67"/>
  <c r="AN67"/>
  <c r="G68"/>
  <c r="H68"/>
  <c r="J68"/>
  <c r="V68"/>
  <c r="W68"/>
  <c r="Y68"/>
  <c r="AK68"/>
  <c r="AL68"/>
  <c r="AN68"/>
  <c r="G69"/>
  <c r="H69"/>
  <c r="J69"/>
  <c r="V69"/>
  <c r="W69"/>
  <c r="Y69"/>
  <c r="AK69"/>
  <c r="AL69"/>
  <c r="AN69"/>
  <c r="G70"/>
  <c r="H70"/>
  <c r="J70"/>
  <c r="V70"/>
  <c r="W70"/>
  <c r="Y70"/>
  <c r="AK70"/>
  <c r="AL70"/>
  <c r="AN70"/>
  <c r="G71"/>
  <c r="H71"/>
  <c r="J71"/>
  <c r="V71"/>
  <c r="W71"/>
  <c r="Y71"/>
  <c r="AK71"/>
  <c r="AL71"/>
  <c r="AN71"/>
  <c r="G72"/>
  <c r="H72"/>
  <c r="J72"/>
  <c r="V72"/>
  <c r="W72"/>
  <c r="Y72"/>
  <c r="AK72"/>
  <c r="AL72"/>
  <c r="AN72"/>
  <c r="G73"/>
  <c r="H73"/>
  <c r="J73"/>
  <c r="V73"/>
  <c r="W73"/>
  <c r="Y73"/>
  <c r="AK73"/>
  <c r="AL73"/>
  <c r="AN73"/>
  <c r="G74"/>
  <c r="H74"/>
  <c r="J74"/>
  <c r="V74"/>
  <c r="W74"/>
  <c r="Y74"/>
  <c r="AK74"/>
  <c r="AL74"/>
  <c r="AN74"/>
  <c r="G75"/>
  <c r="H75"/>
  <c r="J75"/>
  <c r="V75"/>
  <c r="W75"/>
  <c r="Y75"/>
  <c r="AK75"/>
  <c r="AL75"/>
  <c r="AN75"/>
  <c r="G76"/>
  <c r="H76"/>
  <c r="J76"/>
  <c r="V76"/>
  <c r="W76"/>
  <c r="Y76"/>
  <c r="AK76"/>
  <c r="AL76"/>
  <c r="AN76"/>
  <c r="G77"/>
  <c r="H77"/>
  <c r="J77"/>
  <c r="V77"/>
  <c r="W77"/>
  <c r="Y77"/>
  <c r="AK77"/>
  <c r="AL77"/>
  <c r="AN77"/>
  <c r="G78"/>
  <c r="H78"/>
  <c r="J78"/>
  <c r="V78"/>
  <c r="W78"/>
  <c r="Y78"/>
  <c r="AK78"/>
  <c r="AL78"/>
  <c r="AN78"/>
  <c r="G79"/>
  <c r="H79"/>
  <c r="J79"/>
  <c r="V79"/>
  <c r="W79"/>
  <c r="Y79"/>
  <c r="AK79"/>
  <c r="AL79"/>
  <c r="AN79"/>
  <c r="G80"/>
  <c r="H80"/>
  <c r="J80"/>
  <c r="V80"/>
  <c r="W80"/>
  <c r="Y80"/>
  <c r="AK80"/>
  <c r="AL80"/>
  <c r="AN80"/>
  <c r="G81"/>
  <c r="H81"/>
  <c r="J81"/>
  <c r="V81"/>
  <c r="W81"/>
  <c r="Y81"/>
  <c r="AK81"/>
  <c r="AL81"/>
  <c r="AN81"/>
  <c r="G82"/>
  <c r="H82"/>
  <c r="J82"/>
  <c r="V82"/>
  <c r="W82"/>
  <c r="Y82"/>
  <c r="AK82"/>
  <c r="AL82"/>
  <c r="AN82"/>
  <c r="G83"/>
  <c r="H83"/>
  <c r="J83"/>
  <c r="V83"/>
  <c r="W83"/>
  <c r="Y83"/>
  <c r="AK83"/>
  <c r="AL83"/>
  <c r="AN83"/>
  <c r="G84"/>
  <c r="H84"/>
  <c r="J84"/>
  <c r="V84"/>
  <c r="W84"/>
  <c r="Y84"/>
  <c r="AK84"/>
  <c r="AL84"/>
  <c r="AN84"/>
  <c r="G85"/>
  <c r="H85"/>
  <c r="J85"/>
  <c r="V85"/>
  <c r="W85"/>
  <c r="Y85"/>
  <c r="AK85"/>
  <c r="AL85"/>
  <c r="AN85"/>
  <c r="G86"/>
  <c r="H86"/>
  <c r="J86"/>
  <c r="V86"/>
  <c r="W86"/>
  <c r="Y86"/>
  <c r="AK86"/>
  <c r="AL86"/>
  <c r="AN86"/>
  <c r="G87"/>
  <c r="H87"/>
  <c r="J87"/>
  <c r="V87"/>
  <c r="W87"/>
  <c r="Y87"/>
  <c r="AK87"/>
  <c r="AL87"/>
  <c r="AN87"/>
  <c r="F4" i="12"/>
  <c r="G4"/>
  <c r="I4"/>
  <c r="Z4"/>
  <c r="AA4"/>
  <c r="AC4"/>
  <c r="AT4"/>
  <c r="AU4"/>
  <c r="AW4"/>
  <c r="F5"/>
  <c r="G5"/>
  <c r="I5"/>
  <c r="Z5"/>
  <c r="AA5"/>
  <c r="AC5"/>
  <c r="AT5"/>
  <c r="AU5"/>
  <c r="AW5"/>
  <c r="F6"/>
  <c r="G6"/>
  <c r="I6"/>
  <c r="Z6"/>
  <c r="AA6"/>
  <c r="AC6"/>
  <c r="AT6"/>
  <c r="AU6"/>
  <c r="AW6"/>
  <c r="F7"/>
  <c r="G7"/>
  <c r="I7"/>
  <c r="Z7"/>
  <c r="AA7"/>
  <c r="AC7"/>
  <c r="AT7"/>
  <c r="AU7"/>
  <c r="AW7"/>
  <c r="F8"/>
  <c r="G8"/>
  <c r="I8"/>
  <c r="Z8"/>
  <c r="AA8"/>
  <c r="AC8"/>
  <c r="AT8"/>
  <c r="AU8"/>
  <c r="AW8"/>
  <c r="F9"/>
  <c r="G9"/>
  <c r="I9"/>
  <c r="Z9"/>
  <c r="AA9"/>
  <c r="AC9"/>
  <c r="AT9"/>
  <c r="AU9"/>
  <c r="AW9"/>
  <c r="F15"/>
  <c r="G15"/>
  <c r="I15"/>
  <c r="Z15"/>
  <c r="AA15"/>
  <c r="AC15"/>
  <c r="AT15"/>
  <c r="AU15"/>
  <c r="AW15"/>
  <c r="F16"/>
  <c r="G16"/>
  <c r="I16"/>
  <c r="Z16"/>
  <c r="AA16"/>
  <c r="AC16"/>
  <c r="AT16"/>
  <c r="AU16"/>
  <c r="AW16"/>
  <c r="F17"/>
  <c r="G17"/>
  <c r="I17"/>
  <c r="Z17"/>
  <c r="AA17"/>
  <c r="AC17"/>
  <c r="AT17"/>
  <c r="AU17"/>
  <c r="AW17"/>
  <c r="F18"/>
  <c r="G18"/>
  <c r="I18"/>
  <c r="Z18"/>
  <c r="AA18"/>
  <c r="AC18"/>
  <c r="AT18"/>
  <c r="AU18"/>
  <c r="AW18"/>
  <c r="B17" i="8"/>
  <c r="B30" i="1" l="1"/>
  <c r="C30"/>
  <c r="D30"/>
  <c r="B32"/>
  <c r="E33"/>
  <c r="B37"/>
  <c r="B39"/>
  <c r="C39"/>
  <c r="B40"/>
  <c r="B43"/>
  <c r="B44"/>
  <c r="B45"/>
  <c r="B46"/>
  <c r="B47"/>
  <c r="B53"/>
  <c r="B57"/>
  <c r="B59"/>
  <c r="B60"/>
  <c r="B69"/>
  <c r="B70"/>
  <c r="C74"/>
  <c r="D4" i="7"/>
  <c r="E4"/>
  <c r="F4"/>
  <c r="I4"/>
  <c r="K4"/>
  <c r="L4"/>
  <c r="M4"/>
  <c r="N4"/>
  <c r="O4"/>
  <c r="P4"/>
  <c r="Q4"/>
  <c r="S4"/>
  <c r="T4"/>
  <c r="U4"/>
  <c r="X4"/>
  <c r="Z4"/>
  <c r="AA4"/>
  <c r="AB4"/>
  <c r="AC4"/>
  <c r="AD4"/>
  <c r="AE4"/>
  <c r="AF4"/>
  <c r="AH4"/>
  <c r="AI4"/>
  <c r="AJ4"/>
  <c r="AM4"/>
  <c r="AO4"/>
  <c r="AP4"/>
  <c r="AQ4"/>
  <c r="AR4"/>
  <c r="AS4"/>
  <c r="AT4"/>
  <c r="AU4"/>
  <c r="D5"/>
  <c r="E5"/>
  <c r="F5"/>
  <c r="I5"/>
  <c r="K5"/>
  <c r="L5"/>
  <c r="M5"/>
  <c r="N5"/>
  <c r="O5"/>
  <c r="P5"/>
  <c r="Q5"/>
  <c r="S5"/>
  <c r="T5"/>
  <c r="U5"/>
  <c r="X5"/>
  <c r="Z5"/>
  <c r="AA5"/>
  <c r="AB5"/>
  <c r="AC5"/>
  <c r="AD5"/>
  <c r="AE5"/>
  <c r="AF5"/>
  <c r="AH5"/>
  <c r="AI5"/>
  <c r="AJ5"/>
  <c r="AM5"/>
  <c r="AO5"/>
  <c r="AP5"/>
  <c r="AQ5"/>
  <c r="AR5"/>
  <c r="AS5"/>
  <c r="AT5"/>
  <c r="AU5"/>
  <c r="D6"/>
  <c r="E6"/>
  <c r="F6"/>
  <c r="I6"/>
  <c r="K6"/>
  <c r="L6"/>
  <c r="M6"/>
  <c r="N6"/>
  <c r="O6"/>
  <c r="P6"/>
  <c r="Q6"/>
  <c r="S6"/>
  <c r="T6"/>
  <c r="U6"/>
  <c r="X6"/>
  <c r="Z6"/>
  <c r="AA6"/>
  <c r="AB6"/>
  <c r="AC6"/>
  <c r="AD6"/>
  <c r="AE6"/>
  <c r="AF6"/>
  <c r="AH6"/>
  <c r="AI6"/>
  <c r="AJ6"/>
  <c r="AM6"/>
  <c r="AO6"/>
  <c r="AP6"/>
  <c r="AQ6"/>
  <c r="AR6"/>
  <c r="AS6"/>
  <c r="AT6"/>
  <c r="AU6"/>
  <c r="D7"/>
  <c r="E7"/>
  <c r="F7"/>
  <c r="I7"/>
  <c r="K7"/>
  <c r="L7"/>
  <c r="M7"/>
  <c r="N7"/>
  <c r="O7"/>
  <c r="P7"/>
  <c r="Q7"/>
  <c r="S7"/>
  <c r="T7"/>
  <c r="U7"/>
  <c r="X7"/>
  <c r="Z7"/>
  <c r="AA7"/>
  <c r="AB7"/>
  <c r="AC7"/>
  <c r="AD7"/>
  <c r="AE7"/>
  <c r="AF7"/>
  <c r="AH7"/>
  <c r="AI7"/>
  <c r="AJ7"/>
  <c r="AM7"/>
  <c r="AO7"/>
  <c r="AP7"/>
  <c r="AQ7"/>
  <c r="AR7"/>
  <c r="AS7"/>
  <c r="AT7"/>
  <c r="AU7"/>
  <c r="D8"/>
  <c r="E8"/>
  <c r="F8"/>
  <c r="I8"/>
  <c r="K8"/>
  <c r="L8"/>
  <c r="M8"/>
  <c r="N8"/>
  <c r="O8"/>
  <c r="P8"/>
  <c r="Q8"/>
  <c r="S8"/>
  <c r="T8"/>
  <c r="U8"/>
  <c r="X8"/>
  <c r="Z8"/>
  <c r="AA8"/>
  <c r="AB8"/>
  <c r="AC8"/>
  <c r="AD8"/>
  <c r="AE8"/>
  <c r="AF8"/>
  <c r="AH8"/>
  <c r="AI8"/>
  <c r="AJ8"/>
  <c r="AM8"/>
  <c r="AO8"/>
  <c r="AP8"/>
  <c r="AQ8"/>
  <c r="AR8"/>
  <c r="AS8"/>
  <c r="AT8"/>
  <c r="AU8"/>
  <c r="D9"/>
  <c r="E9"/>
  <c r="F9"/>
  <c r="I9"/>
  <c r="K9"/>
  <c r="L9"/>
  <c r="M9"/>
  <c r="N9"/>
  <c r="O9"/>
  <c r="P9"/>
  <c r="Q9"/>
  <c r="S9"/>
  <c r="T9"/>
  <c r="U9"/>
  <c r="X9"/>
  <c r="Z9"/>
  <c r="AA9"/>
  <c r="AB9"/>
  <c r="AC9"/>
  <c r="AD9"/>
  <c r="AE9"/>
  <c r="AF9"/>
  <c r="AH9"/>
  <c r="AI9"/>
  <c r="AJ9"/>
  <c r="AM9"/>
  <c r="AO9"/>
  <c r="AP9"/>
  <c r="AQ9"/>
  <c r="AR9"/>
  <c r="AS9"/>
  <c r="AT9"/>
  <c r="AU9"/>
  <c r="D10"/>
  <c r="E10"/>
  <c r="F10"/>
  <c r="I10"/>
  <c r="K10"/>
  <c r="L10"/>
  <c r="M10"/>
  <c r="N10"/>
  <c r="O10"/>
  <c r="P10"/>
  <c r="Q10"/>
  <c r="S10"/>
  <c r="T10"/>
  <c r="U10"/>
  <c r="X10"/>
  <c r="Z10"/>
  <c r="AA10"/>
  <c r="AB10"/>
  <c r="AC10"/>
  <c r="AD10"/>
  <c r="AE10"/>
  <c r="AF10"/>
  <c r="AH10"/>
  <c r="AI10"/>
  <c r="AJ10"/>
  <c r="AM10"/>
  <c r="AO10"/>
  <c r="AP10"/>
  <c r="AQ10"/>
  <c r="AR10"/>
  <c r="AS10"/>
  <c r="AT10"/>
  <c r="AU10"/>
  <c r="D11"/>
  <c r="E11"/>
  <c r="F11"/>
  <c r="I11"/>
  <c r="K11"/>
  <c r="L11"/>
  <c r="M11"/>
  <c r="N11"/>
  <c r="O11"/>
  <c r="P11"/>
  <c r="Q11"/>
  <c r="S11"/>
  <c r="T11"/>
  <c r="U11"/>
  <c r="X11"/>
  <c r="Z11"/>
  <c r="AA11"/>
  <c r="AB11"/>
  <c r="AC11"/>
  <c r="AD11"/>
  <c r="AE11"/>
  <c r="AF11"/>
  <c r="AH11"/>
  <c r="AI11"/>
  <c r="AJ11"/>
  <c r="AM11"/>
  <c r="AO11"/>
  <c r="AP11"/>
  <c r="AQ11"/>
  <c r="AR11"/>
  <c r="AS11"/>
  <c r="AT11"/>
  <c r="AU11"/>
  <c r="D12"/>
  <c r="E12"/>
  <c r="F12"/>
  <c r="I12"/>
  <c r="K12"/>
  <c r="L12"/>
  <c r="M12"/>
  <c r="N12"/>
  <c r="O12"/>
  <c r="P12"/>
  <c r="Q12"/>
  <c r="S12"/>
  <c r="T12"/>
  <c r="U12"/>
  <c r="X12"/>
  <c r="Z12"/>
  <c r="AA12"/>
  <c r="AB12"/>
  <c r="AC12"/>
  <c r="AD12"/>
  <c r="AE12"/>
  <c r="AF12"/>
  <c r="AH12"/>
  <c r="AI12"/>
  <c r="AJ12"/>
  <c r="AM12"/>
  <c r="AO12"/>
  <c r="AP12"/>
  <c r="AQ12"/>
  <c r="AR12"/>
  <c r="AS12"/>
  <c r="AT12"/>
  <c r="AU12"/>
  <c r="D13"/>
  <c r="E13"/>
  <c r="F13"/>
  <c r="I13"/>
  <c r="K13"/>
  <c r="L13"/>
  <c r="M13"/>
  <c r="N13"/>
  <c r="O13"/>
  <c r="P13"/>
  <c r="Q13"/>
  <c r="S13"/>
  <c r="T13"/>
  <c r="U13"/>
  <c r="X13"/>
  <c r="Z13"/>
  <c r="AA13"/>
  <c r="AB13"/>
  <c r="AC13"/>
  <c r="AD13"/>
  <c r="AE13"/>
  <c r="AF13"/>
  <c r="AH13"/>
  <c r="AI13"/>
  <c r="AJ13"/>
  <c r="AM13"/>
  <c r="AO13"/>
  <c r="AP13"/>
  <c r="AQ13"/>
  <c r="AR13"/>
  <c r="AS13"/>
  <c r="AT13"/>
  <c r="AU13"/>
  <c r="D14"/>
  <c r="E14"/>
  <c r="F14"/>
  <c r="I14"/>
  <c r="K14"/>
  <c r="L14"/>
  <c r="M14"/>
  <c r="N14"/>
  <c r="O14"/>
  <c r="P14"/>
  <c r="Q14"/>
  <c r="S14"/>
  <c r="T14"/>
  <c r="U14"/>
  <c r="X14"/>
  <c r="Z14"/>
  <c r="AA14"/>
  <c r="AB14"/>
  <c r="AC14"/>
  <c r="AD14"/>
  <c r="AE14"/>
  <c r="AF14"/>
  <c r="AH14"/>
  <c r="AI14"/>
  <c r="AJ14"/>
  <c r="AM14"/>
  <c r="AO14"/>
  <c r="AP14"/>
  <c r="AQ14"/>
  <c r="AR14"/>
  <c r="AS14"/>
  <c r="AT14"/>
  <c r="AU14"/>
  <c r="D15"/>
  <c r="E15"/>
  <c r="F15"/>
  <c r="I15"/>
  <c r="K15"/>
  <c r="L15"/>
  <c r="M15"/>
  <c r="N15"/>
  <c r="O15"/>
  <c r="P15"/>
  <c r="Q15"/>
  <c r="S15"/>
  <c r="T15"/>
  <c r="U15"/>
  <c r="X15"/>
  <c r="Z15"/>
  <c r="AA15"/>
  <c r="AB15"/>
  <c r="AC15"/>
  <c r="AD15"/>
  <c r="AE15"/>
  <c r="AF15"/>
  <c r="AH15"/>
  <c r="AI15"/>
  <c r="AJ15"/>
  <c r="AM15"/>
  <c r="AO15"/>
  <c r="AP15"/>
  <c r="AQ15"/>
  <c r="AR15"/>
  <c r="AS15"/>
  <c r="AT15"/>
  <c r="AU15"/>
  <c r="D16"/>
  <c r="E16"/>
  <c r="F16"/>
  <c r="I16"/>
  <c r="K16"/>
  <c r="L16"/>
  <c r="M16"/>
  <c r="N16"/>
  <c r="O16"/>
  <c r="P16"/>
  <c r="Q16"/>
  <c r="S16"/>
  <c r="T16"/>
  <c r="U16"/>
  <c r="X16"/>
  <c r="Z16"/>
  <c r="AA16"/>
  <c r="AB16"/>
  <c r="AC16"/>
  <c r="AD16"/>
  <c r="AE16"/>
  <c r="AF16"/>
  <c r="AH16"/>
  <c r="AI16"/>
  <c r="AJ16"/>
  <c r="AM16"/>
  <c r="AO16"/>
  <c r="AP16"/>
  <c r="AQ16"/>
  <c r="AR16"/>
  <c r="AS16"/>
  <c r="AT16"/>
  <c r="AU16"/>
  <c r="D17"/>
  <c r="E17"/>
  <c r="F17"/>
  <c r="I17"/>
  <c r="K17"/>
  <c r="L17"/>
  <c r="M17"/>
  <c r="N17"/>
  <c r="O17"/>
  <c r="P17"/>
  <c r="Q17"/>
  <c r="S17"/>
  <c r="T17"/>
  <c r="U17"/>
  <c r="X17"/>
  <c r="Z17"/>
  <c r="AA17"/>
  <c r="AB17"/>
  <c r="AC17"/>
  <c r="AD17"/>
  <c r="AE17"/>
  <c r="AF17"/>
  <c r="AH17"/>
  <c r="AI17"/>
  <c r="AJ17"/>
  <c r="AM17"/>
  <c r="AO17"/>
  <c r="AP17"/>
  <c r="AQ17"/>
  <c r="AR17"/>
  <c r="AS17"/>
  <c r="AT17"/>
  <c r="AU17"/>
  <c r="D18"/>
  <c r="E18"/>
  <c r="F18"/>
  <c r="I18"/>
  <c r="K18"/>
  <c r="L18"/>
  <c r="M18"/>
  <c r="N18"/>
  <c r="O18"/>
  <c r="P18"/>
  <c r="Q18"/>
  <c r="S18"/>
  <c r="T18"/>
  <c r="U18"/>
  <c r="X18"/>
  <c r="Z18"/>
  <c r="AA18"/>
  <c r="AB18"/>
  <c r="AC18"/>
  <c r="AD18"/>
  <c r="AE18"/>
  <c r="AF18"/>
  <c r="AH18"/>
  <c r="AI18"/>
  <c r="AJ18"/>
  <c r="AM18"/>
  <c r="AO18"/>
  <c r="AP18"/>
  <c r="AQ18"/>
  <c r="AR18"/>
  <c r="AS18"/>
  <c r="AT18"/>
  <c r="AU18"/>
  <c r="D19"/>
  <c r="E19"/>
  <c r="F19"/>
  <c r="I19"/>
  <c r="K19"/>
  <c r="L19"/>
  <c r="M19"/>
  <c r="N19"/>
  <c r="O19"/>
  <c r="P19"/>
  <c r="Q19"/>
  <c r="S19"/>
  <c r="T19"/>
  <c r="U19"/>
  <c r="X19"/>
  <c r="Z19"/>
  <c r="AA19"/>
  <c r="AB19"/>
  <c r="AC19"/>
  <c r="AD19"/>
  <c r="AE19"/>
  <c r="AF19"/>
  <c r="AH19"/>
  <c r="AI19"/>
  <c r="AJ19"/>
  <c r="AM19"/>
  <c r="AO19"/>
  <c r="AP19"/>
  <c r="AQ19"/>
  <c r="AR19"/>
  <c r="AS19"/>
  <c r="AT19"/>
  <c r="AU19"/>
  <c r="D20"/>
  <c r="E20"/>
  <c r="F20"/>
  <c r="I20"/>
  <c r="K20"/>
  <c r="L20"/>
  <c r="M20"/>
  <c r="N20"/>
  <c r="O20"/>
  <c r="P20"/>
  <c r="Q20"/>
  <c r="S20"/>
  <c r="T20"/>
  <c r="U20"/>
  <c r="X20"/>
  <c r="Z20"/>
  <c r="AA20"/>
  <c r="AB20"/>
  <c r="AC20"/>
  <c r="AD20"/>
  <c r="AE20"/>
  <c r="AF20"/>
  <c r="AH20"/>
  <c r="AI20"/>
  <c r="AJ20"/>
  <c r="AM20"/>
  <c r="AO20"/>
  <c r="AP20"/>
  <c r="AQ20"/>
  <c r="AR20"/>
  <c r="AS20"/>
  <c r="AT20"/>
  <c r="AU20"/>
  <c r="D21"/>
  <c r="E21"/>
  <c r="F21"/>
  <c r="I21"/>
  <c r="K21"/>
  <c r="L21"/>
  <c r="M21"/>
  <c r="N21"/>
  <c r="O21"/>
  <c r="P21"/>
  <c r="Q21"/>
  <c r="S21"/>
  <c r="T21"/>
  <c r="U21"/>
  <c r="X21"/>
  <c r="Z21"/>
  <c r="AA21"/>
  <c r="AB21"/>
  <c r="AC21"/>
  <c r="AD21"/>
  <c r="AE21"/>
  <c r="AF21"/>
  <c r="AH21"/>
  <c r="AI21"/>
  <c r="AJ21"/>
  <c r="AM21"/>
  <c r="AO21"/>
  <c r="AP21"/>
  <c r="AQ21"/>
  <c r="AR21"/>
  <c r="AS21"/>
  <c r="AT21"/>
  <c r="AU21"/>
  <c r="D22"/>
  <c r="E22"/>
  <c r="F22"/>
  <c r="I22"/>
  <c r="K22"/>
  <c r="L22"/>
  <c r="M22"/>
  <c r="N22"/>
  <c r="O22"/>
  <c r="P22"/>
  <c r="Q22"/>
  <c r="S22"/>
  <c r="T22"/>
  <c r="U22"/>
  <c r="X22"/>
  <c r="Z22"/>
  <c r="AA22"/>
  <c r="AB22"/>
  <c r="AC22"/>
  <c r="AD22"/>
  <c r="AE22"/>
  <c r="AF22"/>
  <c r="AH22"/>
  <c r="AI22"/>
  <c r="AJ22"/>
  <c r="AM22"/>
  <c r="AO22"/>
  <c r="AP22"/>
  <c r="AQ22"/>
  <c r="AR22"/>
  <c r="AS22"/>
  <c r="AT22"/>
  <c r="AU22"/>
  <c r="D23"/>
  <c r="E23"/>
  <c r="F23"/>
  <c r="I23"/>
  <c r="K23"/>
  <c r="L23"/>
  <c r="M23"/>
  <c r="N23"/>
  <c r="O23"/>
  <c r="P23"/>
  <c r="Q23"/>
  <c r="S23"/>
  <c r="T23"/>
  <c r="U23"/>
  <c r="X23"/>
  <c r="Z23"/>
  <c r="AA23"/>
  <c r="AB23"/>
  <c r="AC23"/>
  <c r="AD23"/>
  <c r="AE23"/>
  <c r="AF23"/>
  <c r="AH23"/>
  <c r="AI23"/>
  <c r="AJ23"/>
  <c r="AM23"/>
  <c r="AO23"/>
  <c r="AP23"/>
  <c r="AQ23"/>
  <c r="AR23"/>
  <c r="AS23"/>
  <c r="AT23"/>
  <c r="AU23"/>
  <c r="D24"/>
  <c r="E24"/>
  <c r="F24"/>
  <c r="I24"/>
  <c r="K24"/>
  <c r="L24"/>
  <c r="M24"/>
  <c r="N24"/>
  <c r="O24"/>
  <c r="P24"/>
  <c r="Q24"/>
  <c r="S24"/>
  <c r="T24"/>
  <c r="U24"/>
  <c r="X24"/>
  <c r="Z24"/>
  <c r="AA24"/>
  <c r="AB24"/>
  <c r="AC24"/>
  <c r="AD24"/>
  <c r="AE24"/>
  <c r="AF24"/>
  <c r="AH24"/>
  <c r="AI24"/>
  <c r="AJ24"/>
  <c r="AM24"/>
  <c r="AO24"/>
  <c r="AP24"/>
  <c r="AQ24"/>
  <c r="AR24"/>
  <c r="AS24"/>
  <c r="AT24"/>
  <c r="AU24"/>
  <c r="D25"/>
  <c r="E25"/>
  <c r="F25"/>
  <c r="I25"/>
  <c r="K25"/>
  <c r="L25"/>
  <c r="M25"/>
  <c r="N25"/>
  <c r="O25"/>
  <c r="P25"/>
  <c r="Q25"/>
  <c r="S25"/>
  <c r="T25"/>
  <c r="U25"/>
  <c r="X25"/>
  <c r="Z25"/>
  <c r="AA25"/>
  <c r="AB25"/>
  <c r="AC25"/>
  <c r="AD25"/>
  <c r="AE25"/>
  <c r="AF25"/>
  <c r="AH25"/>
  <c r="AI25"/>
  <c r="AJ25"/>
  <c r="AM25"/>
  <c r="AO25"/>
  <c r="AP25"/>
  <c r="AQ25"/>
  <c r="AR25"/>
  <c r="AS25"/>
  <c r="AT25"/>
  <c r="AU25"/>
  <c r="D26"/>
  <c r="E26"/>
  <c r="F26"/>
  <c r="I26"/>
  <c r="K26"/>
  <c r="L26"/>
  <c r="M26"/>
  <c r="N26"/>
  <c r="O26"/>
  <c r="P26"/>
  <c r="Q26"/>
  <c r="S26"/>
  <c r="T26"/>
  <c r="U26"/>
  <c r="X26"/>
  <c r="Z26"/>
  <c r="AA26"/>
  <c r="AB26"/>
  <c r="AC26"/>
  <c r="AD26"/>
  <c r="AE26"/>
  <c r="AF26"/>
  <c r="AH26"/>
  <c r="AI26"/>
  <c r="AJ26"/>
  <c r="AM26"/>
  <c r="AO26"/>
  <c r="AP26"/>
  <c r="AQ26"/>
  <c r="AR26"/>
  <c r="AS26"/>
  <c r="AT26"/>
  <c r="AU26"/>
  <c r="D27"/>
  <c r="E27"/>
  <c r="F27"/>
  <c r="I27"/>
  <c r="K27"/>
  <c r="L27"/>
  <c r="M27"/>
  <c r="N27"/>
  <c r="O27"/>
  <c r="P27"/>
  <c r="Q27"/>
  <c r="S27"/>
  <c r="T27"/>
  <c r="U27"/>
  <c r="X27"/>
  <c r="Z27"/>
  <c r="AA27"/>
  <c r="AB27"/>
  <c r="AC27"/>
  <c r="AD27"/>
  <c r="AE27"/>
  <c r="AF27"/>
  <c r="AH27"/>
  <c r="AI27"/>
  <c r="AJ27"/>
  <c r="AM27"/>
  <c r="AO27"/>
  <c r="AP27"/>
  <c r="AQ27"/>
  <c r="AR27"/>
  <c r="AS27"/>
  <c r="AT27"/>
  <c r="AU27"/>
  <c r="D28"/>
  <c r="E28"/>
  <c r="F28"/>
  <c r="I28"/>
  <c r="K28"/>
  <c r="L28"/>
  <c r="M28"/>
  <c r="N28"/>
  <c r="O28"/>
  <c r="P28"/>
  <c r="Q28"/>
  <c r="S28"/>
  <c r="T28"/>
  <c r="U28"/>
  <c r="X28"/>
  <c r="Z28"/>
  <c r="AA28"/>
  <c r="AB28"/>
  <c r="AC28"/>
  <c r="AD28"/>
  <c r="AE28"/>
  <c r="AF28"/>
  <c r="AH28"/>
  <c r="AI28"/>
  <c r="AJ28"/>
  <c r="AM28"/>
  <c r="AO28"/>
  <c r="AP28"/>
  <c r="AQ28"/>
  <c r="AR28"/>
  <c r="AS28"/>
  <c r="AT28"/>
  <c r="AU28"/>
  <c r="D29"/>
  <c r="E29"/>
  <c r="F29"/>
  <c r="I29"/>
  <c r="K29"/>
  <c r="L29"/>
  <c r="M29"/>
  <c r="N29"/>
  <c r="O29"/>
  <c r="P29"/>
  <c r="Q29"/>
  <c r="S29"/>
  <c r="T29"/>
  <c r="U29"/>
  <c r="X29"/>
  <c r="Z29"/>
  <c r="AA29"/>
  <c r="AB29"/>
  <c r="AC29"/>
  <c r="AD29"/>
  <c r="AE29"/>
  <c r="AF29"/>
  <c r="AH29"/>
  <c r="AI29"/>
  <c r="AJ29"/>
  <c r="AM29"/>
  <c r="AO29"/>
  <c r="AP29"/>
  <c r="AQ29"/>
  <c r="AR29"/>
  <c r="AS29"/>
  <c r="AT29"/>
  <c r="AU29"/>
  <c r="D30"/>
  <c r="E30"/>
  <c r="F30"/>
  <c r="I30"/>
  <c r="K30"/>
  <c r="L30"/>
  <c r="M30"/>
  <c r="N30"/>
  <c r="O30"/>
  <c r="P30"/>
  <c r="Q30"/>
  <c r="S30"/>
  <c r="T30"/>
  <c r="U30"/>
  <c r="X30"/>
  <c r="Z30"/>
  <c r="AA30"/>
  <c r="AB30"/>
  <c r="AC30"/>
  <c r="AD30"/>
  <c r="AE30"/>
  <c r="AF30"/>
  <c r="AH30"/>
  <c r="AI30"/>
  <c r="AJ30"/>
  <c r="AM30"/>
  <c r="AO30"/>
  <c r="AP30"/>
  <c r="AQ30"/>
  <c r="AR30"/>
  <c r="AS30"/>
  <c r="AT30"/>
  <c r="AU30"/>
  <c r="D31"/>
  <c r="E31"/>
  <c r="F31"/>
  <c r="I31"/>
  <c r="K31"/>
  <c r="L31"/>
  <c r="M31"/>
  <c r="N31"/>
  <c r="O31"/>
  <c r="P31"/>
  <c r="Q31"/>
  <c r="S31"/>
  <c r="T31"/>
  <c r="U31"/>
  <c r="X31"/>
  <c r="Z31"/>
  <c r="AA31"/>
  <c r="AB31"/>
  <c r="AC31"/>
  <c r="AD31"/>
  <c r="AE31"/>
  <c r="AF31"/>
  <c r="AH31"/>
  <c r="AI31"/>
  <c r="AJ31"/>
  <c r="AM31"/>
  <c r="AO31"/>
  <c r="AP31"/>
  <c r="AQ31"/>
  <c r="AR31"/>
  <c r="AS31"/>
  <c r="AT31"/>
  <c r="AU31"/>
  <c r="D32"/>
  <c r="E32"/>
  <c r="F32"/>
  <c r="I32"/>
  <c r="K32"/>
  <c r="L32"/>
  <c r="M32"/>
  <c r="N32"/>
  <c r="O32"/>
  <c r="P32"/>
  <c r="Q32"/>
  <c r="S32"/>
  <c r="T32"/>
  <c r="U32"/>
  <c r="X32"/>
  <c r="Z32"/>
  <c r="AA32"/>
  <c r="AB32"/>
  <c r="AC32"/>
  <c r="AD32"/>
  <c r="AE32"/>
  <c r="AF32"/>
  <c r="AH32"/>
  <c r="AI32"/>
  <c r="AJ32"/>
  <c r="AM32"/>
  <c r="AO32"/>
  <c r="AP32"/>
  <c r="AQ32"/>
  <c r="AR32"/>
  <c r="AS32"/>
  <c r="AT32"/>
  <c r="AU32"/>
  <c r="D33"/>
  <c r="E33"/>
  <c r="F33"/>
  <c r="I33"/>
  <c r="K33"/>
  <c r="L33"/>
  <c r="M33"/>
  <c r="N33"/>
  <c r="O33"/>
  <c r="P33"/>
  <c r="Q33"/>
  <c r="S33"/>
  <c r="T33"/>
  <c r="U33"/>
  <c r="X33"/>
  <c r="Z33"/>
  <c r="AA33"/>
  <c r="AB33"/>
  <c r="AC33"/>
  <c r="AD33"/>
  <c r="AE33"/>
  <c r="AF33"/>
  <c r="AH33"/>
  <c r="AI33"/>
  <c r="AJ33"/>
  <c r="AM33"/>
  <c r="AO33"/>
  <c r="AP33"/>
  <c r="AQ33"/>
  <c r="AR33"/>
  <c r="AS33"/>
  <c r="AT33"/>
  <c r="AU33"/>
  <c r="D34"/>
  <c r="E34"/>
  <c r="F34"/>
  <c r="I34"/>
  <c r="K34"/>
  <c r="L34"/>
  <c r="M34"/>
  <c r="N34"/>
  <c r="O34"/>
  <c r="P34"/>
  <c r="Q34"/>
  <c r="S34"/>
  <c r="T34"/>
  <c r="U34"/>
  <c r="X34"/>
  <c r="Z34"/>
  <c r="AA34"/>
  <c r="AB34"/>
  <c r="AC34"/>
  <c r="AD34"/>
  <c r="AE34"/>
  <c r="AF34"/>
  <c r="AH34"/>
  <c r="AI34"/>
  <c r="AJ34"/>
  <c r="AM34"/>
  <c r="AO34"/>
  <c r="AP34"/>
  <c r="AQ34"/>
  <c r="AR34"/>
  <c r="AS34"/>
  <c r="AT34"/>
  <c r="AU34"/>
  <c r="D35"/>
  <c r="E35"/>
  <c r="F35"/>
  <c r="I35"/>
  <c r="K35"/>
  <c r="L35"/>
  <c r="M35"/>
  <c r="N35"/>
  <c r="O35"/>
  <c r="P35"/>
  <c r="Q35"/>
  <c r="S35"/>
  <c r="T35"/>
  <c r="U35"/>
  <c r="X35"/>
  <c r="Z35"/>
  <c r="AA35"/>
  <c r="AB35"/>
  <c r="AC35"/>
  <c r="AD35"/>
  <c r="AE35"/>
  <c r="AF35"/>
  <c r="AH35"/>
  <c r="AI35"/>
  <c r="AJ35"/>
  <c r="AM35"/>
  <c r="AO35"/>
  <c r="AP35"/>
  <c r="AQ35"/>
  <c r="AR35"/>
  <c r="AS35"/>
  <c r="AT35"/>
  <c r="AU35"/>
  <c r="D36"/>
  <c r="E36"/>
  <c r="F36"/>
  <c r="I36"/>
  <c r="K36"/>
  <c r="L36"/>
  <c r="M36"/>
  <c r="N36"/>
  <c r="O36"/>
  <c r="P36"/>
  <c r="Q36"/>
  <c r="S36"/>
  <c r="T36"/>
  <c r="U36"/>
  <c r="X36"/>
  <c r="Z36"/>
  <c r="AA36"/>
  <c r="AB36"/>
  <c r="AC36"/>
  <c r="AD36"/>
  <c r="AE36"/>
  <c r="AF36"/>
  <c r="AH36"/>
  <c r="AI36"/>
  <c r="AJ36"/>
  <c r="AM36"/>
  <c r="AO36"/>
  <c r="AP36"/>
  <c r="AQ36"/>
  <c r="AR36"/>
  <c r="AS36"/>
  <c r="AT36"/>
  <c r="AU36"/>
  <c r="D37"/>
  <c r="E37"/>
  <c r="F37"/>
  <c r="I37"/>
  <c r="K37"/>
  <c r="L37"/>
  <c r="M37"/>
  <c r="N37"/>
  <c r="O37"/>
  <c r="P37"/>
  <c r="Q37"/>
  <c r="S37"/>
  <c r="T37"/>
  <c r="U37"/>
  <c r="X37"/>
  <c r="Z37"/>
  <c r="AA37"/>
  <c r="AB37"/>
  <c r="AC37"/>
  <c r="AD37"/>
  <c r="AE37"/>
  <c r="AF37"/>
  <c r="AH37"/>
  <c r="AI37"/>
  <c r="AJ37"/>
  <c r="AM37"/>
  <c r="AO37"/>
  <c r="AP37"/>
  <c r="AQ37"/>
  <c r="AR37"/>
  <c r="AS37"/>
  <c r="AT37"/>
  <c r="AU37"/>
  <c r="D38"/>
  <c r="E38"/>
  <c r="F38"/>
  <c r="I38"/>
  <c r="K38"/>
  <c r="L38"/>
  <c r="M38"/>
  <c r="N38"/>
  <c r="O38"/>
  <c r="P38"/>
  <c r="Q38"/>
  <c r="S38"/>
  <c r="T38"/>
  <c r="U38"/>
  <c r="X38"/>
  <c r="Z38"/>
  <c r="AA38"/>
  <c r="AB38"/>
  <c r="AC38"/>
  <c r="AD38"/>
  <c r="AE38"/>
  <c r="AF38"/>
  <c r="AH38"/>
  <c r="AI38"/>
  <c r="AJ38"/>
  <c r="AM38"/>
  <c r="AO38"/>
  <c r="AP38"/>
  <c r="AQ38"/>
  <c r="AR38"/>
  <c r="AS38"/>
  <c r="AT38"/>
  <c r="AU38"/>
  <c r="D39"/>
  <c r="E39"/>
  <c r="F39"/>
  <c r="I39"/>
  <c r="K39"/>
  <c r="L39"/>
  <c r="M39"/>
  <c r="N39"/>
  <c r="O39"/>
  <c r="P39"/>
  <c r="Q39"/>
  <c r="S39"/>
  <c r="T39"/>
  <c r="U39"/>
  <c r="X39"/>
  <c r="Z39"/>
  <c r="AA39"/>
  <c r="AB39"/>
  <c r="AC39"/>
  <c r="AD39"/>
  <c r="AE39"/>
  <c r="AF39"/>
  <c r="AH39"/>
  <c r="AI39"/>
  <c r="AJ39"/>
  <c r="AM39"/>
  <c r="AO39"/>
  <c r="AP39"/>
  <c r="AQ39"/>
  <c r="AR39"/>
  <c r="AS39"/>
  <c r="AT39"/>
  <c r="AU39"/>
  <c r="D40"/>
  <c r="E40"/>
  <c r="F40"/>
  <c r="I40"/>
  <c r="K40"/>
  <c r="L40"/>
  <c r="M40"/>
  <c r="N40"/>
  <c r="O40"/>
  <c r="P40"/>
  <c r="Q40"/>
  <c r="S40"/>
  <c r="T40"/>
  <c r="U40"/>
  <c r="X40"/>
  <c r="Z40"/>
  <c r="AA40"/>
  <c r="AB40"/>
  <c r="AC40"/>
  <c r="AD40"/>
  <c r="AE40"/>
  <c r="AF40"/>
  <c r="AH40"/>
  <c r="AI40"/>
  <c r="AJ40"/>
  <c r="AM40"/>
  <c r="AO40"/>
  <c r="AP40"/>
  <c r="AQ40"/>
  <c r="AR40"/>
  <c r="AS40"/>
  <c r="AT40"/>
  <c r="AU40"/>
  <c r="D41"/>
  <c r="E41"/>
  <c r="F41"/>
  <c r="I41"/>
  <c r="K41"/>
  <c r="L41"/>
  <c r="M41"/>
  <c r="N41"/>
  <c r="O41"/>
  <c r="P41"/>
  <c r="Q41"/>
  <c r="S41"/>
  <c r="T41"/>
  <c r="U41"/>
  <c r="X41"/>
  <c r="Z41"/>
  <c r="AA41"/>
  <c r="AB41"/>
  <c r="AC41"/>
  <c r="AD41"/>
  <c r="AE41"/>
  <c r="AF41"/>
  <c r="AH41"/>
  <c r="AI41"/>
  <c r="AJ41"/>
  <c r="AM41"/>
  <c r="AO41"/>
  <c r="AP41"/>
  <c r="AQ41"/>
  <c r="AR41"/>
  <c r="AS41"/>
  <c r="AT41"/>
  <c r="AU41"/>
  <c r="D42"/>
  <c r="E42"/>
  <c r="F42"/>
  <c r="I42"/>
  <c r="K42"/>
  <c r="L42"/>
  <c r="M42"/>
  <c r="N42"/>
  <c r="O42"/>
  <c r="P42"/>
  <c r="Q42"/>
  <c r="S42"/>
  <c r="T42"/>
  <c r="U42"/>
  <c r="X42"/>
  <c r="Z42"/>
  <c r="AA42"/>
  <c r="AB42"/>
  <c r="AC42"/>
  <c r="AD42"/>
  <c r="AE42"/>
  <c r="AF42"/>
  <c r="AH42"/>
  <c r="AI42"/>
  <c r="AJ42"/>
  <c r="AM42"/>
  <c r="AO42"/>
  <c r="AP42"/>
  <c r="AQ42"/>
  <c r="AR42"/>
  <c r="AS42"/>
  <c r="AT42"/>
  <c r="AU42"/>
  <c r="D43"/>
  <c r="E43"/>
  <c r="F43"/>
  <c r="I43"/>
  <c r="K43"/>
  <c r="L43"/>
  <c r="M43"/>
  <c r="N43"/>
  <c r="O43"/>
  <c r="P43"/>
  <c r="Q43"/>
  <c r="S43"/>
  <c r="T43"/>
  <c r="U43"/>
  <c r="X43"/>
  <c r="Z43"/>
  <c r="AA43"/>
  <c r="AB43"/>
  <c r="AC43"/>
  <c r="AD43"/>
  <c r="AE43"/>
  <c r="AF43"/>
  <c r="AH43"/>
  <c r="AI43"/>
  <c r="AJ43"/>
  <c r="AM43"/>
  <c r="AO43"/>
  <c r="AP43"/>
  <c r="AQ43"/>
  <c r="AR43"/>
  <c r="AS43"/>
  <c r="AT43"/>
  <c r="AU43"/>
  <c r="D44"/>
  <c r="E44"/>
  <c r="F44"/>
  <c r="I44"/>
  <c r="K44"/>
  <c r="L44"/>
  <c r="M44"/>
  <c r="N44"/>
  <c r="O44"/>
  <c r="P44"/>
  <c r="Q44"/>
  <c r="S44"/>
  <c r="T44"/>
  <c r="U44"/>
  <c r="X44"/>
  <c r="Z44"/>
  <c r="AA44"/>
  <c r="AB44"/>
  <c r="AC44"/>
  <c r="AD44"/>
  <c r="AE44"/>
  <c r="AF44"/>
  <c r="AH44"/>
  <c r="AI44"/>
  <c r="AJ44"/>
  <c r="AM44"/>
  <c r="AO44"/>
  <c r="AP44"/>
  <c r="AQ44"/>
  <c r="AR44"/>
  <c r="AS44"/>
  <c r="AT44"/>
  <c r="AU44"/>
  <c r="D47"/>
  <c r="E47"/>
  <c r="F47"/>
  <c r="I47"/>
  <c r="K47"/>
  <c r="L47"/>
  <c r="M47"/>
  <c r="N47"/>
  <c r="O47"/>
  <c r="P47"/>
  <c r="Q47"/>
  <c r="S47"/>
  <c r="T47"/>
  <c r="U47"/>
  <c r="X47"/>
  <c r="Z47"/>
  <c r="AA47"/>
  <c r="AB47"/>
  <c r="AC47"/>
  <c r="AD47"/>
  <c r="AE47"/>
  <c r="AF47"/>
  <c r="AH47"/>
  <c r="AI47"/>
  <c r="AJ47"/>
  <c r="AM47"/>
  <c r="AO47"/>
  <c r="AP47"/>
  <c r="AQ47"/>
  <c r="AR47"/>
  <c r="AS47"/>
  <c r="AT47"/>
  <c r="AU47"/>
  <c r="D48"/>
  <c r="E48"/>
  <c r="F48"/>
  <c r="I48"/>
  <c r="K48"/>
  <c r="L48"/>
  <c r="M48"/>
  <c r="N48"/>
  <c r="O48"/>
  <c r="P48"/>
  <c r="Q48"/>
  <c r="S48"/>
  <c r="T48"/>
  <c r="U48"/>
  <c r="X48"/>
  <c r="Z48"/>
  <c r="AA48"/>
  <c r="AB48"/>
  <c r="AC48"/>
  <c r="AD48"/>
  <c r="AE48"/>
  <c r="AF48"/>
  <c r="AH48"/>
  <c r="AI48"/>
  <c r="AJ48"/>
  <c r="AM48"/>
  <c r="AO48"/>
  <c r="AP48"/>
  <c r="AQ48"/>
  <c r="AR48"/>
  <c r="AS48"/>
  <c r="AT48"/>
  <c r="AU48"/>
  <c r="D49"/>
  <c r="E49"/>
  <c r="F49"/>
  <c r="I49"/>
  <c r="K49"/>
  <c r="L49"/>
  <c r="M49"/>
  <c r="N49"/>
  <c r="O49"/>
  <c r="P49"/>
  <c r="Q49"/>
  <c r="S49"/>
  <c r="T49"/>
  <c r="U49"/>
  <c r="X49"/>
  <c r="Z49"/>
  <c r="AA49"/>
  <c r="AB49"/>
  <c r="AC49"/>
  <c r="AD49"/>
  <c r="AE49"/>
  <c r="AF49"/>
  <c r="AH49"/>
  <c r="AI49"/>
  <c r="AJ49"/>
  <c r="AM49"/>
  <c r="AO49"/>
  <c r="AP49"/>
  <c r="AQ49"/>
  <c r="AR49"/>
  <c r="AS49"/>
  <c r="AT49"/>
  <c r="AU49"/>
  <c r="D50"/>
  <c r="E50"/>
  <c r="F50"/>
  <c r="I50"/>
  <c r="K50"/>
  <c r="L50"/>
  <c r="M50"/>
  <c r="N50"/>
  <c r="O50"/>
  <c r="P50"/>
  <c r="Q50"/>
  <c r="S50"/>
  <c r="T50"/>
  <c r="U50"/>
  <c r="X50"/>
  <c r="Z50"/>
  <c r="AA50"/>
  <c r="AB50"/>
  <c r="AC50"/>
  <c r="AD50"/>
  <c r="AE50"/>
  <c r="AF50"/>
  <c r="AH50"/>
  <c r="AI50"/>
  <c r="AJ50"/>
  <c r="AM50"/>
  <c r="AO50"/>
  <c r="AP50"/>
  <c r="AQ50"/>
  <c r="AR50"/>
  <c r="AS50"/>
  <c r="AT50"/>
  <c r="AU50"/>
  <c r="D51"/>
  <c r="E51"/>
  <c r="F51"/>
  <c r="I51"/>
  <c r="K51"/>
  <c r="L51"/>
  <c r="M51"/>
  <c r="N51"/>
  <c r="O51"/>
  <c r="P51"/>
  <c r="Q51"/>
  <c r="S51"/>
  <c r="T51"/>
  <c r="U51"/>
  <c r="X51"/>
  <c r="Z51"/>
  <c r="AA51"/>
  <c r="AB51"/>
  <c r="AC51"/>
  <c r="AD51"/>
  <c r="AE51"/>
  <c r="AF51"/>
  <c r="AH51"/>
  <c r="AI51"/>
  <c r="AJ51"/>
  <c r="AM51"/>
  <c r="AO51"/>
  <c r="AP51"/>
  <c r="AQ51"/>
  <c r="AR51"/>
  <c r="AS51"/>
  <c r="AT51"/>
  <c r="AU51"/>
  <c r="D52"/>
  <c r="E52"/>
  <c r="F52"/>
  <c r="I52"/>
  <c r="K52"/>
  <c r="L52"/>
  <c r="M52"/>
  <c r="N52"/>
  <c r="O52"/>
  <c r="P52"/>
  <c r="Q52"/>
  <c r="S52"/>
  <c r="T52"/>
  <c r="U52"/>
  <c r="X52"/>
  <c r="Z52"/>
  <c r="AA52"/>
  <c r="AB52"/>
  <c r="AC52"/>
  <c r="AD52"/>
  <c r="AE52"/>
  <c r="AF52"/>
  <c r="AH52"/>
  <c r="AI52"/>
  <c r="AJ52"/>
  <c r="AM52"/>
  <c r="AO52"/>
  <c r="AP52"/>
  <c r="AQ52"/>
  <c r="AR52"/>
  <c r="AS52"/>
  <c r="AT52"/>
  <c r="AU52"/>
  <c r="D53"/>
  <c r="E53"/>
  <c r="F53"/>
  <c r="I53"/>
  <c r="K53"/>
  <c r="L53"/>
  <c r="M53"/>
  <c r="N53"/>
  <c r="O53"/>
  <c r="P53"/>
  <c r="Q53"/>
  <c r="S53"/>
  <c r="T53"/>
  <c r="U53"/>
  <c r="X53"/>
  <c r="Z53"/>
  <c r="AA53"/>
  <c r="AB53"/>
  <c r="AC53"/>
  <c r="AD53"/>
  <c r="AE53"/>
  <c r="AF53"/>
  <c r="AH53"/>
  <c r="AI53"/>
  <c r="AJ53"/>
  <c r="AM53"/>
  <c r="AO53"/>
  <c r="AP53"/>
  <c r="AQ53"/>
  <c r="AR53"/>
  <c r="AS53"/>
  <c r="AT53"/>
  <c r="AU53"/>
  <c r="D54"/>
  <c r="E54"/>
  <c r="F54"/>
  <c r="I54"/>
  <c r="K54"/>
  <c r="L54"/>
  <c r="M54"/>
  <c r="N54"/>
  <c r="O54"/>
  <c r="P54"/>
  <c r="Q54"/>
  <c r="S54"/>
  <c r="T54"/>
  <c r="U54"/>
  <c r="X54"/>
  <c r="Z54"/>
  <c r="AA54"/>
  <c r="AB54"/>
  <c r="AC54"/>
  <c r="AD54"/>
  <c r="AE54"/>
  <c r="AF54"/>
  <c r="AH54"/>
  <c r="AI54"/>
  <c r="AJ54"/>
  <c r="AM54"/>
  <c r="AO54"/>
  <c r="AP54"/>
  <c r="AQ54"/>
  <c r="AR54"/>
  <c r="AS54"/>
  <c r="AT54"/>
  <c r="AU54"/>
  <c r="D55"/>
  <c r="E55"/>
  <c r="F55"/>
  <c r="I55"/>
  <c r="K55"/>
  <c r="L55"/>
  <c r="M55"/>
  <c r="N55"/>
  <c r="O55"/>
  <c r="P55"/>
  <c r="Q55"/>
  <c r="S55"/>
  <c r="T55"/>
  <c r="U55"/>
  <c r="X55"/>
  <c r="Z55"/>
  <c r="AA55"/>
  <c r="AB55"/>
  <c r="AC55"/>
  <c r="AD55"/>
  <c r="AE55"/>
  <c r="AF55"/>
  <c r="AH55"/>
  <c r="AI55"/>
  <c r="AJ55"/>
  <c r="AM55"/>
  <c r="AO55"/>
  <c r="AP55"/>
  <c r="AQ55"/>
  <c r="AR55"/>
  <c r="AS55"/>
  <c r="AT55"/>
  <c r="AU55"/>
  <c r="D56"/>
  <c r="E56"/>
  <c r="F56"/>
  <c r="I56"/>
  <c r="K56"/>
  <c r="L56"/>
  <c r="M56"/>
  <c r="N56"/>
  <c r="O56"/>
  <c r="P56"/>
  <c r="Q56"/>
  <c r="S56"/>
  <c r="T56"/>
  <c r="U56"/>
  <c r="X56"/>
  <c r="Z56"/>
  <c r="AA56"/>
  <c r="AB56"/>
  <c r="AC56"/>
  <c r="AD56"/>
  <c r="AE56"/>
  <c r="AF56"/>
  <c r="AH56"/>
  <c r="AI56"/>
  <c r="AJ56"/>
  <c r="AM56"/>
  <c r="AO56"/>
  <c r="AP56"/>
  <c r="AQ56"/>
  <c r="AR56"/>
  <c r="AS56"/>
  <c r="AT56"/>
  <c r="AU56"/>
  <c r="D57"/>
  <c r="E57"/>
  <c r="F57"/>
  <c r="I57"/>
  <c r="K57"/>
  <c r="L57"/>
  <c r="M57"/>
  <c r="N57"/>
  <c r="O57"/>
  <c r="P57"/>
  <c r="Q57"/>
  <c r="S57"/>
  <c r="T57"/>
  <c r="U57"/>
  <c r="X57"/>
  <c r="Z57"/>
  <c r="AA57"/>
  <c r="AB57"/>
  <c r="AC57"/>
  <c r="AD57"/>
  <c r="AE57"/>
  <c r="AF57"/>
  <c r="AH57"/>
  <c r="AI57"/>
  <c r="AJ57"/>
  <c r="AM57"/>
  <c r="AO57"/>
  <c r="AP57"/>
  <c r="AQ57"/>
  <c r="AR57"/>
  <c r="AS57"/>
  <c r="AT57"/>
  <c r="AU57"/>
  <c r="D58"/>
  <c r="E58"/>
  <c r="F58"/>
  <c r="I58"/>
  <c r="K58"/>
  <c r="L58"/>
  <c r="M58"/>
  <c r="N58"/>
  <c r="O58"/>
  <c r="P58"/>
  <c r="Q58"/>
  <c r="S58"/>
  <c r="T58"/>
  <c r="U58"/>
  <c r="X58"/>
  <c r="Z58"/>
  <c r="AA58"/>
  <c r="AB58"/>
  <c r="AC58"/>
  <c r="AD58"/>
  <c r="AE58"/>
  <c r="AF58"/>
  <c r="AH58"/>
  <c r="AI58"/>
  <c r="AJ58"/>
  <c r="AM58"/>
  <c r="AO58"/>
  <c r="AP58"/>
  <c r="AQ58"/>
  <c r="AR58"/>
  <c r="AS58"/>
  <c r="AT58"/>
  <c r="AU58"/>
  <c r="D59"/>
  <c r="E59"/>
  <c r="F59"/>
  <c r="I59"/>
  <c r="K59"/>
  <c r="L59"/>
  <c r="M59"/>
  <c r="N59"/>
  <c r="O59"/>
  <c r="P59"/>
  <c r="Q59"/>
  <c r="S59"/>
  <c r="T59"/>
  <c r="U59"/>
  <c r="X59"/>
  <c r="Z59"/>
  <c r="AA59"/>
  <c r="AB59"/>
  <c r="AC59"/>
  <c r="AD59"/>
  <c r="AE59"/>
  <c r="AF59"/>
  <c r="AH59"/>
  <c r="AI59"/>
  <c r="AJ59"/>
  <c r="AM59"/>
  <c r="AO59"/>
  <c r="AP59"/>
  <c r="AQ59"/>
  <c r="AR59"/>
  <c r="AS59"/>
  <c r="AT59"/>
  <c r="AU59"/>
  <c r="D60"/>
  <c r="E60"/>
  <c r="F60"/>
  <c r="I60"/>
  <c r="K60"/>
  <c r="L60"/>
  <c r="M60"/>
  <c r="N60"/>
  <c r="O60"/>
  <c r="P60"/>
  <c r="Q60"/>
  <c r="S60"/>
  <c r="T60"/>
  <c r="U60"/>
  <c r="X60"/>
  <c r="Z60"/>
  <c r="AA60"/>
  <c r="AB60"/>
  <c r="AC60"/>
  <c r="AD60"/>
  <c r="AE60"/>
  <c r="AF60"/>
  <c r="AH60"/>
  <c r="AI60"/>
  <c r="AJ60"/>
  <c r="AM60"/>
  <c r="AO60"/>
  <c r="AP60"/>
  <c r="AQ60"/>
  <c r="AR60"/>
  <c r="AS60"/>
  <c r="AT60"/>
  <c r="AU60"/>
  <c r="D61"/>
  <c r="E61"/>
  <c r="F61"/>
  <c r="I61"/>
  <c r="K61"/>
  <c r="L61"/>
  <c r="M61"/>
  <c r="N61"/>
  <c r="O61"/>
  <c r="P61"/>
  <c r="Q61"/>
  <c r="S61"/>
  <c r="T61"/>
  <c r="U61"/>
  <c r="X61"/>
  <c r="Z61"/>
  <c r="AA61"/>
  <c r="AB61"/>
  <c r="AC61"/>
  <c r="AD61"/>
  <c r="AE61"/>
  <c r="AF61"/>
  <c r="AH61"/>
  <c r="AI61"/>
  <c r="AJ61"/>
  <c r="AM61"/>
  <c r="AO61"/>
  <c r="AP61"/>
  <c r="AQ61"/>
  <c r="AR61"/>
  <c r="AS61"/>
  <c r="AT61"/>
  <c r="AU61"/>
  <c r="D62"/>
  <c r="E62"/>
  <c r="F62"/>
  <c r="I62"/>
  <c r="K62"/>
  <c r="L62"/>
  <c r="M62"/>
  <c r="N62"/>
  <c r="O62"/>
  <c r="P62"/>
  <c r="Q62"/>
  <c r="S62"/>
  <c r="T62"/>
  <c r="U62"/>
  <c r="X62"/>
  <c r="Z62"/>
  <c r="AA62"/>
  <c r="AB62"/>
  <c r="AC62"/>
  <c r="AD62"/>
  <c r="AE62"/>
  <c r="AF62"/>
  <c r="AH62"/>
  <c r="AI62"/>
  <c r="AJ62"/>
  <c r="AM62"/>
  <c r="AO62"/>
  <c r="AP62"/>
  <c r="AQ62"/>
  <c r="AR62"/>
  <c r="AS62"/>
  <c r="AT62"/>
  <c r="AU62"/>
  <c r="D63"/>
  <c r="E63"/>
  <c r="F63"/>
  <c r="I63"/>
  <c r="K63"/>
  <c r="L63"/>
  <c r="M63"/>
  <c r="N63"/>
  <c r="O63"/>
  <c r="P63"/>
  <c r="Q63"/>
  <c r="S63"/>
  <c r="T63"/>
  <c r="U63"/>
  <c r="X63"/>
  <c r="Z63"/>
  <c r="AA63"/>
  <c r="AB63"/>
  <c r="AC63"/>
  <c r="AD63"/>
  <c r="AE63"/>
  <c r="AF63"/>
  <c r="AH63"/>
  <c r="AI63"/>
  <c r="AJ63"/>
  <c r="AM63"/>
  <c r="AO63"/>
  <c r="AP63"/>
  <c r="AQ63"/>
  <c r="AR63"/>
  <c r="AS63"/>
  <c r="AT63"/>
  <c r="AU63"/>
  <c r="D64"/>
  <c r="E64"/>
  <c r="F64"/>
  <c r="I64"/>
  <c r="K64"/>
  <c r="L64"/>
  <c r="M64"/>
  <c r="N64"/>
  <c r="O64"/>
  <c r="P64"/>
  <c r="Q64"/>
  <c r="S64"/>
  <c r="T64"/>
  <c r="U64"/>
  <c r="X64"/>
  <c r="Z64"/>
  <c r="AA64"/>
  <c r="AB64"/>
  <c r="AC64"/>
  <c r="AD64"/>
  <c r="AE64"/>
  <c r="AF64"/>
  <c r="AH64"/>
  <c r="AI64"/>
  <c r="AJ64"/>
  <c r="AM64"/>
  <c r="AO64"/>
  <c r="AP64"/>
  <c r="AQ64"/>
  <c r="AR64"/>
  <c r="AS64"/>
  <c r="AT64"/>
  <c r="AU64"/>
  <c r="D65"/>
  <c r="E65"/>
  <c r="F65"/>
  <c r="I65"/>
  <c r="K65"/>
  <c r="L65"/>
  <c r="M65"/>
  <c r="N65"/>
  <c r="O65"/>
  <c r="P65"/>
  <c r="Q65"/>
  <c r="S65"/>
  <c r="T65"/>
  <c r="U65"/>
  <c r="X65"/>
  <c r="Z65"/>
  <c r="AA65"/>
  <c r="AB65"/>
  <c r="AC65"/>
  <c r="AD65"/>
  <c r="AE65"/>
  <c r="AF65"/>
  <c r="AH65"/>
  <c r="AI65"/>
  <c r="AJ65"/>
  <c r="AM65"/>
  <c r="AO65"/>
  <c r="AP65"/>
  <c r="AQ65"/>
  <c r="AR65"/>
  <c r="AS65"/>
  <c r="AT65"/>
  <c r="AU65"/>
  <c r="D66"/>
  <c r="E66"/>
  <c r="F66"/>
  <c r="I66"/>
  <c r="K66"/>
  <c r="L66"/>
  <c r="M66"/>
  <c r="N66"/>
  <c r="O66"/>
  <c r="P66"/>
  <c r="Q66"/>
  <c r="S66"/>
  <c r="T66"/>
  <c r="U66"/>
  <c r="X66"/>
  <c r="Z66"/>
  <c r="AA66"/>
  <c r="AB66"/>
  <c r="AC66"/>
  <c r="AD66"/>
  <c r="AE66"/>
  <c r="AF66"/>
  <c r="AH66"/>
  <c r="AI66"/>
  <c r="AJ66"/>
  <c r="AM66"/>
  <c r="AO66"/>
  <c r="AP66"/>
  <c r="AQ66"/>
  <c r="AR66"/>
  <c r="AS66"/>
  <c r="AT66"/>
  <c r="AU66"/>
  <c r="D67"/>
  <c r="E67"/>
  <c r="F67"/>
  <c r="I67"/>
  <c r="K67"/>
  <c r="L67"/>
  <c r="M67"/>
  <c r="N67"/>
  <c r="O67"/>
  <c r="P67"/>
  <c r="Q67"/>
  <c r="S67"/>
  <c r="T67"/>
  <c r="U67"/>
  <c r="X67"/>
  <c r="Z67"/>
  <c r="AA67"/>
  <c r="AB67"/>
  <c r="AC67"/>
  <c r="AD67"/>
  <c r="AE67"/>
  <c r="AF67"/>
  <c r="AH67"/>
  <c r="AI67"/>
  <c r="AJ67"/>
  <c r="AM67"/>
  <c r="AO67"/>
  <c r="AP67"/>
  <c r="AQ67"/>
  <c r="AR67"/>
  <c r="AS67"/>
  <c r="AT67"/>
  <c r="AU67"/>
  <c r="D68"/>
  <c r="E68"/>
  <c r="F68"/>
  <c r="I68"/>
  <c r="K68"/>
  <c r="L68"/>
  <c r="M68"/>
  <c r="N68"/>
  <c r="O68"/>
  <c r="P68"/>
  <c r="Q68"/>
  <c r="S68"/>
  <c r="T68"/>
  <c r="U68"/>
  <c r="X68"/>
  <c r="Z68"/>
  <c r="AA68"/>
  <c r="AB68"/>
  <c r="AC68"/>
  <c r="AD68"/>
  <c r="AE68"/>
  <c r="AF68"/>
  <c r="AH68"/>
  <c r="AI68"/>
  <c r="AJ68"/>
  <c r="AM68"/>
  <c r="AO68"/>
  <c r="AP68"/>
  <c r="AQ68"/>
  <c r="AR68"/>
  <c r="AS68"/>
  <c r="AT68"/>
  <c r="AU68"/>
  <c r="D69"/>
  <c r="E69"/>
  <c r="F69"/>
  <c r="I69"/>
  <c r="K69"/>
  <c r="L69"/>
  <c r="M69"/>
  <c r="N69"/>
  <c r="O69"/>
  <c r="P69"/>
  <c r="Q69"/>
  <c r="S69"/>
  <c r="T69"/>
  <c r="U69"/>
  <c r="X69"/>
  <c r="Z69"/>
  <c r="AA69"/>
  <c r="AB69"/>
  <c r="AC69"/>
  <c r="AD69"/>
  <c r="AE69"/>
  <c r="AF69"/>
  <c r="AH69"/>
  <c r="AI69"/>
  <c r="AJ69"/>
  <c r="AM69"/>
  <c r="AO69"/>
  <c r="AP69"/>
  <c r="AQ69"/>
  <c r="AR69"/>
  <c r="AS69"/>
  <c r="AT69"/>
  <c r="AU69"/>
  <c r="D70"/>
  <c r="E70"/>
  <c r="F70"/>
  <c r="I70"/>
  <c r="K70"/>
  <c r="L70"/>
  <c r="M70"/>
  <c r="N70"/>
  <c r="O70"/>
  <c r="P70"/>
  <c r="Q70"/>
  <c r="S70"/>
  <c r="T70"/>
  <c r="U70"/>
  <c r="X70"/>
  <c r="Z70"/>
  <c r="AA70"/>
  <c r="AB70"/>
  <c r="AC70"/>
  <c r="AD70"/>
  <c r="AE70"/>
  <c r="AF70"/>
  <c r="AH70"/>
  <c r="AI70"/>
  <c r="AJ70"/>
  <c r="AM70"/>
  <c r="AO70"/>
  <c r="AP70"/>
  <c r="AQ70"/>
  <c r="AR70"/>
  <c r="AS70"/>
  <c r="AT70"/>
  <c r="AU70"/>
  <c r="D71"/>
  <c r="E71"/>
  <c r="F71"/>
  <c r="I71"/>
  <c r="K71"/>
  <c r="L71"/>
  <c r="M71"/>
  <c r="N71"/>
  <c r="O71"/>
  <c r="P71"/>
  <c r="Q71"/>
  <c r="S71"/>
  <c r="T71"/>
  <c r="U71"/>
  <c r="X71"/>
  <c r="Z71"/>
  <c r="AA71"/>
  <c r="AB71"/>
  <c r="AC71"/>
  <c r="AD71"/>
  <c r="AE71"/>
  <c r="AF71"/>
  <c r="AH71"/>
  <c r="AI71"/>
  <c r="AJ71"/>
  <c r="AM71"/>
  <c r="AO71"/>
  <c r="AP71"/>
  <c r="AQ71"/>
  <c r="AR71"/>
  <c r="AS71"/>
  <c r="AT71"/>
  <c r="AU71"/>
  <c r="D72"/>
  <c r="E72"/>
  <c r="F72"/>
  <c r="I72"/>
  <c r="K72"/>
  <c r="L72"/>
  <c r="M72"/>
  <c r="N72"/>
  <c r="O72"/>
  <c r="P72"/>
  <c r="Q72"/>
  <c r="S72"/>
  <c r="T72"/>
  <c r="U72"/>
  <c r="X72"/>
  <c r="Z72"/>
  <c r="AA72"/>
  <c r="AB72"/>
  <c r="AC72"/>
  <c r="AD72"/>
  <c r="AE72"/>
  <c r="AF72"/>
  <c r="AH72"/>
  <c r="AI72"/>
  <c r="AJ72"/>
  <c r="AM72"/>
  <c r="AO72"/>
  <c r="AP72"/>
  <c r="AQ72"/>
  <c r="AR72"/>
  <c r="AS72"/>
  <c r="AT72"/>
  <c r="AU72"/>
  <c r="D73"/>
  <c r="E73"/>
  <c r="F73"/>
  <c r="I73"/>
  <c r="K73"/>
  <c r="L73"/>
  <c r="M73"/>
  <c r="N73"/>
  <c r="O73"/>
  <c r="P73"/>
  <c r="Q73"/>
  <c r="S73"/>
  <c r="T73"/>
  <c r="U73"/>
  <c r="X73"/>
  <c r="Z73"/>
  <c r="AA73"/>
  <c r="AB73"/>
  <c r="AC73"/>
  <c r="AD73"/>
  <c r="AE73"/>
  <c r="AF73"/>
  <c r="AH73"/>
  <c r="AI73"/>
  <c r="AJ73"/>
  <c r="AM73"/>
  <c r="AO73"/>
  <c r="AP73"/>
  <c r="AQ73"/>
  <c r="AR73"/>
  <c r="AS73"/>
  <c r="AT73"/>
  <c r="AU73"/>
  <c r="D74"/>
  <c r="E74"/>
  <c r="F74"/>
  <c r="I74"/>
  <c r="K74"/>
  <c r="L74"/>
  <c r="M74"/>
  <c r="N74"/>
  <c r="O74"/>
  <c r="P74"/>
  <c r="Q74"/>
  <c r="S74"/>
  <c r="T74"/>
  <c r="U74"/>
  <c r="X74"/>
  <c r="Z74"/>
  <c r="AA74"/>
  <c r="AB74"/>
  <c r="AC74"/>
  <c r="AD74"/>
  <c r="AE74"/>
  <c r="AF74"/>
  <c r="AH74"/>
  <c r="AI74"/>
  <c r="AJ74"/>
  <c r="AM74"/>
  <c r="AO74"/>
  <c r="AP74"/>
  <c r="AQ74"/>
  <c r="AR74"/>
  <c r="AS74"/>
  <c r="AT74"/>
  <c r="AU74"/>
  <c r="D75"/>
  <c r="E75"/>
  <c r="F75"/>
  <c r="I75"/>
  <c r="K75"/>
  <c r="L75"/>
  <c r="M75"/>
  <c r="N75"/>
  <c r="O75"/>
  <c r="P75"/>
  <c r="Q75"/>
  <c r="S75"/>
  <c r="T75"/>
  <c r="U75"/>
  <c r="X75"/>
  <c r="Z75"/>
  <c r="AA75"/>
  <c r="AB75"/>
  <c r="AC75"/>
  <c r="AD75"/>
  <c r="AE75"/>
  <c r="AF75"/>
  <c r="AH75"/>
  <c r="AI75"/>
  <c r="AJ75"/>
  <c r="AM75"/>
  <c r="AO75"/>
  <c r="AP75"/>
  <c r="AQ75"/>
  <c r="AR75"/>
  <c r="AS75"/>
  <c r="AT75"/>
  <c r="AU75"/>
  <c r="D76"/>
  <c r="E76"/>
  <c r="F76"/>
  <c r="I76"/>
  <c r="K76"/>
  <c r="L76"/>
  <c r="M76"/>
  <c r="N76"/>
  <c r="O76"/>
  <c r="P76"/>
  <c r="Q76"/>
  <c r="S76"/>
  <c r="T76"/>
  <c r="U76"/>
  <c r="X76"/>
  <c r="Z76"/>
  <c r="AA76"/>
  <c r="AB76"/>
  <c r="AC76"/>
  <c r="AD76"/>
  <c r="AE76"/>
  <c r="AF76"/>
  <c r="AH76"/>
  <c r="AI76"/>
  <c r="AJ76"/>
  <c r="AM76"/>
  <c r="AO76"/>
  <c r="AP76"/>
  <c r="AQ76"/>
  <c r="AR76"/>
  <c r="AS76"/>
  <c r="AT76"/>
  <c r="AU76"/>
  <c r="D77"/>
  <c r="E77"/>
  <c r="F77"/>
  <c r="I77"/>
  <c r="K77"/>
  <c r="L77"/>
  <c r="M77"/>
  <c r="N77"/>
  <c r="O77"/>
  <c r="P77"/>
  <c r="Q77"/>
  <c r="S77"/>
  <c r="T77"/>
  <c r="U77"/>
  <c r="X77"/>
  <c r="Z77"/>
  <c r="AA77"/>
  <c r="AB77"/>
  <c r="AC77"/>
  <c r="AD77"/>
  <c r="AE77"/>
  <c r="AF77"/>
  <c r="AH77"/>
  <c r="AI77"/>
  <c r="AJ77"/>
  <c r="AM77"/>
  <c r="AO77"/>
  <c r="AP77"/>
  <c r="AQ77"/>
  <c r="AR77"/>
  <c r="AS77"/>
  <c r="AT77"/>
  <c r="AU77"/>
  <c r="D78"/>
  <c r="E78"/>
  <c r="F78"/>
  <c r="I78"/>
  <c r="K78"/>
  <c r="L78"/>
  <c r="M78"/>
  <c r="N78"/>
  <c r="O78"/>
  <c r="P78"/>
  <c r="Q78"/>
  <c r="S78"/>
  <c r="T78"/>
  <c r="U78"/>
  <c r="X78"/>
  <c r="Z78"/>
  <c r="AA78"/>
  <c r="AB78"/>
  <c r="AC78"/>
  <c r="AD78"/>
  <c r="AE78"/>
  <c r="AF78"/>
  <c r="AH78"/>
  <c r="AI78"/>
  <c r="AJ78"/>
  <c r="AM78"/>
  <c r="AO78"/>
  <c r="AP78"/>
  <c r="AQ78"/>
  <c r="AR78"/>
  <c r="AS78"/>
  <c r="AT78"/>
  <c r="AU78"/>
  <c r="D79"/>
  <c r="E79"/>
  <c r="F79"/>
  <c r="I79"/>
  <c r="K79"/>
  <c r="L79"/>
  <c r="M79"/>
  <c r="N79"/>
  <c r="O79"/>
  <c r="P79"/>
  <c r="Q79"/>
  <c r="S79"/>
  <c r="T79"/>
  <c r="U79"/>
  <c r="X79"/>
  <c r="Z79"/>
  <c r="AA79"/>
  <c r="AB79"/>
  <c r="AC79"/>
  <c r="AD79"/>
  <c r="AE79"/>
  <c r="AF79"/>
  <c r="AH79"/>
  <c r="AI79"/>
  <c r="AJ79"/>
  <c r="AM79"/>
  <c r="AO79"/>
  <c r="AP79"/>
  <c r="AQ79"/>
  <c r="AR79"/>
  <c r="AS79"/>
  <c r="AT79"/>
  <c r="AU79"/>
  <c r="D80"/>
  <c r="E80"/>
  <c r="F80"/>
  <c r="I80"/>
  <c r="K80"/>
  <c r="L80"/>
  <c r="M80"/>
  <c r="N80"/>
  <c r="O80"/>
  <c r="P80"/>
  <c r="Q80"/>
  <c r="S80"/>
  <c r="T80"/>
  <c r="U80"/>
  <c r="X80"/>
  <c r="Z80"/>
  <c r="AA80"/>
  <c r="AB80"/>
  <c r="AC80"/>
  <c r="AD80"/>
  <c r="AE80"/>
  <c r="AF80"/>
  <c r="AH80"/>
  <c r="AI80"/>
  <c r="AJ80"/>
  <c r="AM80"/>
  <c r="AO80"/>
  <c r="AP80"/>
  <c r="AQ80"/>
  <c r="AR80"/>
  <c r="AS80"/>
  <c r="AT80"/>
  <c r="AU80"/>
  <c r="D81"/>
  <c r="E81"/>
  <c r="F81"/>
  <c r="I81"/>
  <c r="K81"/>
  <c r="L81"/>
  <c r="M81"/>
  <c r="N81"/>
  <c r="O81"/>
  <c r="P81"/>
  <c r="Q81"/>
  <c r="S81"/>
  <c r="T81"/>
  <c r="U81"/>
  <c r="X81"/>
  <c r="Z81"/>
  <c r="AA81"/>
  <c r="AB81"/>
  <c r="AC81"/>
  <c r="AD81"/>
  <c r="AE81"/>
  <c r="AF81"/>
  <c r="AH81"/>
  <c r="AI81"/>
  <c r="AJ81"/>
  <c r="AM81"/>
  <c r="AO81"/>
  <c r="AP81"/>
  <c r="AQ81"/>
  <c r="AR81"/>
  <c r="AS81"/>
  <c r="AT81"/>
  <c r="AU81"/>
  <c r="D82"/>
  <c r="E82"/>
  <c r="F82"/>
  <c r="I82"/>
  <c r="K82"/>
  <c r="L82"/>
  <c r="M82"/>
  <c r="N82"/>
  <c r="O82"/>
  <c r="P82"/>
  <c r="Q82"/>
  <c r="S82"/>
  <c r="T82"/>
  <c r="U82"/>
  <c r="X82"/>
  <c r="Z82"/>
  <c r="AA82"/>
  <c r="AB82"/>
  <c r="AC82"/>
  <c r="AD82"/>
  <c r="AE82"/>
  <c r="AF82"/>
  <c r="AH82"/>
  <c r="AI82"/>
  <c r="AJ82"/>
  <c r="AM82"/>
  <c r="AO82"/>
  <c r="AP82"/>
  <c r="AQ82"/>
  <c r="AR82"/>
  <c r="AS82"/>
  <c r="AT82"/>
  <c r="AU82"/>
  <c r="D83"/>
  <c r="E83"/>
  <c r="F83"/>
  <c r="I83"/>
  <c r="K83"/>
  <c r="L83"/>
  <c r="M83"/>
  <c r="N83"/>
  <c r="O83"/>
  <c r="P83"/>
  <c r="Q83"/>
  <c r="S83"/>
  <c r="T83"/>
  <c r="U83"/>
  <c r="X83"/>
  <c r="Z83"/>
  <c r="AA83"/>
  <c r="AB83"/>
  <c r="AC83"/>
  <c r="AD83"/>
  <c r="AE83"/>
  <c r="AF83"/>
  <c r="AH83"/>
  <c r="AI83"/>
  <c r="AJ83"/>
  <c r="AM83"/>
  <c r="AO83"/>
  <c r="AP83"/>
  <c r="AQ83"/>
  <c r="AR83"/>
  <c r="AS83"/>
  <c r="AT83"/>
  <c r="AU83"/>
  <c r="D84"/>
  <c r="E84"/>
  <c r="F84"/>
  <c r="I84"/>
  <c r="K84"/>
  <c r="L84"/>
  <c r="M84"/>
  <c r="N84"/>
  <c r="O84"/>
  <c r="P84"/>
  <c r="Q84"/>
  <c r="S84"/>
  <c r="T84"/>
  <c r="U84"/>
  <c r="X84"/>
  <c r="Z84"/>
  <c r="AA84"/>
  <c r="AB84"/>
  <c r="AC84"/>
  <c r="AD84"/>
  <c r="AE84"/>
  <c r="AF84"/>
  <c r="AH84"/>
  <c r="AI84"/>
  <c r="AJ84"/>
  <c r="AM84"/>
  <c r="AO84"/>
  <c r="AP84"/>
  <c r="AQ84"/>
  <c r="AR84"/>
  <c r="AS84"/>
  <c r="AT84"/>
  <c r="AU84"/>
  <c r="D85"/>
  <c r="E85"/>
  <c r="F85"/>
  <c r="I85"/>
  <c r="K85"/>
  <c r="L85"/>
  <c r="M85"/>
  <c r="N85"/>
  <c r="O85"/>
  <c r="P85"/>
  <c r="Q85"/>
  <c r="S85"/>
  <c r="T85"/>
  <c r="U85"/>
  <c r="X85"/>
  <c r="Z85"/>
  <c r="AA85"/>
  <c r="AB85"/>
  <c r="AC85"/>
  <c r="AD85"/>
  <c r="AE85"/>
  <c r="AF85"/>
  <c r="AH85"/>
  <c r="AI85"/>
  <c r="AJ85"/>
  <c r="AM85"/>
  <c r="AO85"/>
  <c r="AP85"/>
  <c r="AQ85"/>
  <c r="AR85"/>
  <c r="AS85"/>
  <c r="AT85"/>
  <c r="AU85"/>
  <c r="D86"/>
  <c r="E86"/>
  <c r="F86"/>
  <c r="I86"/>
  <c r="K86"/>
  <c r="L86"/>
  <c r="M86"/>
  <c r="N86"/>
  <c r="O86"/>
  <c r="P86"/>
  <c r="Q86"/>
  <c r="S86"/>
  <c r="T86"/>
  <c r="U86"/>
  <c r="X86"/>
  <c r="Z86"/>
  <c r="AA86"/>
  <c r="AB86"/>
  <c r="AC86"/>
  <c r="AD86"/>
  <c r="AE86"/>
  <c r="AF86"/>
  <c r="AH86"/>
  <c r="AI86"/>
  <c r="AJ86"/>
  <c r="AM86"/>
  <c r="AO86"/>
  <c r="AP86"/>
  <c r="AQ86"/>
  <c r="AR86"/>
  <c r="AS86"/>
  <c r="AT86"/>
  <c r="AU86"/>
  <c r="D87"/>
  <c r="E87"/>
  <c r="F87"/>
  <c r="I87"/>
  <c r="K87"/>
  <c r="L87"/>
  <c r="M87"/>
  <c r="N87"/>
  <c r="O87"/>
  <c r="P87"/>
  <c r="Q87"/>
  <c r="S87"/>
  <c r="T87"/>
  <c r="U87"/>
  <c r="X87"/>
  <c r="Z87"/>
  <c r="AA87"/>
  <c r="AB87"/>
  <c r="AC87"/>
  <c r="AD87"/>
  <c r="AE87"/>
  <c r="AF87"/>
  <c r="AH87"/>
  <c r="AI87"/>
  <c r="AJ87"/>
  <c r="AM87"/>
  <c r="AO87"/>
  <c r="AP87"/>
  <c r="AQ87"/>
  <c r="AR87"/>
  <c r="AS87"/>
  <c r="AT87"/>
  <c r="AU87"/>
  <c r="C4" i="12"/>
  <c r="D4"/>
  <c r="E4"/>
  <c r="H4"/>
  <c r="J4"/>
  <c r="K4"/>
  <c r="L4"/>
  <c r="N4"/>
  <c r="O4"/>
  <c r="P4"/>
  <c r="Q4"/>
  <c r="R4"/>
  <c r="S4"/>
  <c r="T4"/>
  <c r="U4"/>
  <c r="W4"/>
  <c r="X4"/>
  <c r="Y4"/>
  <c r="AB4"/>
  <c r="AD4"/>
  <c r="AE4"/>
  <c r="AF4"/>
  <c r="AH4"/>
  <c r="AI4"/>
  <c r="AJ4"/>
  <c r="AK4"/>
  <c r="AL4"/>
  <c r="AM4"/>
  <c r="AN4"/>
  <c r="AO4"/>
  <c r="AQ4"/>
  <c r="AR4"/>
  <c r="AS4"/>
  <c r="AV4"/>
  <c r="AX4"/>
  <c r="AY4"/>
  <c r="AZ4"/>
  <c r="BB4"/>
  <c r="BC4"/>
  <c r="BD4"/>
  <c r="BE4"/>
  <c r="BF4"/>
  <c r="BG4"/>
  <c r="BH4"/>
  <c r="BI4"/>
  <c r="C5"/>
  <c r="D5"/>
  <c r="E5"/>
  <c r="H5"/>
  <c r="J5"/>
  <c r="K5"/>
  <c r="L5"/>
  <c r="N5"/>
  <c r="O5"/>
  <c r="P5"/>
  <c r="Q5"/>
  <c r="R5"/>
  <c r="S5"/>
  <c r="T5"/>
  <c r="U5"/>
  <c r="W5"/>
  <c r="X5"/>
  <c r="Y5"/>
  <c r="AB5"/>
  <c r="AD5"/>
  <c r="AE5"/>
  <c r="AF5"/>
  <c r="AH5"/>
  <c r="AI5"/>
  <c r="AJ5"/>
  <c r="AK5"/>
  <c r="AL5"/>
  <c r="AM5"/>
  <c r="AN5"/>
  <c r="AO5"/>
  <c r="AQ5"/>
  <c r="AR5"/>
  <c r="AS5"/>
  <c r="AV5"/>
  <c r="AX5"/>
  <c r="AY5"/>
  <c r="AZ5"/>
  <c r="BB5"/>
  <c r="BC5"/>
  <c r="BD5"/>
  <c r="BE5"/>
  <c r="BF5"/>
  <c r="BG5"/>
  <c r="BH5"/>
  <c r="BI5"/>
  <c r="C6"/>
  <c r="D6"/>
  <c r="E6"/>
  <c r="H6"/>
  <c r="J6"/>
  <c r="K6"/>
  <c r="L6"/>
  <c r="N6"/>
  <c r="O6"/>
  <c r="P6"/>
  <c r="Q6"/>
  <c r="R6"/>
  <c r="S6"/>
  <c r="T6"/>
  <c r="U6"/>
  <c r="W6"/>
  <c r="X6"/>
  <c r="Y6"/>
  <c r="AB6"/>
  <c r="AD6"/>
  <c r="AE6"/>
  <c r="AF6"/>
  <c r="AH6"/>
  <c r="AI6"/>
  <c r="AJ6"/>
  <c r="AK6"/>
  <c r="AL6"/>
  <c r="AM6"/>
  <c r="AN6"/>
  <c r="AO6"/>
  <c r="AQ6"/>
  <c r="AR6"/>
  <c r="AS6"/>
  <c r="AV6"/>
  <c r="AX6"/>
  <c r="AY6"/>
  <c r="AZ6"/>
  <c r="BB6"/>
  <c r="BC6"/>
  <c r="BD6"/>
  <c r="BE6"/>
  <c r="BF6"/>
  <c r="BG6"/>
  <c r="BH6"/>
  <c r="BI6"/>
  <c r="C7"/>
  <c r="D7"/>
  <c r="E7"/>
  <c r="H7"/>
  <c r="J7"/>
  <c r="K7"/>
  <c r="L7"/>
  <c r="N7"/>
  <c r="O7"/>
  <c r="P7"/>
  <c r="Q7"/>
  <c r="R7"/>
  <c r="S7"/>
  <c r="T7"/>
  <c r="U7"/>
  <c r="W7"/>
  <c r="X7"/>
  <c r="Y7"/>
  <c r="AB7"/>
  <c r="AD7"/>
  <c r="AE7"/>
  <c r="AF7"/>
  <c r="AH7"/>
  <c r="AI7"/>
  <c r="AJ7"/>
  <c r="AK7"/>
  <c r="AL7"/>
  <c r="AM7"/>
  <c r="AN7"/>
  <c r="AO7"/>
  <c r="AQ7"/>
  <c r="AR7"/>
  <c r="AS7"/>
  <c r="AV7"/>
  <c r="AX7"/>
  <c r="AY7"/>
  <c r="AZ7"/>
  <c r="BB7"/>
  <c r="BC7"/>
  <c r="BD7"/>
  <c r="BE7"/>
  <c r="BF7"/>
  <c r="BG7"/>
  <c r="BH7"/>
  <c r="BI7"/>
  <c r="C8"/>
  <c r="D8"/>
  <c r="E8"/>
  <c r="H8"/>
  <c r="J8"/>
  <c r="K8"/>
  <c r="L8"/>
  <c r="N8"/>
  <c r="O8"/>
  <c r="P8"/>
  <c r="Q8"/>
  <c r="R8"/>
  <c r="S8"/>
  <c r="T8"/>
  <c r="U8"/>
  <c r="W8"/>
  <c r="X8"/>
  <c r="Y8"/>
  <c r="AB8"/>
  <c r="AD8"/>
  <c r="AE8"/>
  <c r="AF8"/>
  <c r="AH8"/>
  <c r="AI8"/>
  <c r="AJ8"/>
  <c r="AK8"/>
  <c r="AL8"/>
  <c r="AM8"/>
  <c r="AN8"/>
  <c r="AO8"/>
  <c r="AQ8"/>
  <c r="AR8"/>
  <c r="AS8"/>
  <c r="AV8"/>
  <c r="AX8"/>
  <c r="AY8"/>
  <c r="AZ8"/>
  <c r="BB8"/>
  <c r="BC8"/>
  <c r="BD8"/>
  <c r="BE8"/>
  <c r="BF8"/>
  <c r="BG8"/>
  <c r="BH8"/>
  <c r="BI8"/>
  <c r="C9"/>
  <c r="D9"/>
  <c r="E9"/>
  <c r="H9"/>
  <c r="J9"/>
  <c r="K9"/>
  <c r="L9"/>
  <c r="N9"/>
  <c r="O9"/>
  <c r="P9"/>
  <c r="Q9"/>
  <c r="R9"/>
  <c r="S9"/>
  <c r="T9"/>
  <c r="U9"/>
  <c r="W9"/>
  <c r="X9"/>
  <c r="Y9"/>
  <c r="AB9"/>
  <c r="AD9"/>
  <c r="AE9"/>
  <c r="AF9"/>
  <c r="AH9"/>
  <c r="AI9"/>
  <c r="AJ9"/>
  <c r="AK9"/>
  <c r="AL9"/>
  <c r="AM9"/>
  <c r="AN9"/>
  <c r="AO9"/>
  <c r="AQ9"/>
  <c r="AR9"/>
  <c r="AS9"/>
  <c r="AV9"/>
  <c r="AX9"/>
  <c r="AY9"/>
  <c r="AZ9"/>
  <c r="BB9"/>
  <c r="BC9"/>
  <c r="BD9"/>
  <c r="BE9"/>
  <c r="BF9"/>
  <c r="BG9"/>
  <c r="BH9"/>
  <c r="BI9"/>
  <c r="C10"/>
  <c r="D10"/>
  <c r="E10"/>
  <c r="H10"/>
  <c r="J10"/>
  <c r="K10"/>
  <c r="L10"/>
  <c r="N10"/>
  <c r="O10"/>
  <c r="P10"/>
  <c r="Q10"/>
  <c r="R10"/>
  <c r="S10"/>
  <c r="T10"/>
  <c r="U10"/>
  <c r="W10"/>
  <c r="X10"/>
  <c r="Y10"/>
  <c r="AB10"/>
  <c r="AD10"/>
  <c r="AE10"/>
  <c r="AF10"/>
  <c r="AH10"/>
  <c r="AI10"/>
  <c r="AJ10"/>
  <c r="AK10"/>
  <c r="AL10"/>
  <c r="AM10"/>
  <c r="AN10"/>
  <c r="AO10"/>
  <c r="AQ10"/>
  <c r="AR10"/>
  <c r="AS10"/>
  <c r="AV10"/>
  <c r="AX10"/>
  <c r="AY10"/>
  <c r="AZ10"/>
  <c r="BB10"/>
  <c r="BC10"/>
  <c r="BD10"/>
  <c r="BE10"/>
  <c r="BF10"/>
  <c r="BG10"/>
  <c r="BH10"/>
  <c r="BI10"/>
  <c r="C11"/>
  <c r="D11"/>
  <c r="E11"/>
  <c r="H11"/>
  <c r="J11"/>
  <c r="K11"/>
  <c r="L11"/>
  <c r="N11"/>
  <c r="O11"/>
  <c r="P11"/>
  <c r="Q11"/>
  <c r="R11"/>
  <c r="S11"/>
  <c r="T11"/>
  <c r="U11"/>
  <c r="W11"/>
  <c r="X11"/>
  <c r="Y11"/>
  <c r="AB11"/>
  <c r="AD11"/>
  <c r="AE11"/>
  <c r="AF11"/>
  <c r="AH11"/>
  <c r="AI11"/>
  <c r="AJ11"/>
  <c r="AK11"/>
  <c r="AL11"/>
  <c r="AM11"/>
  <c r="AN11"/>
  <c r="AO11"/>
  <c r="AQ11"/>
  <c r="AR11"/>
  <c r="AS11"/>
  <c r="AV11"/>
  <c r="AX11"/>
  <c r="AY11"/>
  <c r="AZ11"/>
  <c r="BB11"/>
  <c r="BC11"/>
  <c r="BD11"/>
  <c r="BE11"/>
  <c r="BF11"/>
  <c r="BG11"/>
  <c r="BH11"/>
  <c r="BI11"/>
  <c r="C12"/>
  <c r="D12"/>
  <c r="E12"/>
  <c r="H12"/>
  <c r="J12"/>
  <c r="K12"/>
  <c r="L12"/>
  <c r="N12"/>
  <c r="O12"/>
  <c r="P12"/>
  <c r="Q12"/>
  <c r="R12"/>
  <c r="S12"/>
  <c r="T12"/>
  <c r="U12"/>
  <c r="W12"/>
  <c r="X12"/>
  <c r="Y12"/>
  <c r="AB12"/>
  <c r="AD12"/>
  <c r="AE12"/>
  <c r="AF12"/>
  <c r="AH12"/>
  <c r="AI12"/>
  <c r="AJ12"/>
  <c r="AK12"/>
  <c r="AL12"/>
  <c r="AM12"/>
  <c r="AN12"/>
  <c r="AO12"/>
  <c r="AQ12"/>
  <c r="AR12"/>
  <c r="AS12"/>
  <c r="AV12"/>
  <c r="AX12"/>
  <c r="AY12"/>
  <c r="AZ12"/>
  <c r="BB12"/>
  <c r="BC12"/>
  <c r="BD12"/>
  <c r="BE12"/>
  <c r="BF12"/>
  <c r="BG12"/>
  <c r="BH12"/>
  <c r="BI12"/>
  <c r="C13"/>
  <c r="D13"/>
  <c r="E13"/>
  <c r="H13"/>
  <c r="J13"/>
  <c r="K13"/>
  <c r="L13"/>
  <c r="N13"/>
  <c r="O13"/>
  <c r="P13"/>
  <c r="Q13"/>
  <c r="R13"/>
  <c r="S13"/>
  <c r="T13"/>
  <c r="U13"/>
  <c r="W13"/>
  <c r="X13"/>
  <c r="Y13"/>
  <c r="AB13"/>
  <c r="AD13"/>
  <c r="AE13"/>
  <c r="AF13"/>
  <c r="AH13"/>
  <c r="AI13"/>
  <c r="AJ13"/>
  <c r="AK13"/>
  <c r="AL13"/>
  <c r="AM13"/>
  <c r="AN13"/>
  <c r="AO13"/>
  <c r="AQ13"/>
  <c r="AR13"/>
  <c r="AS13"/>
  <c r="AV13"/>
  <c r="AX13"/>
  <c r="AY13"/>
  <c r="AZ13"/>
  <c r="BB13"/>
  <c r="BC13"/>
  <c r="BD13"/>
  <c r="BE13"/>
  <c r="BF13"/>
  <c r="BG13"/>
  <c r="BH13"/>
  <c r="BI13"/>
  <c r="C15"/>
  <c r="D15"/>
  <c r="E15"/>
  <c r="H15"/>
  <c r="J15"/>
  <c r="K15"/>
  <c r="L15"/>
  <c r="N15"/>
  <c r="O15"/>
  <c r="P15"/>
  <c r="Q15"/>
  <c r="R15"/>
  <c r="S15"/>
  <c r="T15"/>
  <c r="U15"/>
  <c r="W15"/>
  <c r="X15"/>
  <c r="Y15"/>
  <c r="AB15"/>
  <c r="AD15"/>
  <c r="AE15"/>
  <c r="AF15"/>
  <c r="AH15"/>
  <c r="AI15"/>
  <c r="AJ15"/>
  <c r="AK15"/>
  <c r="AL15"/>
  <c r="AM15"/>
  <c r="AN15"/>
  <c r="AO15"/>
  <c r="AQ15"/>
  <c r="AR15"/>
  <c r="AS15"/>
  <c r="AV15"/>
  <c r="AX15"/>
  <c r="AY15"/>
  <c r="AZ15"/>
  <c r="BB15"/>
  <c r="BC15"/>
  <c r="BD15"/>
  <c r="BE15"/>
  <c r="BF15"/>
  <c r="BG15"/>
  <c r="BH15"/>
  <c r="BI15"/>
  <c r="C16"/>
  <c r="D16"/>
  <c r="E16"/>
  <c r="H16"/>
  <c r="J16"/>
  <c r="K16"/>
  <c r="L16"/>
  <c r="N16"/>
  <c r="O16"/>
  <c r="P16"/>
  <c r="Q16"/>
  <c r="R16"/>
  <c r="S16"/>
  <c r="T16"/>
  <c r="U16"/>
  <c r="W16"/>
  <c r="X16"/>
  <c r="Y16"/>
  <c r="AB16"/>
  <c r="AD16"/>
  <c r="AE16"/>
  <c r="AF16"/>
  <c r="AH16"/>
  <c r="AI16"/>
  <c r="AJ16"/>
  <c r="AK16"/>
  <c r="AL16"/>
  <c r="AM16"/>
  <c r="AN16"/>
  <c r="AO16"/>
  <c r="AQ16"/>
  <c r="AR16"/>
  <c r="AS16"/>
  <c r="AV16"/>
  <c r="AX16"/>
  <c r="AY16"/>
  <c r="AZ16"/>
  <c r="BB16"/>
  <c r="BC16"/>
  <c r="BD16"/>
  <c r="BE16"/>
  <c r="BF16"/>
  <c r="BG16"/>
  <c r="BH16"/>
  <c r="BI16"/>
  <c r="C17"/>
  <c r="D17"/>
  <c r="E17"/>
  <c r="H17"/>
  <c r="J17"/>
  <c r="K17"/>
  <c r="L17"/>
  <c r="N17"/>
  <c r="O17"/>
  <c r="P17"/>
  <c r="Q17"/>
  <c r="R17"/>
  <c r="S17"/>
  <c r="T17"/>
  <c r="U17"/>
  <c r="W17"/>
  <c r="X17"/>
  <c r="Y17"/>
  <c r="AB17"/>
  <c r="AD17"/>
  <c r="AE17"/>
  <c r="AF17"/>
  <c r="AH17"/>
  <c r="AI17"/>
  <c r="AJ17"/>
  <c r="AK17"/>
  <c r="AL17"/>
  <c r="AM17"/>
  <c r="AN17"/>
  <c r="AO17"/>
  <c r="AQ17"/>
  <c r="AR17"/>
  <c r="AS17"/>
  <c r="AV17"/>
  <c r="AX17"/>
  <c r="AY17"/>
  <c r="AZ17"/>
  <c r="BB17"/>
  <c r="BC17"/>
  <c r="BD17"/>
  <c r="BE17"/>
  <c r="BF17"/>
  <c r="BG17"/>
  <c r="BH17"/>
  <c r="BI17"/>
  <c r="C18"/>
  <c r="D18"/>
  <c r="E18"/>
  <c r="H18"/>
  <c r="J18"/>
  <c r="K18"/>
  <c r="L18"/>
  <c r="N18"/>
  <c r="O18"/>
  <c r="P18"/>
  <c r="Q18"/>
  <c r="R18"/>
  <c r="S18"/>
  <c r="T18"/>
  <c r="U18"/>
  <c r="W18"/>
  <c r="X18"/>
  <c r="Y18"/>
  <c r="AB18"/>
  <c r="AD18"/>
  <c r="AE18"/>
  <c r="AF18"/>
  <c r="AH18"/>
  <c r="AI18"/>
  <c r="AJ18"/>
  <c r="AK18"/>
  <c r="AL18"/>
  <c r="AM18"/>
  <c r="AN18"/>
  <c r="AO18"/>
  <c r="AQ18"/>
  <c r="AR18"/>
  <c r="AS18"/>
  <c r="AV18"/>
  <c r="AX18"/>
  <c r="AY18"/>
  <c r="AZ18"/>
  <c r="BB18"/>
  <c r="BC18"/>
  <c r="BD18"/>
  <c r="BE18"/>
  <c r="BF18"/>
  <c r="BG18"/>
  <c r="BH18"/>
  <c r="BI18"/>
  <c r="C19"/>
  <c r="D19"/>
  <c r="E19"/>
  <c r="H19"/>
  <c r="J19"/>
  <c r="K19"/>
  <c r="L19"/>
  <c r="N19"/>
  <c r="O19"/>
  <c r="P19"/>
  <c r="Q19"/>
  <c r="R19"/>
  <c r="S19"/>
  <c r="T19"/>
  <c r="U19"/>
  <c r="W19"/>
  <c r="X19"/>
  <c r="Y19"/>
  <c r="AB19"/>
  <c r="AD19"/>
  <c r="AE19"/>
  <c r="AF19"/>
  <c r="AH19"/>
  <c r="AI19"/>
  <c r="AJ19"/>
  <c r="AK19"/>
  <c r="AL19"/>
  <c r="AM19"/>
  <c r="AN19"/>
  <c r="AO19"/>
  <c r="AQ19"/>
  <c r="AR19"/>
  <c r="AS19"/>
  <c r="AV19"/>
  <c r="AX19"/>
  <c r="AY19"/>
  <c r="AZ19"/>
  <c r="BB19"/>
  <c r="BC19"/>
  <c r="BD19"/>
  <c r="BE19"/>
  <c r="BF19"/>
  <c r="BG19"/>
  <c r="BH19"/>
  <c r="BI19"/>
  <c r="C20"/>
  <c r="D20"/>
  <c r="E20"/>
  <c r="H20"/>
  <c r="J20"/>
  <c r="K20"/>
  <c r="L20"/>
  <c r="N20"/>
  <c r="O20"/>
  <c r="P20"/>
  <c r="Q20"/>
  <c r="R20"/>
  <c r="S20"/>
  <c r="T20"/>
  <c r="U20"/>
  <c r="W20"/>
  <c r="X20"/>
  <c r="Y20"/>
  <c r="AB20"/>
  <c r="AD20"/>
  <c r="AE20"/>
  <c r="AF20"/>
  <c r="AH20"/>
  <c r="AI20"/>
  <c r="AJ20"/>
  <c r="AK20"/>
  <c r="AL20"/>
  <c r="AM20"/>
  <c r="AN20"/>
  <c r="AO20"/>
  <c r="AQ20"/>
  <c r="AR20"/>
  <c r="AS20"/>
  <c r="AV20"/>
  <c r="AX20"/>
  <c r="AY20"/>
  <c r="AZ20"/>
  <c r="BB20"/>
  <c r="BC20"/>
  <c r="BD20"/>
  <c r="BE20"/>
  <c r="BF20"/>
  <c r="BG20"/>
  <c r="BH20"/>
  <c r="BI20"/>
  <c r="C21"/>
  <c r="D21"/>
  <c r="E21"/>
  <c r="H21"/>
  <c r="J21"/>
  <c r="K21"/>
  <c r="L21"/>
  <c r="N21"/>
  <c r="O21"/>
  <c r="P21"/>
  <c r="Q21"/>
  <c r="R21"/>
  <c r="S21"/>
  <c r="T21"/>
  <c r="U21"/>
  <c r="W21"/>
  <c r="X21"/>
  <c r="Y21"/>
  <c r="AB21"/>
  <c r="AD21"/>
  <c r="AE21"/>
  <c r="AF21"/>
  <c r="AH21"/>
  <c r="AI21"/>
  <c r="AJ21"/>
  <c r="AK21"/>
  <c r="AL21"/>
  <c r="AM21"/>
  <c r="AN21"/>
  <c r="AO21"/>
  <c r="AQ21"/>
  <c r="AR21"/>
  <c r="AS21"/>
  <c r="AV21"/>
  <c r="AX21"/>
  <c r="AY21"/>
  <c r="AZ21"/>
  <c r="BB21"/>
  <c r="BC21"/>
  <c r="BD21"/>
  <c r="BE21"/>
  <c r="BF21"/>
  <c r="BG21"/>
  <c r="BH21"/>
  <c r="BI21"/>
  <c r="C22"/>
  <c r="D22"/>
  <c r="E22"/>
  <c r="H22"/>
  <c r="J22"/>
  <c r="K22"/>
  <c r="L22"/>
  <c r="N22"/>
  <c r="O22"/>
  <c r="P22"/>
  <c r="Q22"/>
  <c r="R22"/>
  <c r="S22"/>
  <c r="T22"/>
  <c r="U22"/>
  <c r="W22"/>
  <c r="X22"/>
  <c r="Y22"/>
  <c r="AB22"/>
  <c r="AD22"/>
  <c r="AE22"/>
  <c r="AF22"/>
  <c r="AH22"/>
  <c r="AI22"/>
  <c r="AJ22"/>
  <c r="AK22"/>
  <c r="AL22"/>
  <c r="AM22"/>
  <c r="AN22"/>
  <c r="AO22"/>
  <c r="AQ22"/>
  <c r="AR22"/>
  <c r="AS22"/>
  <c r="AV22"/>
  <c r="AX22"/>
  <c r="AY22"/>
  <c r="AZ22"/>
  <c r="BB22"/>
  <c r="BC22"/>
  <c r="BD22"/>
  <c r="BE22"/>
  <c r="BF22"/>
  <c r="BG22"/>
  <c r="BH22"/>
  <c r="BI22"/>
  <c r="C23"/>
  <c r="D23"/>
  <c r="E23"/>
  <c r="H23"/>
  <c r="J23"/>
  <c r="K23"/>
  <c r="L23"/>
  <c r="N23"/>
  <c r="O23"/>
  <c r="P23"/>
  <c r="Q23"/>
  <c r="R23"/>
  <c r="S23"/>
  <c r="T23"/>
  <c r="U23"/>
  <c r="W23"/>
  <c r="X23"/>
  <c r="Y23"/>
  <c r="AB23"/>
  <c r="AD23"/>
  <c r="AE23"/>
  <c r="AF23"/>
  <c r="AH23"/>
  <c r="AI23"/>
  <c r="AJ23"/>
  <c r="AK23"/>
  <c r="AL23"/>
  <c r="AM23"/>
  <c r="AN23"/>
  <c r="AO23"/>
  <c r="AQ23"/>
  <c r="AR23"/>
  <c r="AS23"/>
  <c r="AV23"/>
  <c r="AX23"/>
  <c r="AY23"/>
  <c r="AZ23"/>
  <c r="BB23"/>
  <c r="BC23"/>
  <c r="BD23"/>
  <c r="BE23"/>
  <c r="BF23"/>
  <c r="BG23"/>
  <c r="BH23"/>
  <c r="BI23"/>
  <c r="C24"/>
  <c r="D24"/>
  <c r="E24"/>
  <c r="H24"/>
  <c r="J24"/>
  <c r="K24"/>
  <c r="L24"/>
  <c r="N24"/>
  <c r="O24"/>
  <c r="P24"/>
  <c r="Q24"/>
  <c r="R24"/>
  <c r="S24"/>
  <c r="T24"/>
  <c r="U24"/>
  <c r="W24"/>
  <c r="X24"/>
  <c r="Y24"/>
  <c r="AB24"/>
  <c r="AD24"/>
  <c r="AE24"/>
  <c r="AF24"/>
  <c r="AH24"/>
  <c r="AI24"/>
  <c r="AJ24"/>
  <c r="AK24"/>
  <c r="AL24"/>
  <c r="AM24"/>
  <c r="AN24"/>
  <c r="AO24"/>
  <c r="AQ24"/>
  <c r="AR24"/>
  <c r="AS24"/>
  <c r="AV24"/>
  <c r="AX24"/>
  <c r="AY24"/>
  <c r="AZ24"/>
  <c r="BB24"/>
  <c r="BC24"/>
  <c r="BD24"/>
  <c r="BE24"/>
  <c r="BF24"/>
  <c r="BG24"/>
  <c r="BH24"/>
  <c r="BI24"/>
</calcChain>
</file>

<file path=xl/sharedStrings.xml><?xml version="1.0" encoding="utf-8"?>
<sst xmlns="http://schemas.openxmlformats.org/spreadsheetml/2006/main" count="760" uniqueCount="352">
  <si>
    <t>gm_power</t>
  </si>
  <si>
    <t>PARAMETER</t>
  </si>
  <si>
    <t>V</t>
  </si>
  <si>
    <t>A/V</t>
  </si>
  <si>
    <t>ns</t>
  </si>
  <si>
    <t>mA</t>
  </si>
  <si>
    <t>V/ns</t>
  </si>
  <si>
    <t>LX_slew_rise</t>
  </si>
  <si>
    <t>LX_slew_fall</t>
  </si>
  <si>
    <t>nC</t>
  </si>
  <si>
    <t>AVOL</t>
  </si>
  <si>
    <t>dB</t>
  </si>
  <si>
    <t>gm_EA</t>
  </si>
  <si>
    <t>A</t>
  </si>
  <si>
    <t>Rz</t>
  </si>
  <si>
    <t>Cp</t>
  </si>
  <si>
    <t>MHz</t>
  </si>
  <si>
    <t>nF</t>
  </si>
  <si>
    <t>pF</t>
  </si>
  <si>
    <t>KHz</t>
  </si>
  <si>
    <t>mV</t>
  </si>
  <si>
    <t>VFB</t>
  </si>
  <si>
    <t>Qg_FET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</si>
  <si>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</si>
  <si>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</si>
  <si>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</si>
  <si>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</si>
  <si>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</si>
  <si>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</si>
  <si>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</si>
  <si>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</si>
  <si>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</si>
  <si>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</si>
  <si>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</si>
  <si>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</si>
  <si>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</si>
  <si>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</si>
  <si>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</si>
  <si>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</si>
  <si>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</si>
  <si>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</si>
  <si>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</si>
  <si>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 xml:space="preserve">Lo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</si>
  <si>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</si>
  <si>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</si>
  <si>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</si>
  <si>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</si>
  <si>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</si>
  <si>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</si>
  <si>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</si>
  <si>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</si>
  <si>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</si>
  <si>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</si>
  <si>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</si>
  <si>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</si>
  <si>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</si>
  <si>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</si>
  <si>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</si>
  <si>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</si>
  <si>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</si>
  <si>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SS_release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</si>
  <si>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</si>
  <si>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</si>
  <si>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</si>
  <si>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</si>
  <si>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</si>
  <si>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</si>
  <si>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</si>
  <si>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</si>
  <si>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</si>
  <si>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</si>
  <si>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</si>
  <si>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</si>
  <si>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</si>
  <si>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</si>
  <si>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</si>
  <si>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</si>
  <si>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</si>
  <si>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</si>
  <si>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</si>
  <si>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</si>
  <si>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</si>
  <si>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</si>
  <si>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</si>
  <si>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</si>
  <si>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</si>
  <si>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</si>
  <si>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</si>
  <si>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Zero formed by the output capacitance and its ESR</t>
  </si>
  <si>
    <t>Recommended FB resister from Vout to VFB</t>
  </si>
  <si>
    <t>Recommended FB resister from VFB to GND</t>
  </si>
  <si>
    <t>Desired output voltage</t>
  </si>
  <si>
    <t>Desired maximum output current</t>
  </si>
  <si>
    <t>Choose a standard resister value, or combination of values</t>
  </si>
  <si>
    <t>Iout</t>
  </si>
  <si>
    <t>Pin</t>
  </si>
  <si>
    <t>Psw</t>
  </si>
  <si>
    <t>Pcond</t>
  </si>
  <si>
    <t>Ptotal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</si>
  <si>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</si>
  <si>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</si>
  <si>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t>RDSon @ 25C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</si>
  <si>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</si>
  <si>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</si>
  <si>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</si>
  <si>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</si>
  <si>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</si>
  <si>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</si>
  <si>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</si>
  <si>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</si>
  <si>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</si>
  <si>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</si>
  <si>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</si>
  <si>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RDSon</t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</si>
  <si>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</si>
  <si>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</si>
  <si>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</si>
  <si>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</si>
  <si>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</si>
  <si>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</si>
  <si>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</si>
  <si>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</si>
  <si>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</si>
  <si>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t>Co_num_actual =</t>
  </si>
  <si>
    <t>1x 10uF with DC bias</t>
  </si>
  <si>
    <t>DC bias coefficient</t>
  </si>
  <si>
    <t>Co_tot_min</t>
  </si>
  <si>
    <t>Output Capacitor Characterization:  10uF, 10%, 16V, X7R, 1206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</si>
  <si>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</si>
  <si>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</si>
  <si>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</si>
  <si>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</si>
  <si>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</si>
  <si>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</si>
  <si>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</si>
  <si>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</si>
  <si>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</si>
  <si>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</si>
  <si>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Input Capacitor Requirements:</t>
  </si>
  <si>
    <t xml:space="preserve"> Soft Start Capacitor and Timing: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</si>
  <si>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</si>
  <si>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</si>
  <si>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</si>
  <si>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</si>
  <si>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</si>
  <si>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</si>
  <si>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</si>
  <si>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</si>
  <si>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</si>
  <si>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</si>
  <si>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</si>
  <si>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</si>
  <si>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</si>
  <si>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</si>
  <si>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</si>
  <si>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</si>
  <si>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</si>
  <si>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</si>
  <si>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</si>
  <si>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</si>
  <si>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</si>
  <si>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</si>
  <si>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</si>
  <si>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</si>
  <si>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</si>
  <si>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</si>
  <si>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</si>
  <si>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t>Calculated total output capacitance with tolerance and real DC bias</t>
  </si>
  <si>
    <t>Typical output inductor ripple current</t>
  </si>
  <si>
    <t>INSTRUCTIONS:  No values need to be entered here, all values are derived from the DESIGN tab</t>
  </si>
  <si>
    <t xml:space="preserve"> Typical &amp; Worst Case Output Voltage Calculations:</t>
  </si>
  <si>
    <t>These values are all derived from the data sheet or lab measurements.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</si>
  <si>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GS</t>
    </r>
  </si>
  <si>
    <t>Measured value, see LX curve to the right</t>
  </si>
  <si>
    <t>The asynchronous diode must be rated to support at least this much current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</si>
  <si>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</si>
  <si>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t xml:space="preserve"> Asynchronous Diode Requirement:</t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</si>
  <si>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</si>
  <si>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</si>
  <si>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</si>
  <si>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</si>
  <si>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t>I</t>
    </r>
    <r>
      <rPr>
        <b/>
        <vertAlign val="subscript"/>
        <sz val="11"/>
        <color rgb="FF0000FF"/>
        <rFont val="Calibri"/>
        <family val="2"/>
        <scheme val="minor"/>
      </rPr>
      <t>F,RMS</t>
    </r>
  </si>
  <si>
    <r>
      <t>A</t>
    </r>
    <r>
      <rPr>
        <b/>
        <vertAlign val="subscript"/>
        <sz val="11"/>
        <color rgb="FF0000FF"/>
        <rFont val="Calibri"/>
        <family val="2"/>
        <scheme val="minor"/>
      </rPr>
      <t>RMS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</si>
  <si>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</si>
  <si>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</si>
  <si>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</si>
  <si>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</si>
  <si>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</si>
  <si>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</si>
  <si>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</si>
  <si>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</si>
  <si>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</si>
  <si>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</si>
  <si>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</si>
  <si>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Enter the output inductor's DCR, default is 35m</t>
    </r>
    <r>
      <rPr>
        <sz val="11"/>
        <rFont val="Calibri"/>
        <family val="2"/>
      </rPr>
      <t>Ω if left blank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</si>
  <si>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</si>
  <si>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</si>
  <si>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</si>
  <si>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</si>
  <si>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</si>
  <si>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</si>
  <si>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</si>
  <si>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</si>
  <si>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</si>
  <si>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</si>
  <si>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</si>
  <si>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</si>
  <si>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</si>
  <si>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</si>
  <si>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</si>
  <si>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</si>
  <si>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</si>
  <si>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</si>
  <si>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</si>
  <si>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</si>
  <si>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</si>
  <si>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</si>
  <si>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</si>
  <si>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</si>
  <si>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</si>
  <si>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</si>
  <si>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</si>
  <si>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</si>
  <si>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VF</t>
  </si>
  <si>
    <t>(RESET should normally be set to 0)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</si>
  <si>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</si>
  <si>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</si>
  <si>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</si>
  <si>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A   |   VF</t>
  </si>
  <si>
    <t>mV/°C</t>
  </si>
  <si>
    <t>EFF</t>
  </si>
  <si>
    <t>VF1</t>
  </si>
  <si>
    <t>VF2</t>
  </si>
  <si>
    <t>VF3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</si>
  <si>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</si>
  <si>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</si>
  <si>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</si>
  <si>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</si>
  <si>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t>System Duty Cycle</t>
  </si>
  <si>
    <t>Range of system duty-cycles given Vin, Vout, Iout, VF, etc</t>
  </si>
  <si>
    <t>DIODE (D1) CHARACTERIZATION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</si>
  <si>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</si>
  <si>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</si>
  <si>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D1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</si>
  <si>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</si>
  <si>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</si>
  <si>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</si>
  <si>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t>Value from the data sheet for D1: VF at 200mA</t>
  </si>
  <si>
    <t>Value from the data sheet for D1: VF at 2A</t>
  </si>
  <si>
    <t>Value from the data sheet for D1: VF at 4A</t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</si>
  <si>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</si>
  <si>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</si>
  <si>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</si>
  <si>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</si>
  <si>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</si>
  <si>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</si>
  <si>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r>
      <t>Maximum SYNC frequency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vertAlign val="sub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based on Fsw, Duty Cycle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>, and t</t>
    </r>
    <r>
      <rPr>
        <vertAlign val="subscript"/>
        <sz val="11"/>
        <color theme="1"/>
        <rFont val="Calibri"/>
        <family val="2"/>
        <scheme val="minor"/>
      </rPr>
      <t>ON,TYP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</si>
  <si>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</si>
  <si>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</si>
  <si>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</si>
  <si>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</si>
  <si>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</si>
  <si>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</si>
  <si>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</si>
  <si>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Optional: Output Capacitors</t>
  </si>
  <si>
    <t>Used to calculate output ripple and set the compensation values</t>
  </si>
  <si>
    <t>Enter Values Manually</t>
  </si>
  <si>
    <t>No. =</t>
  </si>
  <si>
    <t>Vout during dropout calculated with the typical OFF time</t>
  </si>
  <si>
    <t>Vout during dropout calculated with the worst case maximum OFF time</t>
  </si>
  <si>
    <r>
      <t>TJ</t>
    </r>
    <r>
      <rPr>
        <b/>
        <vertAlign val="subscript"/>
        <sz val="10"/>
        <rFont val="Arial"/>
        <family val="2"/>
      </rPr>
      <t>D1</t>
    </r>
  </si>
  <si>
    <r>
      <t>TJ</t>
    </r>
    <r>
      <rPr>
        <b/>
        <vertAlign val="subscript"/>
        <sz val="10"/>
        <rFont val="Arial"/>
        <family val="2"/>
      </rPr>
      <t>IC</t>
    </r>
  </si>
  <si>
    <t>Estimated value from the data sheet for D1</t>
  </si>
  <si>
    <t>VF, Temp. Coeff.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</si>
  <si>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AVG</t>
    </r>
  </si>
  <si>
    <t>Value from the data sheet for D1 (average of min/max)</t>
  </si>
  <si>
    <t xml:space="preserve">       Diode D1:  Example I-V Characteristics</t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</si>
  <si>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</si>
  <si>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</si>
  <si>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t>Enter the snubber capacitor value, enter "0" if no snubber is used</t>
  </si>
  <si>
    <t>Measured on Allegro EVB with 1x 10uF</t>
  </si>
  <si>
    <t>Thermal resistance</t>
  </si>
  <si>
    <t>Data sheet values, 0C to 85C</t>
  </si>
  <si>
    <t>Minimum</t>
  </si>
  <si>
    <t>Maximum</t>
  </si>
  <si>
    <t xml:space="preserve">CFB (min, max) = </t>
  </si>
  <si>
    <t>Estimated typical output voltage ripple in PWM mode</t>
  </si>
  <si>
    <r>
      <rPr>
        <b/>
        <sz val="11"/>
        <color theme="1"/>
        <rFont val="Calibri"/>
        <family val="2"/>
      </rPr>
      <t>ΔV</t>
    </r>
    <r>
      <rPr>
        <b/>
        <sz val="11"/>
        <color theme="1"/>
        <rFont val="Calibri"/>
        <family val="2"/>
        <scheme val="minor"/>
      </rPr>
      <t>out (PWM)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</si>
  <si>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PEAK</t>
    </r>
    <r>
      <rPr>
        <b/>
        <sz val="11"/>
        <color theme="1"/>
        <rFont val="Calibri"/>
        <family val="2"/>
        <scheme val="minor"/>
      </rPr>
      <t>_PFM</t>
    </r>
  </si>
  <si>
    <r>
      <t>t</t>
    </r>
    <r>
      <rPr>
        <b/>
        <vertAlign val="subscript"/>
        <sz val="11"/>
        <color theme="1"/>
        <rFont val="Calibri"/>
        <family val="2"/>
        <scheme val="minor"/>
      </rPr>
      <t>ON,MAX</t>
    </r>
    <r>
      <rPr>
        <b/>
        <sz val="11"/>
        <color theme="1"/>
        <rFont val="Calibri"/>
        <family val="2"/>
        <scheme val="minor"/>
      </rPr>
      <t>_PFM</t>
    </r>
  </si>
  <si>
    <t>µs</t>
  </si>
  <si>
    <r>
      <t>PFM t</t>
    </r>
    <r>
      <rPr>
        <b/>
        <vertAlign val="subscript"/>
        <sz val="14"/>
        <color theme="1"/>
        <rFont val="Calibri"/>
        <family val="2"/>
        <scheme val="minor"/>
      </rPr>
      <t>ON</t>
    </r>
    <r>
      <rPr>
        <b/>
        <sz val="14"/>
        <color theme="1"/>
        <rFont val="Calibri"/>
        <family val="2"/>
        <scheme val="minor"/>
      </rPr>
      <t>/t</t>
    </r>
    <r>
      <rPr>
        <b/>
        <vertAlign val="subscript"/>
        <sz val="14"/>
        <color theme="1"/>
        <rFont val="Calibri"/>
        <family val="2"/>
        <scheme val="minor"/>
      </rPr>
      <t>OFF</t>
    </r>
    <r>
      <rPr>
        <b/>
        <sz val="14"/>
        <color theme="1"/>
        <rFont val="Calibri"/>
        <family val="2"/>
        <scheme val="minor"/>
      </rPr>
      <t xml:space="preserve"> Calculations</t>
    </r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</si>
  <si>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</si>
  <si>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r>
      <t>PFM</t>
    </r>
    <r>
      <rPr>
        <vertAlign val="subscript"/>
        <sz val="11"/>
        <color theme="1"/>
        <rFont val="Calibri"/>
        <family val="2"/>
        <scheme val="minor"/>
      </rPr>
      <t>TEMP</t>
    </r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</si>
  <si>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</si>
  <si>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vertAlign val="subscript"/>
        <sz val="11"/>
        <color theme="1"/>
        <rFont val="Calibri"/>
        <family val="2"/>
        <scheme val="minor"/>
      </rPr>
      <t>ON</t>
    </r>
    <r>
      <rPr>
        <sz val="11"/>
        <color theme="1"/>
        <rFont val="Calibri"/>
        <family val="2"/>
        <scheme val="minor"/>
      </rPr>
      <t xml:space="preserve"> + t</t>
    </r>
    <r>
      <rPr>
        <vertAlign val="subscript"/>
        <sz val="11"/>
        <color theme="1"/>
        <rFont val="Calibri"/>
        <family val="2"/>
        <scheme val="minor"/>
      </rPr>
      <t>OFF</t>
    </r>
  </si>
  <si>
    <r>
      <t>V</t>
    </r>
    <r>
      <rPr>
        <vertAlign val="subscript"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@ I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>_PFM &amp; PFM</t>
    </r>
    <r>
      <rPr>
        <vertAlign val="subscript"/>
        <sz val="11"/>
        <color theme="1"/>
        <rFont val="Calibri"/>
        <family val="2"/>
        <scheme val="minor"/>
      </rPr>
      <t>TEMP</t>
    </r>
    <r>
      <rPr>
        <sz val="11"/>
        <color theme="1"/>
        <rFont val="Calibri"/>
        <family val="2"/>
        <scheme val="minor"/>
      </rPr>
      <t xml:space="preserve"> =</t>
    </r>
  </si>
  <si>
    <r>
      <t>RDS</t>
    </r>
    <r>
      <rPr>
        <vertAlign val="subscript"/>
        <sz val="11"/>
        <color theme="1"/>
        <rFont val="Calibri"/>
        <family val="2"/>
        <scheme val="minor"/>
      </rPr>
      <t>ON</t>
    </r>
    <r>
      <rPr>
        <sz val="11"/>
        <color theme="1"/>
        <rFont val="Calibri"/>
        <family val="2"/>
        <scheme val="minor"/>
      </rPr>
      <t xml:space="preserve"> @ PFM</t>
    </r>
    <r>
      <rPr>
        <vertAlign val="subscript"/>
        <sz val="11"/>
        <color theme="1"/>
        <rFont val="Calibri"/>
        <family val="2"/>
        <scheme val="minor"/>
      </rPr>
      <t>TEMP</t>
    </r>
    <r>
      <rPr>
        <sz val="11"/>
        <color theme="1"/>
        <rFont val="Calibri"/>
        <family val="2"/>
        <scheme val="minor"/>
      </rPr>
      <t xml:space="preserve"> =</t>
    </r>
  </si>
  <si>
    <r>
      <t>L</t>
    </r>
    <r>
      <rPr>
        <vertAlign val="subscript"/>
        <sz val="11"/>
        <color theme="1"/>
        <rFont val="Calibri"/>
        <family val="2"/>
        <scheme val="minor"/>
      </rPr>
      <t>DCR</t>
    </r>
    <r>
      <rPr>
        <sz val="11"/>
        <color theme="1"/>
        <rFont val="Calibri"/>
        <family val="2"/>
        <scheme val="minor"/>
      </rPr>
      <t xml:space="preserve"> @ PFM</t>
    </r>
    <r>
      <rPr>
        <vertAlign val="subscript"/>
        <sz val="11"/>
        <color theme="1"/>
        <rFont val="Calibri"/>
        <family val="2"/>
        <scheme val="minor"/>
      </rPr>
      <t>TEMP</t>
    </r>
    <r>
      <rPr>
        <sz val="11"/>
        <color theme="1"/>
        <rFont val="Calibri"/>
        <family val="2"/>
        <scheme val="minor"/>
      </rPr>
      <t xml:space="preserve"> =</t>
    </r>
  </si>
  <si>
    <r>
      <t>t</t>
    </r>
    <r>
      <rPr>
        <vertAlign val="subscript"/>
        <sz val="11"/>
        <color theme="1"/>
        <rFont val="Calibri"/>
        <family val="2"/>
        <scheme val="minor"/>
      </rPr>
      <t>ON</t>
    </r>
    <r>
      <rPr>
        <sz val="11"/>
        <color theme="1"/>
        <rFont val="Calibri"/>
        <family val="2"/>
        <scheme val="minor"/>
      </rPr>
      <t xml:space="preserve"> (typ | max)</t>
    </r>
  </si>
  <si>
    <r>
      <t>t</t>
    </r>
    <r>
      <rPr>
        <vertAlign val="subscript"/>
        <sz val="11"/>
        <color theme="1"/>
        <rFont val="Calibri"/>
        <family val="2"/>
        <scheme val="minor"/>
      </rPr>
      <t>OFF</t>
    </r>
    <r>
      <rPr>
        <sz val="11"/>
        <color theme="1"/>
        <rFont val="Calibri"/>
        <family val="2"/>
        <scheme val="minor"/>
      </rPr>
      <t xml:space="preserve"> (typ | max)</t>
    </r>
  </si>
  <si>
    <r>
      <rPr>
        <b/>
        <sz val="11"/>
        <color theme="1"/>
        <rFont val="Calibri"/>
        <family val="2"/>
      </rPr>
      <t>ΔV</t>
    </r>
    <r>
      <rPr>
        <b/>
        <sz val="11"/>
        <color theme="1"/>
        <rFont val="Calibri"/>
        <family val="2"/>
        <scheme val="minor"/>
      </rPr>
      <t>out (PFM</t>
    </r>
    <r>
      <rPr>
        <b/>
        <vertAlign val="subscript"/>
        <sz val="11"/>
        <color theme="1"/>
        <rFont val="Calibri"/>
        <family val="2"/>
        <scheme val="minor"/>
      </rPr>
      <t>TYP</t>
    </r>
    <r>
      <rPr>
        <b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</si>
  <si>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</rPr>
      <t>ΔV</t>
    </r>
    <r>
      <rPr>
        <b/>
        <sz val="11"/>
        <color theme="1"/>
        <rFont val="Calibri"/>
        <family val="2"/>
        <scheme val="minor"/>
      </rPr>
      <t>out (PFM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>)</t>
    </r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</si>
  <si>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</si>
  <si>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Data sheet values;</t>
  </si>
  <si>
    <t>Estimated number of 10uF/16V/X7R/1206 output capacitors for load transient</t>
  </si>
  <si>
    <r>
      <t>Transient load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.  Recommend about 50%.</t>
    </r>
  </si>
  <si>
    <t xml:space="preserve"> Error Amplifier Compensation Components:</t>
  </si>
  <si>
    <t>Recommended maximum 0dB crossover frequency</t>
  </si>
  <si>
    <r>
      <t xml:space="preserve">Average load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</si>
  <si>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</si>
  <si>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r>
      <t xml:space="preserve"> Output Capacitance (Co) and Output Voltage Ripple (</t>
    </r>
    <r>
      <rPr>
        <b/>
        <sz val="12"/>
        <color theme="1"/>
        <rFont val="Calibri"/>
        <family val="2"/>
      </rPr>
      <t>Δ</t>
    </r>
    <r>
      <rPr>
        <b/>
        <i/>
        <sz val="12"/>
        <color theme="1"/>
        <rFont val="Calibri"/>
        <family val="2"/>
        <scheme val="minor"/>
      </rPr>
      <t>Vout):</t>
    </r>
  </si>
  <si>
    <t>Recommended HF compensation capacitor</t>
  </si>
  <si>
    <t>Cz (min, max)</t>
  </si>
  <si>
    <t>Recommended range for the compensation capacitor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</si>
  <si>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</si>
  <si>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t>Recommended compensation resister to achieve chosen fc</t>
  </si>
  <si>
    <t>Enter the closest available 1% standard resister value</t>
  </si>
  <si>
    <t>Lo_I_peak</t>
  </si>
  <si>
    <t>FB+PCB Capacitance Estimate</t>
  </si>
  <si>
    <r>
      <t>mV</t>
    </r>
    <r>
      <rPr>
        <vertAlign val="subscript"/>
        <sz val="11"/>
        <color theme="1"/>
        <rFont val="Calibri"/>
        <family val="2"/>
        <scheme val="minor"/>
      </rPr>
      <t>PP, TYP</t>
    </r>
  </si>
  <si>
    <r>
      <t>mV</t>
    </r>
    <r>
      <rPr>
        <vertAlign val="subscript"/>
        <sz val="11"/>
        <color theme="1"/>
        <rFont val="Calibri"/>
        <family val="2"/>
        <scheme val="minor"/>
      </rPr>
      <t>PP, MAX</t>
    </r>
  </si>
  <si>
    <t>Vin operating range</t>
  </si>
  <si>
    <r>
      <t>Vin</t>
    </r>
    <r>
      <rPr>
        <b/>
        <vertAlign val="subscript"/>
        <sz val="11"/>
        <color theme="1"/>
        <rFont val="Calibri"/>
        <family val="2"/>
        <scheme val="minor"/>
      </rPr>
      <t>MIN</t>
    </r>
    <r>
      <rPr>
        <b/>
        <sz val="11"/>
        <color theme="1"/>
        <rFont val="Calibri"/>
        <family val="2"/>
        <scheme val="minor"/>
      </rPr>
      <t xml:space="preserve"> for PFM</t>
    </r>
  </si>
  <si>
    <r>
      <t>Vin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for PFM output ripple requirement</t>
    </r>
  </si>
  <si>
    <t>Intermediate calculations for PFM at spec'd temp:</t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</si>
  <si>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</si>
  <si>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</si>
  <si>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r>
      <t xml:space="preserve">CFB (PFM) capacitor.  </t>
    </r>
    <r>
      <rPr>
        <b/>
        <i/>
        <sz val="11"/>
        <color theme="1"/>
        <rFont val="Calibri"/>
        <family val="2"/>
        <scheme val="minor"/>
      </rPr>
      <t>Recommend starting with higher value.</t>
    </r>
  </si>
  <si>
    <t>Fsw &lt; 750KHz ?</t>
  </si>
  <si>
    <r>
      <t>Single pulse limit at Vin</t>
    </r>
    <r>
      <rPr>
        <vertAlign val="subscript"/>
        <sz val="11"/>
        <color theme="1"/>
        <rFont val="Calibri"/>
        <family val="2"/>
        <scheme val="minor"/>
      </rPr>
      <t xml:space="preserve">MIN </t>
    </r>
    <r>
      <rPr>
        <sz val="11"/>
        <color theme="1"/>
        <rFont val="Calibri"/>
        <family val="2"/>
        <scheme val="minor"/>
      </rPr>
      <t>?</t>
    </r>
  </si>
  <si>
    <r>
      <t>I</t>
    </r>
    <r>
      <rPr>
        <b/>
        <vertAlign val="subscript"/>
        <sz val="11"/>
        <color theme="1"/>
        <rFont val="Calibri"/>
        <family val="2"/>
        <scheme val="minor"/>
      </rPr>
      <t>PEAK</t>
    </r>
    <r>
      <rPr>
        <b/>
        <sz val="11"/>
        <color theme="1"/>
        <rFont val="Calibri"/>
        <family val="2"/>
        <scheme val="minor"/>
      </rPr>
      <t>_PFM Break</t>
    </r>
  </si>
  <si>
    <r>
      <t>Data sheet values for Fsw &lt; I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>_PFM Break</t>
    </r>
  </si>
  <si>
    <r>
      <t>Data sheet values for Fsw &gt; I</t>
    </r>
    <r>
      <rPr>
        <vertAlign val="subscript"/>
        <sz val="11"/>
        <color theme="1"/>
        <rFont val="Calibri"/>
        <family val="2"/>
        <scheme val="minor"/>
      </rPr>
      <t>PEAK</t>
    </r>
    <r>
      <rPr>
        <sz val="11"/>
        <color theme="1"/>
        <rFont val="Calibri"/>
        <family val="2"/>
        <scheme val="minor"/>
      </rPr>
      <t>_PFM Break</t>
    </r>
  </si>
  <si>
    <r>
      <t>I</t>
    </r>
    <r>
      <rPr>
        <vertAlign val="subscript"/>
        <sz val="11"/>
        <color theme="1"/>
        <rFont val="Calibri"/>
        <family val="2"/>
        <scheme val="minor"/>
      </rPr>
      <t>PFM</t>
    </r>
    <r>
      <rPr>
        <sz val="11"/>
        <color theme="1"/>
        <rFont val="Calibri"/>
        <family val="2"/>
        <scheme val="minor"/>
      </rPr>
      <t>_PEAK @ Fsw</t>
    </r>
  </si>
  <si>
    <r>
      <t>Inductor's I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should support this value</t>
    </r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</si>
  <si>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</si>
  <si>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r>
      <t xml:space="preserve">Enter Lo.  </t>
    </r>
    <r>
      <rPr>
        <b/>
        <i/>
        <sz val="11"/>
        <color theme="1"/>
        <rFont val="Calibri"/>
        <family val="2"/>
        <scheme val="minor"/>
      </rPr>
      <t>Start with a lower value to minimize PFM ripple</t>
    </r>
  </si>
  <si>
    <t>Lo (min | max)</t>
  </si>
  <si>
    <r>
      <t>Inductor range, SE = 40% to 110% of I</t>
    </r>
    <r>
      <rPr>
        <vertAlign val="subscript"/>
        <sz val="11"/>
        <color theme="1"/>
        <rFont val="Calibri"/>
        <family val="2"/>
        <scheme val="minor"/>
      </rPr>
      <t>Lo</t>
    </r>
    <r>
      <rPr>
        <sz val="11"/>
        <color theme="1"/>
        <rFont val="Calibri"/>
        <family val="2"/>
        <scheme val="minor"/>
      </rPr>
      <t xml:space="preserve"> down slope</t>
    </r>
  </si>
  <si>
    <r>
      <t>Inductor to critically damp the double poles at Fsw/2 @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</si>
  <si>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 xml:space="preserve">       Diode D1: Example of Capacitance vs. V</t>
    </r>
    <r>
      <rPr>
        <b/>
        <vertAlign val="subscript"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 xml:space="preserve"> for SS2P4</t>
    </r>
  </si>
  <si>
    <t>ALLEGRO A8580 DESIGN SPREADSHEET</t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</si>
  <si>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calculated w/ F</t>
    </r>
    <r>
      <rPr>
        <vertAlign val="subscript"/>
        <sz val="11"/>
        <color theme="1"/>
        <rFont val="Calibri"/>
        <family val="2"/>
        <scheme val="minor"/>
      </rPr>
      <t>SW</t>
    </r>
    <r>
      <rPr>
        <sz val="11"/>
        <color theme="1"/>
        <rFont val="Calibri"/>
        <family val="2"/>
        <scheme val="minor"/>
      </rPr>
      <t xml:space="preserve"> &amp; S</t>
    </r>
    <r>
      <rPr>
        <vertAlign val="subscript"/>
        <sz val="11"/>
        <color theme="1"/>
        <rFont val="Calibri"/>
        <family val="2"/>
        <scheme val="minor"/>
      </rPr>
      <t>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</si>
  <si>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cycle/2.45MHz, TYP </t>
    </r>
    <r>
      <rPr>
        <sz val="11"/>
        <color theme="1"/>
        <rFont val="Calibri"/>
        <family val="2"/>
      </rPr>
      <t>−</t>
    </r>
    <r>
      <rPr>
        <sz val="11"/>
        <color theme="1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</rPr>
      <t>σ</t>
    </r>
  </si>
  <si>
    <r>
      <t>Current margin (min) before possible limiting at V</t>
    </r>
    <r>
      <rPr>
        <vertAlign val="subscript"/>
        <sz val="11"/>
        <color theme="1"/>
        <rFont val="Calibri"/>
        <family val="2"/>
        <scheme val="minor"/>
      </rPr>
      <t>IN,TYP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TYP</t>
    </r>
  </si>
  <si>
    <r>
      <t>Current margin (min) before possible limiting at V</t>
    </r>
    <r>
      <rPr>
        <vertAlign val="subscript"/>
        <sz val="11"/>
        <color theme="1"/>
        <rFont val="Calibri"/>
        <family val="2"/>
        <scheme val="minor"/>
      </rPr>
      <t>IN,MIN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</si>
  <si>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</si>
  <si>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</si>
  <si>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 xml:space="preserve">Single-pulse PFM ripple at TYP Vin.  </t>
    </r>
    <r>
      <rPr>
        <b/>
        <sz val="11"/>
        <color theme="1"/>
        <rFont val="Calibri"/>
        <family val="2"/>
        <scheme val="minor"/>
      </rPr>
      <t>Increase Co or reduce Lo if too high.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</si>
  <si>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 xml:space="preserve"> RIDLEY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≥</t>
    </r>
  </si>
  <si>
    <t>ALLEGRO A8580 DESIGN SPREADSHEET - Rev. 2.6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</si>
</sst>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4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72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0" fontId="0" fillId="6" borderId="15" xfId="0" applyFill="1" applyBorder="1" applyAlignment="1" applyProtection="1">
      <alignment horizontal="center"/>
    </xf>
    <xf numFmtId="0" fontId="8" fillId="6" borderId="13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5" borderId="14" xfId="0" applyFill="1" applyBorder="1"/>
    <xf numFmtId="0" fontId="0" fillId="5" borderId="20" xfId="0" applyFill="1" applyBorder="1"/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/>
    <xf numFmtId="0" fontId="0" fillId="5" borderId="23" xfId="0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6" borderId="25" xfId="0" applyFont="1" applyFill="1" applyBorder="1" applyAlignment="1" applyProtection="1">
      <alignment horizontal="center"/>
    </xf>
    <xf numFmtId="0" fontId="7" fillId="6" borderId="30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17" fillId="7" borderId="40" xfId="0" applyFont="1" applyFill="1" applyBorder="1" applyAlignment="1" applyProtection="1">
      <alignment horizontal="left" vertical="center"/>
    </xf>
    <xf numFmtId="0" fontId="24" fillId="7" borderId="40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2" fontId="39" fillId="8" borderId="8" xfId="0" applyNumberFormat="1" applyFont="1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/>
    </xf>
    <xf numFmtId="2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2" fontId="39" fillId="2" borderId="36" xfId="0" applyNumberFormat="1" applyFont="1" applyFill="1" applyBorder="1" applyAlignment="1">
      <alignment horizontal="center"/>
    </xf>
    <xf numFmtId="164" fontId="39" fillId="2" borderId="36" xfId="0" applyNumberFormat="1" applyFont="1" applyFill="1" applyBorder="1" applyAlignment="1">
      <alignment horizontal="center"/>
    </xf>
    <xf numFmtId="2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/>
    </xf>
    <xf numFmtId="2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1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40" fillId="0" borderId="0" xfId="1" applyFont="1" applyAlignment="1" applyProtection="1">
      <alignment horizontal="right" vertic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8" borderId="45" xfId="0" applyFont="1" applyFill="1" applyBorder="1" applyAlignment="1">
      <alignment horizontal="center" vertical="center"/>
    </xf>
    <xf numFmtId="0" fontId="38" fillId="8" borderId="44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2" fontId="39" fillId="8" borderId="55" xfId="0" applyNumberFormat="1" applyFont="1" applyFill="1" applyBorder="1" applyAlignment="1">
      <alignment horizontal="center"/>
    </xf>
    <xf numFmtId="2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 vertical="center"/>
    </xf>
    <xf numFmtId="165" fontId="39" fillId="2" borderId="2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0" fontId="6" fillId="8" borderId="44" xfId="1" applyFont="1" applyFill="1" applyBorder="1" applyAlignment="1" applyProtection="1">
      <alignment horizontal="center" vertical="center"/>
    </xf>
    <xf numFmtId="164" fontId="39" fillId="2" borderId="39" xfId="0" applyNumberFormat="1" applyFont="1" applyFill="1" applyBorder="1" applyAlignment="1">
      <alignment horizontal="center"/>
    </xf>
    <xf numFmtId="164" fontId="39" fillId="2" borderId="41" xfId="0" applyNumberFormat="1" applyFont="1" applyFill="1" applyBorder="1" applyAlignment="1">
      <alignment horizontal="center"/>
    </xf>
    <xf numFmtId="165" fontId="39" fillId="2" borderId="2" xfId="0" applyNumberFormat="1" applyFont="1" applyFill="1" applyBorder="1" applyAlignment="1">
      <alignment horizontal="center"/>
    </xf>
    <xf numFmtId="165" fontId="39" fillId="2" borderId="0" xfId="0" applyNumberFormat="1" applyFont="1" applyFill="1" applyBorder="1" applyAlignment="1">
      <alignment horizontal="center"/>
    </xf>
    <xf numFmtId="165" fontId="39" fillId="2" borderId="36" xfId="0" applyNumberFormat="1" applyFont="1" applyFill="1" applyBorder="1" applyAlignment="1">
      <alignment horizontal="center"/>
    </xf>
    <xf numFmtId="2" fontId="39" fillId="3" borderId="56" xfId="0" applyNumberFormat="1" applyFont="1" applyFill="1" applyBorder="1" applyAlignment="1">
      <alignment horizontal="center"/>
    </xf>
    <xf numFmtId="2" fontId="39" fillId="3" borderId="2" xfId="0" applyNumberFormat="1" applyFont="1" applyFill="1" applyBorder="1" applyAlignment="1">
      <alignment horizontal="center"/>
    </xf>
    <xf numFmtId="165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/>
    </xf>
    <xf numFmtId="164" fontId="39" fillId="3" borderId="2" xfId="0" applyNumberFormat="1" applyFont="1" applyFill="1" applyBorder="1" applyAlignment="1">
      <alignment horizontal="center" vertical="center"/>
    </xf>
    <xf numFmtId="165" fontId="39" fillId="3" borderId="2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/>
    </xf>
    <xf numFmtId="165" fontId="39" fillId="3" borderId="0" xfId="0" applyNumberFormat="1" applyFont="1" applyFill="1" applyBorder="1" applyAlignment="1">
      <alignment horizont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/>
    </xf>
    <xf numFmtId="165" fontId="39" fillId="3" borderId="36" xfId="0" applyNumberFormat="1" applyFont="1" applyFill="1" applyBorder="1" applyAlignment="1">
      <alignment horizont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2" fontId="39" fillId="4" borderId="2" xfId="0" applyNumberFormat="1" applyFont="1" applyFill="1" applyBorder="1" applyAlignment="1">
      <alignment horizontal="center"/>
    </xf>
    <xf numFmtId="165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/>
    </xf>
    <xf numFmtId="164" fontId="39" fillId="4" borderId="2" xfId="0" applyNumberFormat="1" applyFont="1" applyFill="1" applyBorder="1" applyAlignment="1">
      <alignment horizontal="center" vertical="center"/>
    </xf>
    <xf numFmtId="165" fontId="39" fillId="4" borderId="2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/>
    </xf>
    <xf numFmtId="164" fontId="39" fillId="4" borderId="36" xfId="0" applyNumberFormat="1" applyFont="1" applyFill="1" applyBorder="1" applyAlignment="1">
      <alignment horizontal="center" vertical="center"/>
    </xf>
    <xf numFmtId="165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0" fontId="38" fillId="8" borderId="36" xfId="0" applyFont="1" applyFill="1" applyBorder="1" applyAlignment="1">
      <alignment horizontal="center" vertical="center"/>
    </xf>
    <xf numFmtId="0" fontId="0" fillId="0" borderId="0" xfId="0" applyFont="1"/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165" fontId="38" fillId="8" borderId="46" xfId="0" applyNumberFormat="1" applyFont="1" applyFill="1" applyBorder="1" applyAlignment="1">
      <alignment horizontal="center" vertical="center"/>
    </xf>
    <xf numFmtId="0" fontId="0" fillId="8" borderId="39" xfId="0" applyFont="1" applyFill="1" applyBorder="1"/>
    <xf numFmtId="0" fontId="38" fillId="8" borderId="57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53" xfId="0" applyFont="1" applyFill="1" applyBorder="1" applyAlignment="1" applyProtection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4" xfId="0" applyFont="1" applyFill="1" applyBorder="1" applyAlignment="1" applyProtection="1">
      <alignment horizontal="center" vertical="center"/>
    </xf>
    <xf numFmtId="0" fontId="43" fillId="8" borderId="52" xfId="0" applyFont="1" applyFill="1" applyBorder="1" applyAlignment="1" applyProtection="1">
      <alignment horizontal="center" vertical="center"/>
    </xf>
    <xf numFmtId="2" fontId="7" fillId="7" borderId="0" xfId="0" applyNumberFormat="1" applyFont="1" applyFill="1" applyBorder="1" applyAlignment="1" applyProtection="1">
      <alignment horizontal="center"/>
      <protection locked="0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46" fillId="0" borderId="0" xfId="0" applyFont="1" applyAlignment="1">
      <alignment vertical="center"/>
    </xf>
    <xf numFmtId="2" fontId="46" fillId="8" borderId="2" xfId="0" applyNumberFormat="1" applyFont="1" applyFill="1" applyBorder="1" applyAlignment="1">
      <alignment horizontal="left" vertical="center"/>
    </xf>
    <xf numFmtId="2" fontId="46" fillId="8" borderId="2" xfId="0" applyNumberFormat="1" applyFont="1" applyFill="1" applyBorder="1" applyAlignment="1">
      <alignment horizontal="center" vertical="center"/>
    </xf>
    <xf numFmtId="165" fontId="46" fillId="8" borderId="2" xfId="0" applyNumberFormat="1" applyFont="1" applyFill="1" applyBorder="1" applyAlignment="1">
      <alignment horizontal="center" vertical="center"/>
    </xf>
    <xf numFmtId="164" fontId="46" fillId="8" borderId="2" xfId="0" applyNumberFormat="1" applyFont="1" applyFill="1" applyBorder="1" applyAlignment="1">
      <alignment horizontal="center" vertical="center"/>
    </xf>
    <xf numFmtId="164" fontId="46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5" fillId="8" borderId="2" xfId="0" applyFont="1" applyFill="1" applyBorder="1" applyAlignment="1">
      <alignment horizontal="center" vertical="center"/>
    </xf>
    <xf numFmtId="0" fontId="47" fillId="8" borderId="38" xfId="0" applyFont="1" applyFill="1" applyBorder="1" applyAlignment="1">
      <alignment horizontal="left" vertical="center"/>
    </xf>
    <xf numFmtId="0" fontId="47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50" fillId="0" borderId="40" xfId="0" applyFont="1" applyBorder="1" applyAlignment="1" applyProtection="1"/>
    <xf numFmtId="0" fontId="50" fillId="0" borderId="0" xfId="0" applyFont="1" applyAlignment="1" applyProtection="1"/>
    <xf numFmtId="0" fontId="50" fillId="0" borderId="0" xfId="0" applyFont="1" applyProtection="1"/>
    <xf numFmtId="0" fontId="7" fillId="0" borderId="0" xfId="0" applyFont="1" applyAlignment="1" applyProtection="1">
      <alignment horizontal="left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7" fillId="6" borderId="16" xfId="0" applyFont="1" applyFill="1" applyBorder="1" applyAlignment="1" applyProtection="1">
      <alignment horizontal="center" vertical="center"/>
    </xf>
    <xf numFmtId="0" fontId="49" fillId="8" borderId="38" xfId="0" applyFont="1" applyFill="1" applyBorder="1" applyAlignment="1">
      <alignment horizontal="center" vertical="center"/>
    </xf>
    <xf numFmtId="165" fontId="49" fillId="8" borderId="2" xfId="0" applyNumberFormat="1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9" xfId="0" applyFont="1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left" vertical="center" indent="1"/>
    </xf>
    <xf numFmtId="0" fontId="50" fillId="0" borderId="0" xfId="0" applyFont="1" applyBorder="1" applyAlignment="1" applyProtection="1"/>
    <xf numFmtId="0" fontId="0" fillId="6" borderId="22" xfId="0" applyFill="1" applyBorder="1" applyProtection="1"/>
    <xf numFmtId="0" fontId="0" fillId="6" borderId="23" xfId="0" applyFill="1" applyBorder="1" applyProtection="1"/>
    <xf numFmtId="0" fontId="7" fillId="6" borderId="19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7" fillId="5" borderId="19" xfId="0" applyFont="1" applyFill="1" applyBorder="1" applyAlignment="1">
      <alignment horizontal="center" vertical="center"/>
    </xf>
    <xf numFmtId="164" fontId="0" fillId="5" borderId="14" xfId="0" applyNumberFormat="1" applyFont="1" applyFill="1" applyBorder="1" applyAlignment="1">
      <alignment horizontal="center" vertical="center"/>
    </xf>
    <xf numFmtId="0" fontId="0" fillId="5" borderId="14" xfId="0" applyFont="1" applyFill="1" applyBorder="1" applyAlignment="1">
      <alignment horizontal="center" vertical="center"/>
    </xf>
    <xf numFmtId="165" fontId="0" fillId="5" borderId="14" xfId="0" applyNumberFormat="1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0" fillId="5" borderId="14" xfId="0" applyNumberFormat="1" applyFont="1" applyFill="1" applyBorder="1" applyAlignment="1">
      <alignment horizontal="center" vertical="center"/>
    </xf>
    <xf numFmtId="2" fontId="0" fillId="5" borderId="14" xfId="0" applyNumberFormat="1" applyFont="1" applyFill="1" applyBorder="1" applyAlignment="1">
      <alignment horizontal="center" vertical="center"/>
    </xf>
    <xf numFmtId="164" fontId="8" fillId="5" borderId="14" xfId="0" applyNumberFormat="1" applyFont="1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 vertical="center"/>
    </xf>
    <xf numFmtId="2" fontId="0" fillId="5" borderId="14" xfId="0" applyNumberForma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 indent="1"/>
    </xf>
    <xf numFmtId="0" fontId="0" fillId="5" borderId="22" xfId="0" applyFill="1" applyBorder="1" applyAlignment="1">
      <alignment horizontal="left" vertical="center" indent="1"/>
    </xf>
    <xf numFmtId="0" fontId="7" fillId="5" borderId="59" xfId="0" applyFont="1" applyFill="1" applyBorder="1" applyAlignment="1">
      <alignment horizontal="center" vertical="center"/>
    </xf>
    <xf numFmtId="2" fontId="0" fillId="5" borderId="22" xfId="0" applyNumberFormat="1" applyFill="1" applyBorder="1" applyAlignment="1">
      <alignment horizontal="center"/>
    </xf>
    <xf numFmtId="0" fontId="0" fillId="5" borderId="59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0" fillId="0" borderId="0" xfId="0" applyFill="1" applyAlignment="1">
      <alignment horizont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7" borderId="36" xfId="0" applyNumberFormat="1" applyFill="1" applyBorder="1" applyAlignment="1" applyProtection="1">
      <alignment horizontal="center" vertical="center"/>
    </xf>
    <xf numFmtId="2" fontId="8" fillId="5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  <xf numFmtId="164" fontId="0" fillId="5" borderId="14" xfId="0" applyNumberFormat="1" applyFill="1" applyBorder="1" applyAlignment="1">
      <alignment horizontal="center" vertical="center"/>
    </xf>
    <xf numFmtId="0" fontId="7" fillId="7" borderId="58" xfId="0" applyFont="1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/>
    </xf>
    <xf numFmtId="0" fontId="0" fillId="7" borderId="5" xfId="0" applyFill="1" applyBorder="1" applyProtection="1"/>
    <xf numFmtId="0" fontId="0" fillId="7" borderId="31" xfId="0" applyFill="1" applyBorder="1" applyProtection="1"/>
    <xf numFmtId="165" fontId="0" fillId="6" borderId="45" xfId="0" applyNumberFormat="1" applyFill="1" applyBorder="1" applyAlignment="1" applyProtection="1">
      <alignment horizontal="center" vertical="center"/>
      <protection locked="0"/>
    </xf>
    <xf numFmtId="165" fontId="0" fillId="6" borderId="29" xfId="0" applyNumberFormat="1" applyFill="1" applyBorder="1" applyAlignment="1" applyProtection="1">
      <alignment horizontal="center" vertical="center"/>
      <protection locked="0"/>
    </xf>
    <xf numFmtId="0" fontId="8" fillId="6" borderId="29" xfId="0" applyFont="1" applyFill="1" applyBorder="1" applyAlignment="1" applyProtection="1">
      <alignment horizontal="center" vertical="center"/>
    </xf>
    <xf numFmtId="2" fontId="0" fillId="9" borderId="1" xfId="0" applyNumberFormat="1" applyFill="1" applyBorder="1" applyAlignment="1" applyProtection="1">
      <alignment horizontal="center" vertical="center"/>
      <protection locked="0"/>
    </xf>
    <xf numFmtId="165" fontId="8" fillId="6" borderId="3" xfId="0" applyNumberFormat="1" applyFont="1" applyFill="1" applyBorder="1" applyAlignment="1" applyProtection="1">
      <alignment horizontal="center" vertical="center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center" vertical="center"/>
    </xf>
    <xf numFmtId="0" fontId="0" fillId="7" borderId="35" xfId="0" applyFill="1" applyBorder="1" applyAlignment="1" applyProtection="1">
      <alignment horizontal="center" vertical="center"/>
    </xf>
    <xf numFmtId="0" fontId="0" fillId="7" borderId="11" xfId="0" applyFill="1" applyBorder="1" applyAlignment="1" applyProtection="1">
      <alignment horizontal="left" vertical="center" indent="1"/>
    </xf>
    <xf numFmtId="0" fontId="0" fillId="7" borderId="10" xfId="0" applyFill="1" applyBorder="1" applyAlignment="1" applyProtection="1">
      <alignment horizontal="left" vertical="center" indent="1"/>
    </xf>
    <xf numFmtId="0" fontId="35" fillId="7" borderId="10" xfId="0" applyFont="1" applyFill="1" applyBorder="1" applyAlignment="1" applyProtection="1">
      <alignment horizontal="left" vertical="center" indent="1"/>
    </xf>
    <xf numFmtId="2" fontId="0" fillId="7" borderId="0" xfId="0" applyNumberFormat="1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horizontal="center" vertical="center"/>
    </xf>
    <xf numFmtId="0" fontId="33" fillId="7" borderId="40" xfId="0" applyFont="1" applyFill="1" applyBorder="1" applyAlignment="1" applyProtection="1">
      <alignment horizontal="center" vertical="center"/>
    </xf>
    <xf numFmtId="0" fontId="33" fillId="7" borderId="0" xfId="0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 vertical="center"/>
      <protection locked="0"/>
    </xf>
    <xf numFmtId="0" fontId="8" fillId="7" borderId="0" xfId="0" applyFont="1" applyFill="1" applyBorder="1" applyAlignment="1" applyProtection="1">
      <alignment horizontal="center" vertical="center"/>
    </xf>
    <xf numFmtId="0" fontId="24" fillId="7" borderId="42" xfId="0" applyFont="1" applyFill="1" applyBorder="1" applyAlignment="1" applyProtection="1">
      <alignment horizontal="center" vertical="center"/>
    </xf>
    <xf numFmtId="0" fontId="24" fillId="7" borderId="36" xfId="0" applyFont="1" applyFill="1" applyBorder="1" applyAlignment="1" applyProtection="1">
      <alignment horizontal="center" vertical="center"/>
    </xf>
    <xf numFmtId="0" fontId="0" fillId="7" borderId="33" xfId="0" applyFill="1" applyBorder="1" applyAlignment="1" applyProtection="1">
      <alignment horizontal="left" vertical="center" indent="1"/>
    </xf>
    <xf numFmtId="1" fontId="0" fillId="7" borderId="5" xfId="0" applyNumberFormat="1" applyFill="1" applyBorder="1" applyAlignment="1" applyProtection="1">
      <alignment horizontal="center" vertical="center"/>
    </xf>
    <xf numFmtId="165" fontId="48" fillId="9" borderId="1" xfId="0" applyNumberFormat="1" applyFont="1" applyFill="1" applyBorder="1" applyAlignment="1" applyProtection="1">
      <alignment horizontal="center" vertical="center"/>
      <protection locked="0"/>
    </xf>
    <xf numFmtId="0" fontId="7" fillId="5" borderId="59" xfId="0" applyFont="1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left" vertical="center" indent="1"/>
    </xf>
    <xf numFmtId="2" fontId="0" fillId="7" borderId="0" xfId="0" applyNumberFormat="1" applyFill="1" applyAlignment="1" applyProtection="1">
      <alignment horizontal="center" vertical="center"/>
    </xf>
    <xf numFmtId="165" fontId="0" fillId="7" borderId="0" xfId="0" applyNumberFormat="1" applyFont="1" applyFill="1" applyBorder="1" applyAlignment="1" applyProtection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 vertical="center"/>
    </xf>
    <xf numFmtId="164" fontId="0" fillId="7" borderId="0" xfId="0" applyNumberFormat="1" applyFill="1" applyBorder="1" applyAlignment="1" applyProtection="1">
      <alignment horizontal="center" vertical="center"/>
    </xf>
    <xf numFmtId="164" fontId="0" fillId="9" borderId="1" xfId="0" applyNumberFormat="1" applyFill="1" applyBorder="1" applyAlignment="1" applyProtection="1">
      <alignment horizontal="center" vertical="center"/>
      <protection locked="0"/>
    </xf>
    <xf numFmtId="165" fontId="0" fillId="7" borderId="0" xfId="0" applyNumberFormat="1" applyFont="1" applyFill="1" applyAlignment="1" applyProtection="1">
      <alignment horizontal="center" vertical="center"/>
    </xf>
    <xf numFmtId="165" fontId="8" fillId="6" borderId="47" xfId="0" applyNumberFormat="1" applyFont="1" applyFill="1" applyBorder="1" applyAlignment="1" applyProtection="1">
      <alignment horizontal="center" vertical="center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164" fontId="39" fillId="2" borderId="37" xfId="0" applyNumberFormat="1" applyFont="1" applyFill="1" applyBorder="1" applyAlignment="1">
      <alignment horizontal="center"/>
    </xf>
    <xf numFmtId="2" fontId="48" fillId="9" borderId="1" xfId="0" applyNumberFormat="1" applyFont="1" applyFill="1" applyBorder="1" applyAlignment="1" applyProtection="1">
      <alignment horizontal="center" vertical="center"/>
      <protection locked="0"/>
    </xf>
    <xf numFmtId="0" fontId="0" fillId="7" borderId="0" xfId="0" applyFill="1" applyBorder="1" applyAlignment="1" applyProtection="1">
      <alignment vertical="center"/>
    </xf>
    <xf numFmtId="0" fontId="0" fillId="7" borderId="41" xfId="0" applyFill="1" applyBorder="1" applyAlignment="1" applyProtection="1">
      <alignment vertical="center"/>
    </xf>
    <xf numFmtId="2" fontId="0" fillId="7" borderId="0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2" fontId="24" fillId="9" borderId="45" xfId="0" applyNumberFormat="1" applyFont="1" applyFill="1" applyBorder="1" applyAlignment="1" applyProtection="1">
      <alignment horizontal="center" vertical="center"/>
      <protection locked="0"/>
    </xf>
    <xf numFmtId="2" fontId="24" fillId="9" borderId="46" xfId="0" applyNumberFormat="1" applyFont="1" applyFill="1" applyBorder="1" applyAlignment="1" applyProtection="1">
      <alignment horizontal="center" vertical="center"/>
      <protection locked="0"/>
    </xf>
    <xf numFmtId="165" fontId="35" fillId="9" borderId="45" xfId="0" applyNumberFormat="1" applyFont="1" applyFill="1" applyBorder="1" applyAlignment="1" applyProtection="1">
      <alignment horizontal="center" vertical="center"/>
      <protection locked="0"/>
    </xf>
    <xf numFmtId="165" fontId="35" fillId="9" borderId="46" xfId="0" applyNumberFormat="1" applyFont="1" applyFill="1" applyBorder="1" applyAlignment="1" applyProtection="1">
      <alignment horizontal="center" vertical="center"/>
      <protection locked="0"/>
    </xf>
    <xf numFmtId="165" fontId="0" fillId="7" borderId="0" xfId="0" applyNumberFormat="1" applyFill="1" applyBorder="1" applyAlignment="1" applyProtection="1">
      <alignment horizontal="center" vertical="center"/>
    </xf>
    <xf numFmtId="1" fontId="24" fillId="7" borderId="36" xfId="0" applyNumberFormat="1" applyFont="1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9" borderId="45" xfId="0" applyNumberFormat="1" applyFill="1" applyBorder="1" applyAlignment="1" applyProtection="1">
      <alignment horizontal="center" vertical="center"/>
      <protection locked="0"/>
    </xf>
    <xf numFmtId="1" fontId="0" fillId="9" borderId="46" xfId="0" applyNumberFormat="1" applyFill="1" applyBorder="1" applyAlignment="1" applyProtection="1">
      <alignment horizontal="center" vertical="center"/>
      <protection locked="0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51" fillId="7" borderId="4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0" fontId="15" fillId="0" borderId="0" xfId="0" applyFont="1" applyAlignment="1" applyProtection="1">
      <alignment horizontal="center"/>
    </xf>
    <xf numFmtId="0" fontId="11" fillId="8" borderId="45" xfId="0" applyFont="1" applyFill="1" applyBorder="1" applyAlignment="1" applyProtection="1">
      <alignment horizontal="center" vertical="center"/>
    </xf>
    <xf numFmtId="0" fontId="11" fillId="8" borderId="44" xfId="0" applyFont="1" applyFill="1" applyBorder="1" applyAlignment="1" applyProtection="1">
      <alignment horizontal="center" vertical="center"/>
    </xf>
    <xf numFmtId="0" fontId="11" fillId="8" borderId="50" xfId="0" applyFont="1" applyFill="1" applyBorder="1" applyAlignment="1" applyProtection="1">
      <alignment horizontal="center" vertical="center"/>
    </xf>
    <xf numFmtId="0" fontId="11" fillId="8" borderId="46" xfId="0" applyFont="1" applyFill="1" applyBorder="1" applyAlignment="1" applyProtection="1">
      <alignment horizontal="center" vertical="center"/>
    </xf>
    <xf numFmtId="0" fontId="0" fillId="6" borderId="29" xfId="0" applyFill="1" applyBorder="1" applyAlignment="1" applyProtection="1">
      <alignment horizontal="left" vertical="center" indent="1"/>
    </xf>
    <xf numFmtId="0" fontId="0" fillId="6" borderId="17" xfId="0" applyFill="1" applyBorder="1" applyAlignment="1" applyProtection="1">
      <alignment horizontal="left" vertical="center" indent="1"/>
    </xf>
    <xf numFmtId="0" fontId="0" fillId="6" borderId="18" xfId="0" applyFill="1" applyBorder="1" applyAlignment="1" applyProtection="1">
      <alignment horizontal="left" vertical="center" inden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0" fillId="6" borderId="4" xfId="0" applyFill="1" applyBorder="1" applyAlignment="1" applyProtection="1">
      <alignment horizontal="left" vertical="center" indent="1"/>
    </xf>
    <xf numFmtId="0" fontId="0" fillId="6" borderId="5" xfId="0" applyFill="1" applyBorder="1" applyAlignment="1" applyProtection="1">
      <alignment horizontal="left" vertical="center" indent="1"/>
    </xf>
    <xf numFmtId="0" fontId="0" fillId="6" borderId="31" xfId="0" applyFill="1" applyBorder="1" applyAlignment="1" applyProtection="1">
      <alignment horizontal="left" vertical="center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21" fillId="11" borderId="42" xfId="0" applyFont="1" applyFill="1" applyBorder="1" applyAlignment="1" applyProtection="1">
      <alignment horizontal="center" vertical="center" wrapText="1"/>
    </xf>
    <xf numFmtId="0" fontId="12" fillId="11" borderId="36" xfId="0" applyFont="1" applyFill="1" applyBorder="1" applyAlignment="1" applyProtection="1">
      <alignment horizontal="center" vertical="center"/>
    </xf>
    <xf numFmtId="0" fontId="12" fillId="11" borderId="37" xfId="0" applyFont="1" applyFill="1" applyBorder="1" applyAlignment="1" applyProtection="1">
      <alignment horizontal="center" vertic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0" fontId="0" fillId="6" borderId="13" xfId="0" applyFill="1" applyBorder="1" applyAlignment="1" applyProtection="1">
      <alignment horizontal="left" vertical="center"/>
    </xf>
    <xf numFmtId="0" fontId="0" fillId="6" borderId="14" xfId="0" applyFill="1" applyBorder="1" applyAlignment="1" applyProtection="1">
      <alignment horizontal="left" vertical="center"/>
    </xf>
    <xf numFmtId="0" fontId="0" fillId="6" borderId="20" xfId="0" applyFill="1" applyBorder="1" applyAlignment="1" applyProtection="1">
      <alignment horizontal="left" vertical="center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9" fillId="8" borderId="16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2" fontId="39" fillId="2" borderId="38" xfId="0" applyNumberFormat="1" applyFont="1" applyFill="1" applyBorder="1" applyAlignment="1">
      <alignment horizontal="center" vertical="center"/>
    </xf>
    <xf numFmtId="2" fontId="39" fillId="2" borderId="2" xfId="0" applyNumberFormat="1" applyFont="1" applyFill="1" applyBorder="1" applyAlignment="1">
      <alignment horizontal="center" vertical="center"/>
    </xf>
    <xf numFmtId="165" fontId="39" fillId="2" borderId="39" xfId="0" applyNumberFormat="1" applyFont="1" applyFill="1" applyBorder="1" applyAlignment="1">
      <alignment horizontal="center" vertical="center"/>
    </xf>
    <xf numFmtId="2" fontId="39" fillId="2" borderId="40" xfId="0" applyNumberFormat="1" applyFont="1" applyFill="1" applyBorder="1" applyAlignment="1">
      <alignment horizontal="center" vertical="center"/>
    </xf>
    <xf numFmtId="2" fontId="39" fillId="2" borderId="0" xfId="0" applyNumberFormat="1" applyFont="1" applyFill="1" applyBorder="1" applyAlignment="1">
      <alignment horizontal="center" vertical="center"/>
    </xf>
    <xf numFmtId="165" fontId="39" fillId="2" borderId="41" xfId="0" applyNumberFormat="1" applyFont="1" applyFill="1" applyBorder="1" applyAlignment="1">
      <alignment horizontal="center" vertical="center"/>
    </xf>
    <xf numFmtId="2" fontId="39" fillId="2" borderId="42" xfId="0" applyNumberFormat="1" applyFont="1" applyFill="1" applyBorder="1" applyAlignment="1">
      <alignment horizontal="center" vertical="center"/>
    </xf>
    <xf numFmtId="2" fontId="39" fillId="2" borderId="36" xfId="0" applyNumberFormat="1" applyFont="1" applyFill="1" applyBorder="1" applyAlignment="1">
      <alignment horizontal="center" vertical="center"/>
    </xf>
    <xf numFmtId="165" fontId="39" fillId="2" borderId="37" xfId="0" applyNumberFormat="1" applyFont="1" applyFill="1" applyBorder="1" applyAlignment="1">
      <alignment horizontal="center" vertical="center"/>
    </xf>
    <xf numFmtId="2" fontId="39" fillId="3" borderId="56" xfId="0" applyNumberFormat="1" applyFont="1" applyFill="1" applyBorder="1" applyAlignment="1">
      <alignment horizontal="center" vertical="center"/>
    </xf>
    <xf numFmtId="2" fontId="39" fillId="3" borderId="2" xfId="0" applyNumberFormat="1" applyFont="1" applyFill="1" applyBorder="1" applyAlignment="1">
      <alignment horizontal="center" vertical="center"/>
    </xf>
    <xf numFmtId="165" fontId="39" fillId="3" borderId="39" xfId="0" applyNumberFormat="1" applyFont="1" applyFill="1" applyBorder="1" applyAlignment="1">
      <alignment horizontal="center" vertical="center"/>
    </xf>
    <xf numFmtId="2" fontId="39" fillId="3" borderId="7" xfId="0" applyNumberFormat="1" applyFont="1" applyFill="1" applyBorder="1" applyAlignment="1">
      <alignment horizontal="center" vertical="center"/>
    </xf>
    <xf numFmtId="2" fontId="39" fillId="3" borderId="0" xfId="0" applyNumberFormat="1" applyFont="1" applyFill="1" applyBorder="1" applyAlignment="1">
      <alignment horizontal="center" vertical="center"/>
    </xf>
    <xf numFmtId="165" fontId="39" fillId="3" borderId="41" xfId="0" applyNumberFormat="1" applyFont="1" applyFill="1" applyBorder="1" applyAlignment="1">
      <alignment horizontal="center" vertical="center"/>
    </xf>
    <xf numFmtId="2" fontId="39" fillId="3" borderId="34" xfId="0" applyNumberFormat="1" applyFont="1" applyFill="1" applyBorder="1" applyAlignment="1">
      <alignment horizontal="center" vertical="center"/>
    </xf>
    <xf numFmtId="2" fontId="39" fillId="3" borderId="36" xfId="0" applyNumberFormat="1" applyFont="1" applyFill="1" applyBorder="1" applyAlignment="1">
      <alignment horizontal="center" vertical="center"/>
    </xf>
    <xf numFmtId="165" fontId="39" fillId="3" borderId="37" xfId="0" applyNumberFormat="1" applyFont="1" applyFill="1" applyBorder="1" applyAlignment="1">
      <alignment horizontal="center" vertical="center"/>
    </xf>
    <xf numFmtId="2" fontId="39" fillId="4" borderId="38" xfId="0" applyNumberFormat="1" applyFont="1" applyFill="1" applyBorder="1" applyAlignment="1">
      <alignment horizontal="center" vertical="center"/>
    </xf>
    <xf numFmtId="2" fontId="39" fillId="4" borderId="2" xfId="0" applyNumberFormat="1" applyFont="1" applyFill="1" applyBorder="1" applyAlignment="1">
      <alignment horizontal="center" vertical="center"/>
    </xf>
    <xf numFmtId="165" fontId="39" fillId="4" borderId="39" xfId="0" applyNumberFormat="1" applyFont="1" applyFill="1" applyBorder="1" applyAlignment="1">
      <alignment horizontal="center" vertical="center"/>
    </xf>
    <xf numFmtId="2" fontId="39" fillId="4" borderId="40" xfId="0" applyNumberFormat="1" applyFont="1" applyFill="1" applyBorder="1" applyAlignment="1">
      <alignment horizontal="center" vertical="center"/>
    </xf>
    <xf numFmtId="2" fontId="39" fillId="4" borderId="0" xfId="0" applyNumberFormat="1" applyFont="1" applyFill="1" applyBorder="1" applyAlignment="1">
      <alignment horizontal="center" vertical="center"/>
    </xf>
    <xf numFmtId="165" fontId="39" fillId="4" borderId="41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 vertical="center"/>
    </xf>
    <xf numFmtId="2" fontId="39" fillId="4" borderId="36" xfId="0" applyNumberFormat="1" applyFont="1" applyFill="1" applyBorder="1" applyAlignment="1">
      <alignment horizontal="center" vertical="center"/>
    </xf>
    <xf numFmtId="165" fontId="39" fillId="4" borderId="3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6"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9868828896388616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28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Efficiency!$U$4:$U$13</c:f>
              <c:numCache>
                <c:formatCode>0.0</c:formatCode>
                <c:ptCount val="10"/>
                <c:pt idx="0">
                  <c:v>93.280072135873993</c:v>
                </c:pt>
                <c:pt idx="1">
                  <c:v>94.300056730336081</c:v>
                </c:pt>
                <c:pt idx="2">
                  <c:v>94.210898131248257</c:v>
                </c:pt>
                <c:pt idx="3">
                  <c:v>93.833162361177941</c:v>
                </c:pt>
                <c:pt idx="4">
                  <c:v>93.332576648158678</c:v>
                </c:pt>
                <c:pt idx="5">
                  <c:v>92.762090626158098</c:v>
                </c:pt>
                <c:pt idx="6">
                  <c:v>92.141591643620146</c:v>
                </c:pt>
                <c:pt idx="7">
                  <c:v>91.477948318150055</c:v>
                </c:pt>
                <c:pt idx="8">
                  <c:v>90.837417450120483</c:v>
                </c:pt>
                <c:pt idx="9">
                  <c:v>90.146396049705373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Efficiency!$AO$4:$AO$13</c:f>
              <c:numCache>
                <c:formatCode>0.0</c:formatCode>
                <c:ptCount val="10"/>
                <c:pt idx="0">
                  <c:v>89.881037396093504</c:v>
                </c:pt>
                <c:pt idx="1">
                  <c:v>91.778531946432039</c:v>
                </c:pt>
                <c:pt idx="2">
                  <c:v>92.052262717314647</c:v>
                </c:pt>
                <c:pt idx="3">
                  <c:v>91.90307562745997</c:v>
                </c:pt>
                <c:pt idx="4">
                  <c:v>91.580267729539713</c:v>
                </c:pt>
                <c:pt idx="5">
                  <c:v>91.167037890092516</c:v>
                </c:pt>
                <c:pt idx="6">
                  <c:v>90.698045928550783</c:v>
                </c:pt>
                <c:pt idx="7">
                  <c:v>90.189378866268015</c:v>
                </c:pt>
                <c:pt idx="8">
                  <c:v>89.755973874730245</c:v>
                </c:pt>
                <c:pt idx="9">
                  <c:v>89.289329386847356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Efficiency!$BI$4:$BI$13</c:f>
              <c:numCache>
                <c:formatCode>0.0</c:formatCode>
                <c:ptCount val="10"/>
                <c:pt idx="0">
                  <c:v>86.877552069091934</c:v>
                </c:pt>
                <c:pt idx="1">
                  <c:v>89.580430710993625</c:v>
                </c:pt>
                <c:pt idx="2">
                  <c:v>90.176671658786901</c:v>
                </c:pt>
                <c:pt idx="3">
                  <c:v>90.217355600026181</c:v>
                </c:pt>
                <c:pt idx="4">
                  <c:v>90.030486140015739</c:v>
                </c:pt>
                <c:pt idx="5">
                  <c:v>89.727233305448678</c:v>
                </c:pt>
                <c:pt idx="6">
                  <c:v>89.355064037521487</c:v>
                </c:pt>
                <c:pt idx="7">
                  <c:v>88.937103210118153</c:v>
                </c:pt>
                <c:pt idx="8">
                  <c:v>88.610449005406636</c:v>
                </c:pt>
                <c:pt idx="9">
                  <c:v>88.25213465613102</c:v>
                </c:pt>
              </c:numCache>
            </c:numRef>
          </c:yVal>
          <c:smooth val="1"/>
        </c:ser>
        <c:axId val="103177600"/>
        <c:axId val="215553152"/>
      </c:scatterChart>
      <c:valAx>
        <c:axId val="103177600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47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553152"/>
        <c:crosses val="autoZero"/>
        <c:crossBetween val="midCat"/>
        <c:majorUnit val="0.25"/>
        <c:minorUnit val="0.125"/>
      </c:valAx>
      <c:valAx>
        <c:axId val="215553152"/>
        <c:scaling>
          <c:orientation val="minMax"/>
          <c:max val="95"/>
          <c:min val="6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04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177600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909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43" r="0.75000000000001443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</c:title>
    <c:plotArea>
      <c:layout>
        <c:manualLayout>
          <c:layoutTarget val="inner"/>
          <c:xMode val="edge"/>
          <c:yMode val="edge"/>
          <c:x val="0.13225832358538644"/>
          <c:y val="0.10866027305170159"/>
          <c:w val="0.81528175940313463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</c:trendline>
          <c:xVal>
            <c:numRef>
              <c:f>Constants!$A$34:$A$35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xVal>
          <c:yVal>
            <c:numRef>
              <c:f>Constants!$B$34:$B$35</c:f>
              <c:numCache>
                <c:formatCode>0.00</c:formatCode>
                <c:ptCount val="2"/>
                <c:pt idx="0">
                  <c:v>3.8</c:v>
                </c:pt>
                <c:pt idx="1">
                  <c:v>2.8875366178428759</c:v>
                </c:pt>
              </c:numCache>
            </c:numRef>
          </c:yVal>
        </c:ser>
        <c:axId val="59460992"/>
        <c:axId val="59471360"/>
      </c:scatterChart>
      <c:valAx>
        <c:axId val="59460992"/>
        <c:scaling>
          <c:orientation val="minMax"/>
          <c:max val="9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59471360"/>
        <c:crosses val="autoZero"/>
        <c:crossBetween val="midCat"/>
        <c:majorUnit val="10"/>
        <c:minorUnit val="10"/>
      </c:valAx>
      <c:valAx>
        <c:axId val="59471360"/>
        <c:scaling>
          <c:orientation val="minMax"/>
          <c:max val="4"/>
          <c:min val="2.200000000000000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</c:title>
        <c:numFmt formatCode="0.0" sourceLinked="0"/>
        <c:tickLblPos val="nextTo"/>
        <c:crossAx val="59460992"/>
        <c:crosses val="autoZero"/>
        <c:crossBetween val="midCat"/>
        <c:majorUnit val="0.2"/>
        <c:minorUnit val="0.2"/>
      </c:valAx>
    </c:plotArea>
    <c:legend>
      <c:legendPos val="r"/>
      <c:layout>
        <c:manualLayout>
          <c:xMode val="edge"/>
          <c:yMode val="edge"/>
          <c:x val="0.67002531557170653"/>
          <c:y val="0.13924063306800549"/>
          <c:w val="0.2491294117647059"/>
          <c:h val="0.14876996187284544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72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Efficiency!$U$15:$U$24</c:f>
              <c:numCache>
                <c:formatCode>0.0</c:formatCode>
                <c:ptCount val="10"/>
                <c:pt idx="0">
                  <c:v>93.434768995001065</c:v>
                </c:pt>
                <c:pt idx="1">
                  <c:v>94.291383979510471</c:v>
                </c:pt>
                <c:pt idx="2">
                  <c:v>94.019081686421018</c:v>
                </c:pt>
                <c:pt idx="3">
                  <c:v>93.451815424639449</c:v>
                </c:pt>
                <c:pt idx="4">
                  <c:v>92.756850459076205</c:v>
                </c:pt>
                <c:pt idx="5">
                  <c:v>91.986425358663979</c:v>
                </c:pt>
                <c:pt idx="6">
                  <c:v>91.158845604602845</c:v>
                </c:pt>
                <c:pt idx="7">
                  <c:v>90.2787884047262</c:v>
                </c:pt>
                <c:pt idx="8">
                  <c:v>89.407007674056459</c:v>
                </c:pt>
                <c:pt idx="9">
                  <c:v>88.467847246564716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Efficiency!$AO$15:$AO$24</c:f>
              <c:numCache>
                <c:formatCode>0.0</c:formatCode>
                <c:ptCount val="10"/>
                <c:pt idx="0">
                  <c:v>90.243376409397001</c:v>
                </c:pt>
                <c:pt idx="1">
                  <c:v>92.049475853937807</c:v>
                </c:pt>
                <c:pt idx="2">
                  <c:v>92.196406709799007</c:v>
                </c:pt>
                <c:pt idx="3">
                  <c:v>91.9110021875955</c:v>
                </c:pt>
                <c:pt idx="4">
                  <c:v>91.447571966700565</c:v>
                </c:pt>
                <c:pt idx="5">
                  <c:v>90.890493677744047</c:v>
                </c:pt>
                <c:pt idx="6">
                  <c:v>90.27441623780237</c:v>
                </c:pt>
                <c:pt idx="7">
                  <c:v>89.6148915716403</c:v>
                </c:pt>
                <c:pt idx="8">
                  <c:v>89.025185662984128</c:v>
                </c:pt>
                <c:pt idx="9">
                  <c:v>88.395752497678643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Efficiency!$BI$15:$BI$24</c:f>
              <c:numCache>
                <c:formatCode>0.0</c:formatCode>
                <c:ptCount val="10"/>
                <c:pt idx="0">
                  <c:v>87.329200367751938</c:v>
                </c:pt>
                <c:pt idx="1">
                  <c:v>89.979349723956915</c:v>
                </c:pt>
                <c:pt idx="2">
                  <c:v>90.478466937085315</c:v>
                </c:pt>
                <c:pt idx="3">
                  <c:v>90.410345311484988</c:v>
                </c:pt>
                <c:pt idx="4">
                  <c:v>90.10985963071883</c:v>
                </c:pt>
                <c:pt idx="5">
                  <c:v>89.690246497891891</c:v>
                </c:pt>
                <c:pt idx="6">
                  <c:v>89.199580977368726</c:v>
                </c:pt>
                <c:pt idx="7">
                  <c:v>88.661008052995712</c:v>
                </c:pt>
                <c:pt idx="8">
                  <c:v>88.211338329907065</c:v>
                </c:pt>
                <c:pt idx="9">
                  <c:v>87.72651958172311</c:v>
                </c:pt>
              </c:numCache>
            </c:numRef>
          </c:yVal>
          <c:smooth val="1"/>
        </c:ser>
        <c:axId val="225091584"/>
        <c:axId val="225093504"/>
      </c:scatterChart>
      <c:valAx>
        <c:axId val="225091584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69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93504"/>
        <c:crosses val="autoZero"/>
        <c:crossBetween val="midCat"/>
        <c:majorUnit val="0.25"/>
        <c:minorUnit val="0.125"/>
      </c:valAx>
      <c:valAx>
        <c:axId val="225093504"/>
        <c:scaling>
          <c:orientation val="minMax"/>
          <c:max val="95"/>
          <c:min val="6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18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091584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917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4035495563054707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72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Efficiency!$O$4:$O$13</c:f>
              <c:numCache>
                <c:formatCode>0.0</c:formatCode>
                <c:ptCount val="10"/>
                <c:pt idx="0">
                  <c:v>26.845223324618672</c:v>
                </c:pt>
                <c:pt idx="1">
                  <c:v>27.603950090657904</c:v>
                </c:pt>
                <c:pt idx="2">
                  <c:v>28.732778190784511</c:v>
                </c:pt>
                <c:pt idx="3">
                  <c:v>30.253814862698789</c:v>
                </c:pt>
                <c:pt idx="4">
                  <c:v>32.196166322355943</c:v>
                </c:pt>
                <c:pt idx="5">
                  <c:v>34.597404477520605</c:v>
                </c:pt>
                <c:pt idx="6">
                  <c:v>37.505581654810172</c:v>
                </c:pt>
                <c:pt idx="7">
                  <c:v>40.982025028349156</c:v>
                </c:pt>
                <c:pt idx="8">
                  <c:v>45.091749865515879</c:v>
                </c:pt>
                <c:pt idx="9">
                  <c:v>49.942102891557369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Efficiency!$AI$4:$AI$13</c:f>
              <c:numCache>
                <c:formatCode>0.0</c:formatCode>
                <c:ptCount val="10"/>
                <c:pt idx="0">
                  <c:v>27.808083807694793</c:v>
                </c:pt>
                <c:pt idx="1">
                  <c:v>28.687423190795808</c:v>
                </c:pt>
                <c:pt idx="2">
                  <c:v>29.817217725060559</c:v>
                </c:pt>
                <c:pt idx="3">
                  <c:v>31.210314762046288</c:v>
                </c:pt>
                <c:pt idx="4">
                  <c:v>32.882626963126512</c:v>
                </c:pt>
                <c:pt idx="5">
                  <c:v>34.853635917969321</c:v>
                </c:pt>
                <c:pt idx="6">
                  <c:v>37.147039269816645</c:v>
                </c:pt>
                <c:pt idx="7">
                  <c:v>39.79158678830666</c:v>
                </c:pt>
                <c:pt idx="8">
                  <c:v>42.80756899553738</c:v>
                </c:pt>
                <c:pt idx="9">
                  <c:v>46.244362931583666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Efficiency!$BC$4:$BC$13</c:f>
              <c:numCache>
                <c:formatCode>0.0</c:formatCode>
                <c:ptCount val="10"/>
                <c:pt idx="0">
                  <c:v>28.88693104037419</c:v>
                </c:pt>
                <c:pt idx="1">
                  <c:v>30.085789839962793</c:v>
                </c:pt>
                <c:pt idx="2">
                  <c:v>31.476037087588157</c:v>
                </c:pt>
                <c:pt idx="3">
                  <c:v>33.067535017686957</c:v>
                </c:pt>
                <c:pt idx="4">
                  <c:v>34.871929625134342</c:v>
                </c:pt>
                <c:pt idx="5">
                  <c:v>36.902911433710869</c:v>
                </c:pt>
                <c:pt idx="6">
                  <c:v>39.176537150482382</c:v>
                </c:pt>
                <c:pt idx="7">
                  <c:v>41.71162843346854</c:v>
                </c:pt>
                <c:pt idx="8">
                  <c:v>44.517133534491748</c:v>
                </c:pt>
                <c:pt idx="9">
                  <c:v>47.625522346836078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50832512"/>
        <c:axId val="50834432"/>
      </c:scatterChart>
      <c:valAx>
        <c:axId val="50832512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69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34432"/>
        <c:crosses val="autoZero"/>
        <c:crossBetween val="midCat"/>
        <c:majorUnit val="0.25"/>
        <c:minorUnit val="0.125"/>
      </c:valAx>
      <c:valAx>
        <c:axId val="50834432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32512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951"/>
          <c:w val="0.1685914260717412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28281527309086529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9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Efficiency!$O$15:$O$24</c:f>
              <c:numCache>
                <c:formatCode>0.0</c:formatCode>
                <c:ptCount val="10"/>
                <c:pt idx="0">
                  <c:v>86.927818629343221</c:v>
                </c:pt>
                <c:pt idx="1">
                  <c:v>87.887298012120127</c:v>
                </c:pt>
                <c:pt idx="2">
                  <c:v>89.36056722090872</c:v>
                </c:pt>
                <c:pt idx="3">
                  <c:v>91.381093593546041</c:v>
                </c:pt>
                <c:pt idx="4">
                  <c:v>93.992758569902549</c:v>
                </c:pt>
                <c:pt idx="5">
                  <c:v>97.252302222871336</c:v>
                </c:pt>
                <c:pt idx="6">
                  <c:v>101.23271859058418</c:v>
                </c:pt>
                <c:pt idx="7">
                  <c:v>106.028046502371</c:v>
                </c:pt>
                <c:pt idx="8">
                  <c:v>111.74178546813485</c:v>
                </c:pt>
                <c:pt idx="9">
                  <c:v>118.54232644103709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Efficiency!$AI$15:$AI$24</c:f>
              <c:numCache>
                <c:formatCode>0.0</c:formatCode>
                <c:ptCount val="10"/>
                <c:pt idx="0">
                  <c:v>87.879957022985963</c:v>
                </c:pt>
                <c:pt idx="1">
                  <c:v>88.893228821925959</c:v>
                </c:pt>
                <c:pt idx="2">
                  <c:v>90.250971064035397</c:v>
                </c:pt>
                <c:pt idx="3">
                  <c:v>91.971614110747751</c:v>
                </c:pt>
                <c:pt idx="4">
                  <c:v>94.077996727256433</c:v>
                </c:pt>
                <c:pt idx="5">
                  <c:v>96.598160369096291</c:v>
                </c:pt>
                <c:pt idx="6">
                  <c:v>99.566375990425655</c:v>
                </c:pt>
                <c:pt idx="7">
                  <c:v>103.024483476386</c:v>
                </c:pt>
                <c:pt idx="8">
                  <c:v>107.00348691808804</c:v>
                </c:pt>
                <c:pt idx="9">
                  <c:v>111.5758144658909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Efficiency!$BC$15:$BC$24</c:f>
              <c:numCache>
                <c:formatCode>0.0</c:formatCode>
                <c:ptCount val="10"/>
                <c:pt idx="0">
                  <c:v>88.949201134002479</c:v>
                </c:pt>
                <c:pt idx="1">
                  <c:v>90.248523982586192</c:v>
                </c:pt>
                <c:pt idx="2">
                  <c:v>91.809054990476625</c:v>
                </c:pt>
                <c:pt idx="3">
                  <c:v>93.644129690313378</c:v>
                </c:pt>
                <c:pt idx="4">
                  <c:v>95.769583565301019</c:v>
                </c:pt>
                <c:pt idx="5">
                  <c:v>98.204143296523668</c:v>
                </c:pt>
                <c:pt idx="6">
                  <c:v>100.96991196861332</c:v>
                </c:pt>
                <c:pt idx="7">
                  <c:v>104.09297513534284</c:v>
                </c:pt>
                <c:pt idx="8">
                  <c:v>107.58615178488355</c:v>
                </c:pt>
                <c:pt idx="9">
                  <c:v>111.49493175776701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Efficiency!$H$76:$H$77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Efficiency!$I$76:$I$77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50849280"/>
        <c:axId val="50851200"/>
      </c:scatterChart>
      <c:valAx>
        <c:axId val="50849280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97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51200"/>
        <c:crosses val="autoZero"/>
        <c:crossBetween val="midCat"/>
        <c:majorUnit val="0.25"/>
        <c:minorUnit val="0.125"/>
      </c:valAx>
      <c:valAx>
        <c:axId val="50851200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84928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3235845519478"/>
          <c:y val="0.15375943069877951"/>
          <c:w val="0.1487501562304714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0860892388451977"/>
          <c:y val="2.08453859585546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9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Efficiency!$N$4:$N$13</c:f>
              <c:numCache>
                <c:formatCode>0.0</c:formatCode>
                <c:ptCount val="10"/>
                <c:pt idx="0">
                  <c:v>26.639088975417973</c:v>
                </c:pt>
                <c:pt idx="1">
                  <c:v>28.41464903103132</c:v>
                </c:pt>
                <c:pt idx="2">
                  <c:v>30.3170665686728</c:v>
                </c:pt>
                <c:pt idx="3">
                  <c:v>32.336261989183782</c:v>
                </c:pt>
                <c:pt idx="4">
                  <c:v>34.461470571936424</c:v>
                </c:pt>
                <c:pt idx="5">
                  <c:v>36.680967999986308</c:v>
                </c:pt>
                <c:pt idx="6">
                  <c:v>38.98171574533896</c:v>
                </c:pt>
                <c:pt idx="7">
                  <c:v>41.348889461888909</c:v>
                </c:pt>
                <c:pt idx="8">
                  <c:v>43.276354042470061</c:v>
                </c:pt>
                <c:pt idx="9">
                  <c:v>45.148912710221808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Efficiency!$AH$4:$AH$13</c:f>
              <c:numCache>
                <c:formatCode>0.0</c:formatCode>
                <c:ptCount val="10"/>
                <c:pt idx="0">
                  <c:v>27.592599035091524</c:v>
                </c:pt>
                <c:pt idx="1">
                  <c:v>30.426945320210653</c:v>
                </c:pt>
                <c:pt idx="2">
                  <c:v>33.493258819173221</c:v>
                </c:pt>
                <c:pt idx="3">
                  <c:v>36.781913851493947</c:v>
                </c:pt>
                <c:pt idx="4">
                  <c:v>40.283363079118949</c:v>
                </c:pt>
                <c:pt idx="5">
                  <c:v>43.988052987675147</c:v>
                </c:pt>
                <c:pt idx="6">
                  <c:v>47.886326990256876</c:v>
                </c:pt>
                <c:pt idx="7">
                  <c:v>51.968311005508582</c:v>
                </c:pt>
                <c:pt idx="8">
                  <c:v>55.393512421754515</c:v>
                </c:pt>
                <c:pt idx="9">
                  <c:v>58.820615518731962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Efficiency!$AP$4:$AP$13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Efficiency!$BB$4:$BB$13</c:f>
              <c:numCache>
                <c:formatCode>0.0</c:formatCode>
                <c:ptCount val="10"/>
                <c:pt idx="0">
                  <c:v>28.075672745954801</c:v>
                </c:pt>
                <c:pt idx="1">
                  <c:v>31.440945758851559</c:v>
                </c:pt>
                <c:pt idx="2">
                  <c:v>35.08499197177867</c:v>
                </c:pt>
                <c:pt idx="3">
                  <c:v>38.997343433204854</c:v>
                </c:pt>
                <c:pt idx="4">
                  <c:v>43.167840786206753</c:v>
                </c:pt>
                <c:pt idx="5">
                  <c:v>47.586581503988938</c:v>
                </c:pt>
                <c:pt idx="6">
                  <c:v>52.243865590982452</c:v>
                </c:pt>
                <c:pt idx="7">
                  <c:v>57.130137174040911</c:v>
                </c:pt>
                <c:pt idx="8">
                  <c:v>61.236492640360623</c:v>
                </c:pt>
                <c:pt idx="9">
                  <c:v>65.356557574221995</c:v>
                </c:pt>
              </c:numCache>
            </c:numRef>
          </c:yVal>
          <c:smooth val="1"/>
        </c:ser>
        <c:axId val="50930816"/>
        <c:axId val="50932736"/>
      </c:scatterChart>
      <c:valAx>
        <c:axId val="50930816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97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2736"/>
        <c:crosses val="autoZero"/>
        <c:crossBetween val="midCat"/>
        <c:majorUnit val="0.25"/>
        <c:minorUnit val="0.125"/>
      </c:valAx>
      <c:valAx>
        <c:axId val="50932736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930816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281"/>
          <c:y val="0.10912902623573729"/>
          <c:w val="0.12461751371987591"/>
          <c:h val="0.15788446444194926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of D1</a:t>
            </a:r>
            <a:r>
              <a:rPr lang="en-US"/>
              <a:t>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5305336832895892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9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8.0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Efficiency!$B$15:$B$24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Efficiency!$N$15:$N$24</c:f>
              <c:numCache>
                <c:formatCode>0.0</c:formatCode>
                <c:ptCount val="10"/>
                <c:pt idx="0">
                  <c:v>86.340531995031156</c:v>
                </c:pt>
                <c:pt idx="1">
                  <c:v>87.818480346745687</c:v>
                </c:pt>
                <c:pt idx="2">
                  <c:v>89.421818091531435</c:v>
                </c:pt>
                <c:pt idx="3">
                  <c:v>91.137879731256845</c:v>
                </c:pt>
                <c:pt idx="4">
                  <c:v>92.953041289065553</c:v>
                </c:pt>
                <c:pt idx="5">
                  <c:v>94.852314064479941</c:v>
                </c:pt>
                <c:pt idx="6">
                  <c:v>96.818810631240495</c:v>
                </c:pt>
                <c:pt idx="7">
                  <c:v>98.833019467396852</c:v>
                </c:pt>
                <c:pt idx="8">
                  <c:v>100.39634019593859</c:v>
                </c:pt>
                <c:pt idx="9">
                  <c:v>101.88259479823905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Efficiency!$V$15:$V$24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Efficiency!$AH$15:$AH$24</c:f>
              <c:numCache>
                <c:formatCode>0.0</c:formatCode>
                <c:ptCount val="10"/>
                <c:pt idx="0">
                  <c:v>87.120239011274933</c:v>
                </c:pt>
                <c:pt idx="1">
                  <c:v>89.490121400792106</c:v>
                </c:pt>
                <c:pt idx="2">
                  <c:v>92.098513439107492</c:v>
                </c:pt>
                <c:pt idx="3">
                  <c:v>94.934433056394482</c:v>
                </c:pt>
                <c:pt idx="4">
                  <c:v>97.986946464636432</c:v>
                </c:pt>
                <c:pt idx="5">
                  <c:v>101.24505191813618</c:v>
                </c:pt>
                <c:pt idx="6">
                  <c:v>104.69754461187675</c:v>
                </c:pt>
                <c:pt idx="7">
                  <c:v>108.33285455942439</c:v>
                </c:pt>
                <c:pt idx="8">
                  <c:v>111.31066839313465</c:v>
                </c:pt>
                <c:pt idx="9">
                  <c:v>114.28885302088459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16.0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Efficiency!$AP$15:$AP$24</c:f>
              <c:numCache>
                <c:formatCode>0.00</c:formatCode>
                <c:ptCount val="10"/>
                <c:pt idx="0">
                  <c:v>0.25</c:v>
                </c:pt>
                <c:pt idx="1">
                  <c:v>0.5</c:v>
                </c:pt>
                <c:pt idx="2">
                  <c:v>0.75</c:v>
                </c:pt>
                <c:pt idx="3">
                  <c:v>1</c:v>
                </c:pt>
                <c:pt idx="4">
                  <c:v>1.25</c:v>
                </c:pt>
                <c:pt idx="5">
                  <c:v>1.5</c:v>
                </c:pt>
                <c:pt idx="6">
                  <c:v>1.75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</c:numCache>
            </c:numRef>
          </c:xVal>
          <c:yVal>
            <c:numRef>
              <c:f>Efficiency!$BB$15:$BB$24</c:f>
              <c:numCache>
                <c:formatCode>0.0</c:formatCode>
                <c:ptCount val="10"/>
                <c:pt idx="0">
                  <c:v>87.513574053018473</c:v>
                </c:pt>
                <c:pt idx="1">
                  <c:v>90.328239084787299</c:v>
                </c:pt>
                <c:pt idx="2">
                  <c:v>93.432114520416164</c:v>
                </c:pt>
                <c:pt idx="3">
                  <c:v>96.813709356095245</c:v>
                </c:pt>
                <c:pt idx="4">
                  <c:v>100.46185852240453</c:v>
                </c:pt>
                <c:pt idx="5">
                  <c:v>104.36565709865383</c:v>
                </c:pt>
                <c:pt idx="6">
                  <c:v>108.51439050633229</c:v>
                </c:pt>
                <c:pt idx="7">
                  <c:v>112.89745835160609</c:v>
                </c:pt>
                <c:pt idx="8">
                  <c:v>116.504061233475</c:v>
                </c:pt>
                <c:pt idx="9">
                  <c:v>120.1290709369607</c:v>
                </c:pt>
              </c:numCache>
            </c:numRef>
          </c:yVal>
          <c:smooth val="1"/>
        </c:ser>
        <c:axId val="51012352"/>
        <c:axId val="51014272"/>
      </c:scatterChart>
      <c:valAx>
        <c:axId val="51012352"/>
        <c:scaling>
          <c:orientation val="minMax"/>
          <c:max val="2.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697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4272"/>
        <c:crosses val="autoZero"/>
        <c:crossBetween val="midCat"/>
        <c:majorUnit val="0.25"/>
        <c:minorUnit val="0.125"/>
      </c:valAx>
      <c:valAx>
        <c:axId val="51014272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012352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2672759655043281"/>
          <c:y val="0.10912902623573729"/>
          <c:w val="0.12461751371987591"/>
          <c:h val="0.15788446444194926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Vout </a:t>
            </a:r>
            <a:r>
              <a:rPr lang="en-US" sz="1200" baseline="0"/>
              <a:t>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6268841394825637"/>
          <c:y val="2.08453859585547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72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Dropout!$C$4</c:f>
              <c:strCache>
                <c:ptCount val="1"/>
                <c:pt idx="0">
                  <c:v>2.50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Dropout!$Q$4:$Q$44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4.9146524280736132</c:v>
                </c:pt>
                <c:pt idx="30">
                  <c:v>4.7077233494901982</c:v>
                </c:pt>
                <c:pt idx="31">
                  <c:v>4.5007803057003573</c:v>
                </c:pt>
                <c:pt idx="32">
                  <c:v>4.2938233354354454</c:v>
                </c:pt>
                <c:pt idx="33">
                  <c:v>4.0868560997115768</c:v>
                </c:pt>
                <c:pt idx="34">
                  <c:v>3.8798811640744346</c:v>
                </c:pt>
                <c:pt idx="35">
                  <c:v>3.6728985285240161</c:v>
                </c:pt>
                <c:pt idx="36">
                  <c:v>3.4659081930603231</c:v>
                </c:pt>
                <c:pt idx="37">
                  <c:v>3.2589101576833541</c:v>
                </c:pt>
                <c:pt idx="38">
                  <c:v>3.0519044223931093</c:v>
                </c:pt>
                <c:pt idx="39">
                  <c:v>2.84489098718959</c:v>
                </c:pt>
                <c:pt idx="40">
                  <c:v>2.6378698520727957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Dropout!$R$4</c:f>
              <c:strCache>
                <c:ptCount val="1"/>
                <c:pt idx="0">
                  <c:v>1.67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Dropout!$AF$4:$AF$44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4.9990521327014221</c:v>
                </c:pt>
                <c:pt idx="30">
                  <c:v>4.951529081348423</c:v>
                </c:pt>
                <c:pt idx="31">
                  <c:v>4.7444316167968177</c:v>
                </c:pt>
                <c:pt idx="32">
                  <c:v>4.5373276796020621</c:v>
                </c:pt>
                <c:pt idx="33">
                  <c:v>4.330218476193143</c:v>
                </c:pt>
                <c:pt idx="34">
                  <c:v>4.1231061450984585</c:v>
                </c:pt>
                <c:pt idx="35">
                  <c:v>3.9159907278200792</c:v>
                </c:pt>
                <c:pt idx="36">
                  <c:v>3.708872224358005</c:v>
                </c:pt>
                <c:pt idx="37">
                  <c:v>3.5017506347122369</c:v>
                </c:pt>
                <c:pt idx="38">
                  <c:v>3.2946259588827718</c:v>
                </c:pt>
                <c:pt idx="39">
                  <c:v>3.0874981968696136</c:v>
                </c:pt>
                <c:pt idx="40">
                  <c:v>2.8803673486727601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Dropout!$AG$4</c:f>
              <c:strCache>
                <c:ptCount val="1"/>
                <c:pt idx="0">
                  <c:v>0.83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Dropout!$B$4:$B$44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Dropout!$AU$4:$AU$44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4.9990521327014221</c:v>
                </c:pt>
                <c:pt idx="30">
                  <c:v>4.9990521327014221</c:v>
                </c:pt>
                <c:pt idx="31">
                  <c:v>4.9475572566878911</c:v>
                </c:pt>
                <c:pt idx="32">
                  <c:v>4.7403676746426333</c:v>
                </c:pt>
                <c:pt idx="33">
                  <c:v>4.5331761585738546</c:v>
                </c:pt>
                <c:pt idx="34">
                  <c:v>4.3259838120375003</c:v>
                </c:pt>
                <c:pt idx="35">
                  <c:v>4.118790736878216</c:v>
                </c:pt>
                <c:pt idx="36">
                  <c:v>3.9115969330960039</c:v>
                </c:pt>
                <c:pt idx="37">
                  <c:v>3.704402400690864</c:v>
                </c:pt>
                <c:pt idx="38">
                  <c:v>3.4972071396627968</c:v>
                </c:pt>
                <c:pt idx="39">
                  <c:v>3.2900111500118001</c:v>
                </c:pt>
                <c:pt idx="40">
                  <c:v>3.0828144317378761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axId val="59026048"/>
        <c:axId val="59032320"/>
      </c:scatterChart>
      <c:valAx>
        <c:axId val="59026048"/>
        <c:scaling>
          <c:orientation val="minMax"/>
          <c:max val="11.4"/>
          <c:min val="3.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669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32320"/>
        <c:crosses val="autoZero"/>
        <c:crossBetween val="midCat"/>
        <c:majorUnit val="0.8"/>
        <c:minorUnit val="0.4"/>
      </c:valAx>
      <c:valAx>
        <c:axId val="59032320"/>
        <c:scaling>
          <c:orientation val="minMax"/>
          <c:max val="8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741E-2"/>
              <c:y val="0.3071604124798246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02604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8942600924884387"/>
          <c:y val="0.11191842651467626"/>
          <c:w val="0.1468136795400575"/>
          <c:h val="0.21524967328874686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Vout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19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Dropout!$C$47</c:f>
              <c:strCache>
                <c:ptCount val="1"/>
                <c:pt idx="0">
                  <c:v>2.50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Dropout!$Q$47:$Q$87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4.8065420877684746</c:v>
                </c:pt>
                <c:pt idx="30">
                  <c:v>4.6037188513615952</c:v>
                </c:pt>
                <c:pt idx="31">
                  <c:v>4.4008819268429056</c:v>
                </c:pt>
                <c:pt idx="32">
                  <c:v>4.1980313521752608</c:v>
                </c:pt>
                <c:pt idx="33">
                  <c:v>3.9951707157336842</c:v>
                </c:pt>
                <c:pt idx="34">
                  <c:v>3.7923025321588528</c:v>
                </c:pt>
                <c:pt idx="35">
                  <c:v>3.5894268014507662</c:v>
                </c:pt>
                <c:pt idx="36">
                  <c:v>3.3865435236094235</c:v>
                </c:pt>
                <c:pt idx="37">
                  <c:v>3.1836526986348246</c:v>
                </c:pt>
                <c:pt idx="38">
                  <c:v>2.9807543265269696</c:v>
                </c:pt>
                <c:pt idx="39">
                  <c:v>2.7778484072858594</c:v>
                </c:pt>
                <c:pt idx="40">
                  <c:v>2.5749349409114943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Dropout!$R$47</c:f>
              <c:strCache>
                <c:ptCount val="1"/>
                <c:pt idx="0">
                  <c:v>1.67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Dropout!$AF$47:$AF$87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4.9990521327014221</c:v>
                </c:pt>
                <c:pt idx="30">
                  <c:v>4.8442502981932973</c:v>
                </c:pt>
                <c:pt idx="31">
                  <c:v>4.6412620168963148</c:v>
                </c:pt>
                <c:pt idx="32">
                  <c:v>4.4382673913849722</c:v>
                </c:pt>
                <c:pt idx="33">
                  <c:v>4.235267604150553</c:v>
                </c:pt>
                <c:pt idx="34">
                  <c:v>4.0322647512892349</c:v>
                </c:pt>
                <c:pt idx="35">
                  <c:v>3.8292588734796129</c:v>
                </c:pt>
                <c:pt idx="36">
                  <c:v>3.6262499707216889</c:v>
                </c:pt>
                <c:pt idx="37">
                  <c:v>3.4232380430154614</c:v>
                </c:pt>
                <c:pt idx="38">
                  <c:v>3.2202230903609297</c:v>
                </c:pt>
                <c:pt idx="39">
                  <c:v>3.0172051127580959</c:v>
                </c:pt>
                <c:pt idx="40">
                  <c:v>2.8141841102069591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Dropout!$AG$47</c:f>
              <c:strCache>
                <c:ptCount val="1"/>
                <c:pt idx="0">
                  <c:v>0.83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Dropout!$B$47:$B$87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11.784999999999995</c:v>
                </c:pt>
                <c:pt idx="2">
                  <c:v>11.569999999999995</c:v>
                </c:pt>
                <c:pt idx="3">
                  <c:v>11.354999999999995</c:v>
                </c:pt>
                <c:pt idx="4">
                  <c:v>11.139999999999995</c:v>
                </c:pt>
                <c:pt idx="5">
                  <c:v>10.924999999999995</c:v>
                </c:pt>
                <c:pt idx="6">
                  <c:v>10.709999999999996</c:v>
                </c:pt>
                <c:pt idx="7">
                  <c:v>10.494999999999996</c:v>
                </c:pt>
                <c:pt idx="8">
                  <c:v>10.279999999999996</c:v>
                </c:pt>
                <c:pt idx="9">
                  <c:v>10.064999999999996</c:v>
                </c:pt>
                <c:pt idx="10">
                  <c:v>9.8499999999999961</c:v>
                </c:pt>
                <c:pt idx="11">
                  <c:v>9.6349999999999962</c:v>
                </c:pt>
                <c:pt idx="12">
                  <c:v>9.4199999999999964</c:v>
                </c:pt>
                <c:pt idx="13">
                  <c:v>9.2049999999999965</c:v>
                </c:pt>
                <c:pt idx="14">
                  <c:v>8.9899999999999967</c:v>
                </c:pt>
                <c:pt idx="15">
                  <c:v>8.7749999999999968</c:v>
                </c:pt>
                <c:pt idx="16">
                  <c:v>8.5599999999999969</c:v>
                </c:pt>
                <c:pt idx="17">
                  <c:v>8.3449999999999971</c:v>
                </c:pt>
                <c:pt idx="18">
                  <c:v>8.1299999999999972</c:v>
                </c:pt>
                <c:pt idx="19">
                  <c:v>7.9149999999999974</c:v>
                </c:pt>
                <c:pt idx="20">
                  <c:v>7.6999999999999975</c:v>
                </c:pt>
                <c:pt idx="21">
                  <c:v>7.4849999999999977</c:v>
                </c:pt>
                <c:pt idx="22">
                  <c:v>7.2699999999999978</c:v>
                </c:pt>
                <c:pt idx="23">
                  <c:v>7.0549999999999979</c:v>
                </c:pt>
                <c:pt idx="24">
                  <c:v>6.8399999999999981</c:v>
                </c:pt>
                <c:pt idx="25">
                  <c:v>6.6249999999999982</c:v>
                </c:pt>
                <c:pt idx="26">
                  <c:v>6.4099999999999984</c:v>
                </c:pt>
                <c:pt idx="27">
                  <c:v>6.1949999999999985</c:v>
                </c:pt>
                <c:pt idx="28">
                  <c:v>5.9799999999999986</c:v>
                </c:pt>
                <c:pt idx="29">
                  <c:v>5.7649999999999988</c:v>
                </c:pt>
                <c:pt idx="30">
                  <c:v>5.5499999999999989</c:v>
                </c:pt>
                <c:pt idx="31">
                  <c:v>5.3349999999999991</c:v>
                </c:pt>
                <c:pt idx="32">
                  <c:v>5.1199999999999992</c:v>
                </c:pt>
                <c:pt idx="33">
                  <c:v>4.9049999999999994</c:v>
                </c:pt>
                <c:pt idx="34">
                  <c:v>4.6899999999999995</c:v>
                </c:pt>
                <c:pt idx="35">
                  <c:v>4.4749999999999996</c:v>
                </c:pt>
                <c:pt idx="36">
                  <c:v>4.26</c:v>
                </c:pt>
                <c:pt idx="37">
                  <c:v>4.0449999999999999</c:v>
                </c:pt>
                <c:pt idx="38">
                  <c:v>3.8299999999999996</c:v>
                </c:pt>
                <c:pt idx="39">
                  <c:v>3.6149999999999998</c:v>
                </c:pt>
                <c:pt idx="40">
                  <c:v>3.4</c:v>
                </c:pt>
              </c:numCache>
            </c:numRef>
          </c:xVal>
          <c:yVal>
            <c:numRef>
              <c:f>Dropout!$AU$47:$AU$87</c:f>
              <c:numCache>
                <c:formatCode>0.000</c:formatCode>
                <c:ptCount val="41"/>
                <c:pt idx="0">
                  <c:v>4.9990521327014221</c:v>
                </c:pt>
                <c:pt idx="1">
                  <c:v>4.9990521327014221</c:v>
                </c:pt>
                <c:pt idx="2">
                  <c:v>4.9990521327014221</c:v>
                </c:pt>
                <c:pt idx="3">
                  <c:v>4.9990521327014221</c:v>
                </c:pt>
                <c:pt idx="4">
                  <c:v>4.9990521327014221</c:v>
                </c:pt>
                <c:pt idx="5">
                  <c:v>4.9990521327014221</c:v>
                </c:pt>
                <c:pt idx="6">
                  <c:v>4.9990521327014221</c:v>
                </c:pt>
                <c:pt idx="7">
                  <c:v>4.9990521327014221</c:v>
                </c:pt>
                <c:pt idx="8">
                  <c:v>4.9990521327014221</c:v>
                </c:pt>
                <c:pt idx="9">
                  <c:v>4.9990521327014221</c:v>
                </c:pt>
                <c:pt idx="10">
                  <c:v>4.9990521327014221</c:v>
                </c:pt>
                <c:pt idx="11">
                  <c:v>4.9990521327014221</c:v>
                </c:pt>
                <c:pt idx="12">
                  <c:v>4.9990521327014221</c:v>
                </c:pt>
                <c:pt idx="13">
                  <c:v>4.9990521327014221</c:v>
                </c:pt>
                <c:pt idx="14">
                  <c:v>4.9990521327014221</c:v>
                </c:pt>
                <c:pt idx="15">
                  <c:v>4.9990521327014221</c:v>
                </c:pt>
                <c:pt idx="16">
                  <c:v>4.9990521327014221</c:v>
                </c:pt>
                <c:pt idx="17">
                  <c:v>4.9990521327014221</c:v>
                </c:pt>
                <c:pt idx="18">
                  <c:v>4.9990521327014221</c:v>
                </c:pt>
                <c:pt idx="19">
                  <c:v>4.9990521327014221</c:v>
                </c:pt>
                <c:pt idx="20">
                  <c:v>4.9990521327014221</c:v>
                </c:pt>
                <c:pt idx="21">
                  <c:v>4.9990521327014221</c:v>
                </c:pt>
                <c:pt idx="22">
                  <c:v>4.9990521327014221</c:v>
                </c:pt>
                <c:pt idx="23">
                  <c:v>4.9990521327014221</c:v>
                </c:pt>
                <c:pt idx="24">
                  <c:v>4.9990521327014221</c:v>
                </c:pt>
                <c:pt idx="25">
                  <c:v>4.9990521327014221</c:v>
                </c:pt>
                <c:pt idx="26">
                  <c:v>4.9990521327014221</c:v>
                </c:pt>
                <c:pt idx="27">
                  <c:v>4.9990521327014221</c:v>
                </c:pt>
                <c:pt idx="28">
                  <c:v>4.9990521327014221</c:v>
                </c:pt>
                <c:pt idx="29">
                  <c:v>4.9990521327014221</c:v>
                </c:pt>
                <c:pt idx="30">
                  <c:v>4.9990521327014221</c:v>
                </c:pt>
                <c:pt idx="31">
                  <c:v>4.8424457985657652</c:v>
                </c:pt>
                <c:pt idx="32">
                  <c:v>4.6393672275505846</c:v>
                </c:pt>
                <c:pt idx="33">
                  <c:v>4.4362867608863619</c:v>
                </c:pt>
                <c:pt idx="34">
                  <c:v>4.2332054802325203</c:v>
                </c:pt>
                <c:pt idx="35">
                  <c:v>4.0301234854129291</c:v>
                </c:pt>
                <c:pt idx="36">
                  <c:v>3.8270407764275887</c:v>
                </c:pt>
                <c:pt idx="37">
                  <c:v>3.6239573532764999</c:v>
                </c:pt>
                <c:pt idx="38">
                  <c:v>3.4208732159596624</c:v>
                </c:pt>
                <c:pt idx="39">
                  <c:v>3.2177883644770748</c:v>
                </c:pt>
                <c:pt idx="40">
                  <c:v>3.0147027988287389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Dropout!$H$113:$H$114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Dropout!$I$113:$I$114</c:f>
              <c:numCache>
                <c:formatCode>General</c:formatCode>
                <c:ptCount val="2"/>
                <c:pt idx="0">
                  <c:v>1</c:v>
                </c:pt>
                <c:pt idx="1">
                  <c:v>8</c:v>
                </c:pt>
              </c:numCache>
            </c:numRef>
          </c:yVal>
          <c:smooth val="1"/>
        </c:ser>
        <c:axId val="59127680"/>
        <c:axId val="59133952"/>
      </c:scatterChart>
      <c:valAx>
        <c:axId val="59127680"/>
        <c:scaling>
          <c:orientation val="minMax"/>
          <c:max val="11.4"/>
          <c:min val="3.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697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33952"/>
        <c:crosses val="autoZero"/>
        <c:crossBetween val="midCat"/>
        <c:majorUnit val="0.8"/>
        <c:minorUnit val="0.4"/>
      </c:valAx>
      <c:valAx>
        <c:axId val="59133952"/>
        <c:scaling>
          <c:orientation val="minMax"/>
          <c:max val="8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1.5705224346956741E-2"/>
              <c:y val="0.3071604124798247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127680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752124734409656"/>
          <c:y val="0.12028662735149841"/>
          <c:w val="0.15673431446069536"/>
          <c:h val="0.1957238713361667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667"/>
          <c:y val="2.1798365122615852E-2"/>
        </c:manualLayout>
      </c:layout>
    </c:title>
    <c:plotArea>
      <c:layout>
        <c:manualLayout>
          <c:layoutTarget val="inner"/>
          <c:xMode val="edge"/>
          <c:yMode val="edge"/>
          <c:x val="0.13811863517060374"/>
          <c:y val="0.12319251646677797"/>
          <c:w val="0.82715987168271266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Eq val="1"/>
            <c:trendlineLbl>
              <c:layout>
                <c:manualLayout>
                  <c:x val="-0.16527850685331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Constants!$B$49:$B$53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Constants!$C$49:$C$53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</c:ser>
        <c:axId val="59167488"/>
        <c:axId val="59169408"/>
      </c:scatterChart>
      <c:valAx>
        <c:axId val="59167488"/>
        <c:scaling>
          <c:orientation val="minMax"/>
          <c:max val="8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59169408"/>
        <c:crosses val="autoZero"/>
        <c:crossBetween val="midCat"/>
        <c:majorUnit val="1"/>
        <c:minorUnit val="1"/>
      </c:valAx>
      <c:valAx>
        <c:axId val="59169408"/>
        <c:scaling>
          <c:orientation val="minMax"/>
          <c:max val="10.5"/>
          <c:min val="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708"/>
            </c:manualLayout>
          </c:layout>
        </c:title>
        <c:numFmt formatCode="0.0" sourceLinked="0"/>
        <c:tickLblPos val="nextTo"/>
        <c:crossAx val="591674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6294"/>
          <c:y val="0.14972044025831921"/>
          <c:w val="0.2491294117647059"/>
          <c:h val="0.12401320662871176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28576</xdr:colOff>
      <xdr:row>9</xdr:row>
      <xdr:rowOff>9525</xdr:rowOff>
    </xdr:from>
    <xdr:to>
      <xdr:col>14</xdr:col>
      <xdr:colOff>600076</xdr:colOff>
      <xdr:row>21</xdr:row>
      <xdr:rowOff>58070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77176" y="2124075"/>
          <a:ext cx="3657600" cy="29631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</xdr:colOff>
      <xdr:row>75</xdr:row>
      <xdr:rowOff>66676</xdr:rowOff>
    </xdr:from>
    <xdr:to>
      <xdr:col>8</xdr:col>
      <xdr:colOff>600075</xdr:colOff>
      <xdr:row>91</xdr:row>
      <xdr:rowOff>70045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16221076"/>
          <a:ext cx="7810500" cy="305136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171450</xdr:rowOff>
    </xdr:from>
    <xdr:to>
      <xdr:col>5</xdr:col>
      <xdr:colOff>473075</xdr:colOff>
      <xdr:row>31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123825</xdr:colOff>
      <xdr:row>1</xdr:row>
      <xdr:rowOff>179731</xdr:rowOff>
    </xdr:from>
    <xdr:to>
      <xdr:col>15</xdr:col>
      <xdr:colOff>419099</xdr:colOff>
      <xdr:row>14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1425" b="10130"/>
        <a:stretch>
          <a:fillRect/>
        </a:stretch>
      </xdr:blipFill>
      <xdr:spPr bwMode="auto">
        <a:xfrm>
          <a:off x="7972425" y="179731"/>
          <a:ext cx="3952874" cy="321116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24</xdr:row>
      <xdr:rowOff>76200</xdr:rowOff>
    </xdr:from>
    <xdr:to>
      <xdr:col>14</xdr:col>
      <xdr:colOff>219075</xdr:colOff>
      <xdr:row>48</xdr:row>
      <xdr:rowOff>57150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48</xdr:row>
      <xdr:rowOff>133350</xdr:rowOff>
    </xdr:from>
    <xdr:to>
      <xdr:col>14</xdr:col>
      <xdr:colOff>219075</xdr:colOff>
      <xdr:row>72</xdr:row>
      <xdr:rowOff>114300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285750</xdr:colOff>
      <xdr:row>24</xdr:row>
      <xdr:rowOff>80963</xdr:rowOff>
    </xdr:from>
    <xdr:to>
      <xdr:col>28</xdr:col>
      <xdr:colOff>419100</xdr:colOff>
      <xdr:row>48</xdr:row>
      <xdr:rowOff>61913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285750</xdr:colOff>
      <xdr:row>48</xdr:row>
      <xdr:rowOff>142875</xdr:rowOff>
    </xdr:from>
    <xdr:to>
      <xdr:col>28</xdr:col>
      <xdr:colOff>419100</xdr:colOff>
      <xdr:row>72</xdr:row>
      <xdr:rowOff>123825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38100</xdr:colOff>
      <xdr:row>24</xdr:row>
      <xdr:rowOff>85725</xdr:rowOff>
    </xdr:from>
    <xdr:to>
      <xdr:col>43</xdr:col>
      <xdr:colOff>171450</xdr:colOff>
      <xdr:row>48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38100</xdr:colOff>
      <xdr:row>48</xdr:row>
      <xdr:rowOff>152400</xdr:rowOff>
    </xdr:from>
    <xdr:to>
      <xdr:col>43</xdr:col>
      <xdr:colOff>171450</xdr:colOff>
      <xdr:row>72</xdr:row>
      <xdr:rowOff>133350</xdr:rowOff>
    </xdr:to>
    <xdr:graphicFrame macro="">
      <xdr:nvGraphicFramePr>
        <xdr:cNvPr id="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87</xdr:row>
      <xdr:rowOff>66675</xdr:rowOff>
    </xdr:from>
    <xdr:to>
      <xdr:col>14</xdr:col>
      <xdr:colOff>247649</xdr:colOff>
      <xdr:row>111</xdr:row>
      <xdr:rowOff>47625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333375</xdr:colOff>
      <xdr:row>87</xdr:row>
      <xdr:rowOff>66675</xdr:rowOff>
    </xdr:from>
    <xdr:to>
      <xdr:col>29</xdr:col>
      <xdr:colOff>19050</xdr:colOff>
      <xdr:row>111</xdr:row>
      <xdr:rowOff>47625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11</xdr:row>
      <xdr:rowOff>1</xdr:rowOff>
    </xdr:from>
    <xdr:to>
      <xdr:col>14</xdr:col>
      <xdr:colOff>209550</xdr:colOff>
      <xdr:row>20</xdr:row>
      <xdr:rowOff>130874</xdr:rowOff>
    </xdr:to>
    <xdr:pic>
      <xdr:nvPicPr>
        <xdr:cNvPr id="17" name="Picture 16" descr="8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2590801"/>
          <a:ext cx="3200400" cy="2188273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285750</xdr:colOff>
      <xdr:row>11</xdr:row>
      <xdr:rowOff>1</xdr:rowOff>
    </xdr:from>
    <xdr:to>
      <xdr:col>19</xdr:col>
      <xdr:colOff>438150</xdr:colOff>
      <xdr:row>20</xdr:row>
      <xdr:rowOff>130874</xdr:rowOff>
    </xdr:to>
    <xdr:pic>
      <xdr:nvPicPr>
        <xdr:cNvPr id="18" name="Picture 17" descr="82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229850" y="2590801"/>
          <a:ext cx="3200400" cy="2188273"/>
        </a:xfrm>
        <a:prstGeom prst="rect">
          <a:avLst/>
        </a:prstGeom>
      </xdr:spPr>
    </xdr:pic>
    <xdr:clientData/>
  </xdr:twoCellAnchor>
  <xdr:twoCellAnchor>
    <xdr:from>
      <xdr:col>7</xdr:col>
      <xdr:colOff>114299</xdr:colOff>
      <xdr:row>37</xdr:row>
      <xdr:rowOff>0</xdr:rowOff>
    </xdr:from>
    <xdr:to>
      <xdr:col>14</xdr:col>
      <xdr:colOff>161924</xdr:colOff>
      <xdr:row>54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</xdr:colOff>
      <xdr:row>20</xdr:row>
      <xdr:rowOff>180977</xdr:rowOff>
    </xdr:from>
    <xdr:to>
      <xdr:col>16</xdr:col>
      <xdr:colOff>104775</xdr:colOff>
      <xdr:row>35</xdr:row>
      <xdr:rowOff>219075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381001</xdr:colOff>
      <xdr:row>16</xdr:row>
      <xdr:rowOff>133350</xdr:rowOff>
    </xdr:from>
    <xdr:to>
      <xdr:col>14</xdr:col>
      <xdr:colOff>9525</xdr:colOff>
      <xdr:row>17</xdr:row>
      <xdr:rowOff>209550</xdr:rowOff>
    </xdr:to>
    <xdr:sp macro="" textlink="">
      <xdr:nvSpPr>
        <xdr:cNvPr id="13" name="TextBox 12"/>
        <xdr:cNvSpPr txBox="1"/>
      </xdr:nvSpPr>
      <xdr:spPr>
        <a:xfrm>
          <a:off x="7277101" y="3867150"/>
          <a:ext cx="267652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14</xdr:col>
      <xdr:colOff>552451</xdr:colOff>
      <xdr:row>16</xdr:row>
      <xdr:rowOff>123826</xdr:rowOff>
    </xdr:from>
    <xdr:to>
      <xdr:col>19</xdr:col>
      <xdr:colOff>219075</xdr:colOff>
      <xdr:row>17</xdr:row>
      <xdr:rowOff>200026</xdr:rowOff>
    </xdr:to>
    <xdr:sp macro="" textlink="">
      <xdr:nvSpPr>
        <xdr:cNvPr id="14" name="TextBox 13"/>
        <xdr:cNvSpPr txBox="1"/>
      </xdr:nvSpPr>
      <xdr:spPr>
        <a:xfrm>
          <a:off x="10496551" y="3857626"/>
          <a:ext cx="271462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96"/>
  <sheetViews>
    <sheetView tabSelected="1" workbookViewId="0">
      <selection sqref="A1:I1"/>
    </sheetView>
  </sheetViews>
  <sheetFormatPr defaultRowHeight="15"/>
  <cols>
    <col min="1" max="1" width="20.7109375" style="4" customWidth="1"/>
    <col min="2" max="4" width="12.7109375" style="6" customWidth="1"/>
    <col min="5" max="5" width="15.7109375" style="5" customWidth="1"/>
    <col min="6" max="6" width="15.7109375" style="6" customWidth="1"/>
    <col min="7" max="8" width="9.140625" style="6"/>
    <col min="9" max="10" width="9.140625" style="6" customWidth="1"/>
    <col min="11" max="11" width="9.140625" style="6"/>
    <col min="12" max="12" width="9.7109375" style="6" bestFit="1" customWidth="1"/>
    <col min="13" max="16" width="9.140625" style="6"/>
  </cols>
  <sheetData>
    <row r="1" spans="1:16" ht="24" customHeight="1" thickBot="1">
      <c r="A1" s="389" t="s">
        <v>351</v>
      </c>
      <c r="B1" s="390"/>
      <c r="C1" s="390"/>
      <c r="D1" s="390"/>
      <c r="E1" s="390"/>
      <c r="F1" s="390"/>
      <c r="G1" s="390"/>
      <c r="H1" s="390"/>
      <c r="I1" s="391"/>
    </row>
    <row r="2" spans="1:16" ht="24" customHeight="1" thickBot="1">
      <c r="A2" s="413" t="s">
        <v>157</v>
      </c>
      <c r="B2" s="414"/>
      <c r="C2" s="414"/>
      <c r="D2" s="414"/>
      <c r="E2" s="414"/>
      <c r="F2" s="414"/>
      <c r="G2" s="414"/>
      <c r="H2" s="414"/>
      <c r="I2" s="415"/>
    </row>
    <row r="3" spans="1:16" s="2" customFormat="1" ht="18" customHeight="1" thickBot="1">
      <c r="A3" s="90" t="s">
        <v>133</v>
      </c>
      <c r="B3" s="42" t="s">
        <v>32</v>
      </c>
      <c r="C3" s="42" t="s">
        <v>33</v>
      </c>
      <c r="D3" s="42" t="s">
        <v>34</v>
      </c>
      <c r="E3" s="43" t="s">
        <v>35</v>
      </c>
      <c r="F3" s="373" t="s">
        <v>37</v>
      </c>
      <c r="G3" s="374"/>
      <c r="H3" s="374"/>
      <c r="I3" s="375"/>
      <c r="J3" s="3"/>
      <c r="K3" s="3"/>
      <c r="L3" s="3"/>
      <c r="M3" s="3"/>
      <c r="N3" s="3"/>
      <c r="O3" s="3"/>
      <c r="P3" s="3"/>
    </row>
    <row r="4" spans="1:16" ht="18" customHeight="1" thickBot="1">
      <c r="A4" s="44" t="s">
        <v>322</v>
      </c>
      <c r="B4" s="249">
        <v>8</v>
      </c>
      <c r="C4" s="249">
        <v>12</v>
      </c>
      <c r="D4" s="249">
        <v>16</v>
      </c>
      <c r="E4" s="23" t="s">
        <v>2</v>
      </c>
      <c r="F4" s="376" t="str">
        <f>IF(B4&lt;Constants!D7,"Vin_min is lower than UVLO Stop_max","Steady-state input operating voltages")</f>
        <v>Steady-state input operating voltages</v>
      </c>
      <c r="G4" s="377"/>
      <c r="H4" s="377"/>
      <c r="I4" s="378"/>
    </row>
    <row r="5" spans="1:16" ht="18" customHeight="1" thickBot="1">
      <c r="A5" s="44" t="s">
        <v>323</v>
      </c>
      <c r="B5" s="249">
        <v>7.8</v>
      </c>
      <c r="C5" s="299" t="s">
        <v>23</v>
      </c>
      <c r="D5" s="300" t="s">
        <v>23</v>
      </c>
      <c r="E5" s="13" t="s">
        <v>2</v>
      </c>
      <c r="F5" s="335" t="s">
        <v>324</v>
      </c>
      <c r="G5" s="343"/>
      <c r="H5" s="343"/>
      <c r="I5" s="344"/>
    </row>
    <row r="6" spans="1:16" ht="18" customHeight="1" thickBot="1">
      <c r="A6" s="45" t="s">
        <v>50</v>
      </c>
      <c r="B6" s="301" t="s">
        <v>23</v>
      </c>
      <c r="C6" s="302">
        <v>5</v>
      </c>
      <c r="D6" s="62" t="s">
        <v>23</v>
      </c>
      <c r="E6" s="13" t="s">
        <v>2</v>
      </c>
      <c r="F6" s="370" t="s">
        <v>91</v>
      </c>
      <c r="G6" s="371"/>
      <c r="H6" s="371"/>
      <c r="I6" s="372"/>
    </row>
    <row r="7" spans="1:16" ht="18" customHeight="1" thickBot="1">
      <c r="A7" s="45" t="s">
        <v>75</v>
      </c>
      <c r="B7" s="303" t="s">
        <v>23</v>
      </c>
      <c r="C7" s="342" t="s">
        <v>23</v>
      </c>
      <c r="D7" s="304">
        <v>2.5</v>
      </c>
      <c r="E7" s="23" t="s">
        <v>68</v>
      </c>
      <c r="F7" s="370" t="s">
        <v>92</v>
      </c>
      <c r="G7" s="371"/>
      <c r="H7" s="371"/>
      <c r="I7" s="372"/>
    </row>
    <row r="8" spans="1:16" ht="18" customHeight="1" thickBot="1">
      <c r="A8" s="45" t="s">
        <v>136</v>
      </c>
      <c r="B8" s="305" t="s">
        <v>23</v>
      </c>
      <c r="C8" s="306" t="s">
        <v>23</v>
      </c>
      <c r="D8" s="58">
        <v>1.6</v>
      </c>
      <c r="E8" s="23" t="s">
        <v>25</v>
      </c>
      <c r="F8" s="370" t="s">
        <v>151</v>
      </c>
      <c r="G8" s="371"/>
      <c r="H8" s="371"/>
      <c r="I8" s="372"/>
    </row>
    <row r="9" spans="1:16" ht="18" customHeight="1" thickBot="1">
      <c r="A9" s="45" t="s">
        <v>135</v>
      </c>
      <c r="B9" s="307" t="s">
        <v>23</v>
      </c>
      <c r="C9" s="60" t="s">
        <v>23</v>
      </c>
      <c r="D9" s="58">
        <v>1.6</v>
      </c>
      <c r="E9" s="23" t="s">
        <v>25</v>
      </c>
      <c r="F9" s="370" t="s">
        <v>151</v>
      </c>
      <c r="G9" s="371"/>
      <c r="H9" s="371"/>
      <c r="I9" s="372"/>
    </row>
    <row r="10" spans="1:16" ht="18" customHeight="1" thickBot="1">
      <c r="A10" s="44" t="s">
        <v>134</v>
      </c>
      <c r="B10" s="58">
        <v>-20</v>
      </c>
      <c r="C10" s="308" t="s">
        <v>23</v>
      </c>
      <c r="D10" s="58">
        <v>20</v>
      </c>
      <c r="E10" s="23" t="s">
        <v>25</v>
      </c>
      <c r="F10" s="370" t="s">
        <v>59</v>
      </c>
      <c r="G10" s="371"/>
      <c r="H10" s="371"/>
      <c r="I10" s="372"/>
    </row>
    <row r="11" spans="1:16" ht="18" customHeight="1" thickBot="1">
      <c r="A11" s="46" t="s">
        <v>71</v>
      </c>
      <c r="B11" s="309" t="s">
        <v>23</v>
      </c>
      <c r="C11" s="310">
        <v>2</v>
      </c>
      <c r="D11" s="62" t="s">
        <v>23</v>
      </c>
      <c r="E11" s="38" t="s">
        <v>38</v>
      </c>
      <c r="F11" s="395" t="s">
        <v>67</v>
      </c>
      <c r="G11" s="396"/>
      <c r="H11" s="396"/>
      <c r="I11" s="397"/>
    </row>
    <row r="12" spans="1:16" ht="18" customHeight="1" thickBot="1">
      <c r="A12" s="39" t="s">
        <v>143</v>
      </c>
      <c r="B12" s="40" t="s">
        <v>23</v>
      </c>
      <c r="C12" s="37">
        <v>34</v>
      </c>
      <c r="D12" s="54" t="s">
        <v>23</v>
      </c>
      <c r="E12" s="41" t="s">
        <v>24</v>
      </c>
      <c r="F12" s="407" t="s">
        <v>281</v>
      </c>
      <c r="G12" s="408"/>
      <c r="H12" s="408"/>
      <c r="I12" s="409"/>
    </row>
    <row r="13" spans="1:16" ht="18" customHeight="1" thickBot="1">
      <c r="A13" s="55" t="s">
        <v>103</v>
      </c>
      <c r="B13" s="56" t="s">
        <v>23</v>
      </c>
      <c r="C13" s="57" t="s">
        <v>23</v>
      </c>
      <c r="D13" s="58">
        <v>85</v>
      </c>
      <c r="E13" s="59" t="s">
        <v>102</v>
      </c>
      <c r="F13" s="398" t="s">
        <v>161</v>
      </c>
      <c r="G13" s="399"/>
      <c r="H13" s="399"/>
      <c r="I13" s="400"/>
    </row>
    <row r="14" spans="1:16" ht="18" customHeight="1" thickBot="1">
      <c r="A14" s="380" t="s">
        <v>240</v>
      </c>
      <c r="B14" s="381"/>
      <c r="C14" s="382"/>
      <c r="D14" s="220" t="s">
        <v>35</v>
      </c>
      <c r="E14" s="381" t="s">
        <v>37</v>
      </c>
      <c r="F14" s="381"/>
      <c r="G14" s="381"/>
      <c r="H14" s="381"/>
      <c r="I14" s="383"/>
    </row>
    <row r="15" spans="1:16" ht="18" customHeight="1" thickBot="1">
      <c r="A15" s="252" t="s">
        <v>231</v>
      </c>
      <c r="B15" s="215">
        <v>0.2</v>
      </c>
      <c r="C15" s="216">
        <v>0.32</v>
      </c>
      <c r="D15" s="217" t="s">
        <v>228</v>
      </c>
      <c r="E15" s="384" t="s">
        <v>247</v>
      </c>
      <c r="F15" s="385"/>
      <c r="G15" s="385"/>
      <c r="H15" s="385"/>
      <c r="I15" s="386"/>
      <c r="M15" s="246"/>
    </row>
    <row r="16" spans="1:16" ht="18" customHeight="1" thickBot="1">
      <c r="A16" s="135" t="s">
        <v>232</v>
      </c>
      <c r="B16" s="215">
        <v>2</v>
      </c>
      <c r="C16" s="216">
        <v>0.46</v>
      </c>
      <c r="D16" s="218" t="s">
        <v>228</v>
      </c>
      <c r="E16" s="370" t="s">
        <v>248</v>
      </c>
      <c r="F16" s="371"/>
      <c r="G16" s="371"/>
      <c r="H16" s="371"/>
      <c r="I16" s="372"/>
    </row>
    <row r="17" spans="1:16" ht="18" customHeight="1" thickBot="1">
      <c r="A17" s="135" t="s">
        <v>233</v>
      </c>
      <c r="B17" s="215">
        <v>4</v>
      </c>
      <c r="C17" s="216">
        <v>0.51</v>
      </c>
      <c r="D17" s="218" t="s">
        <v>228</v>
      </c>
      <c r="E17" s="370" t="s">
        <v>249</v>
      </c>
      <c r="F17" s="371"/>
      <c r="G17" s="371"/>
      <c r="H17" s="371"/>
      <c r="I17" s="372"/>
      <c r="K17" s="244"/>
      <c r="L17" s="245"/>
      <c r="M17" s="245"/>
      <c r="N17" s="245"/>
      <c r="O17" s="245"/>
      <c r="P17" s="245"/>
    </row>
    <row r="18" spans="1:16" ht="18" customHeight="1" thickBot="1">
      <c r="A18" s="135" t="s">
        <v>273</v>
      </c>
      <c r="B18" s="416">
        <v>-1</v>
      </c>
      <c r="C18" s="417"/>
      <c r="D18" s="218" t="s">
        <v>229</v>
      </c>
      <c r="E18" s="371" t="s">
        <v>272</v>
      </c>
      <c r="F18" s="371"/>
      <c r="G18" s="371"/>
      <c r="H18" s="371"/>
      <c r="I18" s="372"/>
      <c r="K18" s="258"/>
      <c r="L18" s="245"/>
      <c r="M18" s="245"/>
      <c r="N18" s="245"/>
      <c r="O18" s="245"/>
      <c r="P18" s="245"/>
    </row>
    <row r="19" spans="1:16" ht="18" customHeight="1" thickBot="1">
      <c r="A19" s="261" t="s">
        <v>274</v>
      </c>
      <c r="B19" s="387">
        <v>57</v>
      </c>
      <c r="C19" s="388"/>
      <c r="D19" s="41" t="s">
        <v>24</v>
      </c>
      <c r="E19" s="257" t="s">
        <v>275</v>
      </c>
      <c r="F19" s="259"/>
      <c r="G19" s="259"/>
      <c r="H19" s="259"/>
      <c r="I19" s="260"/>
    </row>
    <row r="20" spans="1:16" ht="32.1" customHeight="1" thickBot="1">
      <c r="A20" s="410" t="s">
        <v>177</v>
      </c>
      <c r="B20" s="411"/>
      <c r="C20" s="411"/>
      <c r="D20" s="411"/>
      <c r="E20" s="411"/>
      <c r="F20" s="411"/>
      <c r="G20" s="411"/>
      <c r="H20" s="411"/>
      <c r="I20" s="412"/>
    </row>
    <row r="21" spans="1:16" s="2" customFormat="1" ht="18" customHeight="1">
      <c r="A21" s="132" t="s">
        <v>31</v>
      </c>
      <c r="B21" s="243" t="s">
        <v>30</v>
      </c>
      <c r="C21" s="243" t="s">
        <v>35</v>
      </c>
      <c r="D21" s="404" t="s">
        <v>37</v>
      </c>
      <c r="E21" s="405"/>
      <c r="F21" s="405"/>
      <c r="G21" s="405"/>
      <c r="H21" s="405"/>
      <c r="I21" s="406"/>
      <c r="J21" s="3"/>
      <c r="K21" s="3"/>
      <c r="L21" s="3"/>
      <c r="M21" s="3"/>
      <c r="N21" s="3"/>
      <c r="O21" s="3"/>
      <c r="P21" s="3"/>
    </row>
    <row r="22" spans="1:16" s="2" customFormat="1" ht="18" customHeight="1">
      <c r="A22" s="401" t="s">
        <v>258</v>
      </c>
      <c r="B22" s="402"/>
      <c r="C22" s="402"/>
      <c r="D22" s="402"/>
      <c r="E22" s="402"/>
      <c r="F22" s="402"/>
      <c r="G22" s="402"/>
      <c r="H22" s="402"/>
      <c r="I22" s="403"/>
      <c r="J22" s="3"/>
      <c r="K22" s="3"/>
      <c r="L22" s="3"/>
      <c r="M22" s="3"/>
      <c r="N22" s="3"/>
      <c r="O22" s="3"/>
      <c r="P22" s="3"/>
    </row>
    <row r="23" spans="1:16" ht="18" customHeight="1" thickBot="1">
      <c r="A23" s="47" t="s">
        <v>51</v>
      </c>
      <c r="B23" s="349">
        <f>Constants!C5*1000*Design!C6/Constants!C3/1000</f>
        <v>222.5</v>
      </c>
      <c r="C23" s="349"/>
      <c r="D23" s="16" t="s">
        <v>66</v>
      </c>
      <c r="E23" s="20" t="s">
        <v>89</v>
      </c>
      <c r="F23" s="18"/>
      <c r="G23" s="18"/>
      <c r="H23" s="18"/>
      <c r="I23" s="48"/>
      <c r="K23" s="247" t="s">
        <v>276</v>
      </c>
    </row>
    <row r="24" spans="1:16" ht="18" customHeight="1" thickBot="1">
      <c r="A24" s="95" t="s">
        <v>53</v>
      </c>
      <c r="B24" s="351">
        <v>221.5</v>
      </c>
      <c r="C24" s="352"/>
      <c r="D24" s="96" t="s">
        <v>178</v>
      </c>
      <c r="E24" s="20" t="s">
        <v>93</v>
      </c>
      <c r="F24" s="18"/>
      <c r="G24" s="18"/>
      <c r="H24" s="18"/>
      <c r="I24" s="48"/>
    </row>
    <row r="25" spans="1:16" ht="18" customHeight="1" thickBot="1">
      <c r="A25" s="47" t="s">
        <v>52</v>
      </c>
      <c r="B25" s="349">
        <f>1000/((1/Constants!C5*1000)-(1/Design!B23*1000))</f>
        <v>42.380952380952387</v>
      </c>
      <c r="C25" s="349"/>
      <c r="D25" s="16" t="s">
        <v>66</v>
      </c>
      <c r="E25" s="20" t="s">
        <v>90</v>
      </c>
      <c r="F25" s="18"/>
      <c r="G25" s="18"/>
      <c r="H25" s="18"/>
      <c r="I25" s="48"/>
    </row>
    <row r="26" spans="1:16" ht="18" customHeight="1" thickBot="1">
      <c r="A26" s="95" t="s">
        <v>54</v>
      </c>
      <c r="B26" s="351">
        <v>42.2</v>
      </c>
      <c r="C26" s="352"/>
      <c r="D26" s="96" t="s">
        <v>178</v>
      </c>
      <c r="E26" s="20" t="s">
        <v>93</v>
      </c>
      <c r="F26" s="18"/>
      <c r="G26" s="18"/>
      <c r="H26" s="18"/>
      <c r="I26" s="48"/>
    </row>
    <row r="27" spans="1:16" ht="18" customHeight="1" thickBot="1">
      <c r="A27" s="95" t="s">
        <v>285</v>
      </c>
      <c r="B27" s="337">
        <f>1.5*B25/B23*Constants!B60</f>
        <v>4.2857142857142865</v>
      </c>
      <c r="C27" s="337">
        <f>1.6*B25/B23*Constants!B61</f>
        <v>7.6190476190476213</v>
      </c>
      <c r="D27" s="96" t="s">
        <v>18</v>
      </c>
      <c r="E27" s="79" t="s">
        <v>328</v>
      </c>
      <c r="F27" s="18"/>
      <c r="G27" s="18"/>
      <c r="H27" s="18"/>
      <c r="I27" s="48"/>
    </row>
    <row r="28" spans="1:16" ht="18" customHeight="1">
      <c r="A28" s="392" t="s">
        <v>170</v>
      </c>
      <c r="B28" s="393"/>
      <c r="C28" s="393"/>
      <c r="D28" s="393"/>
      <c r="E28" s="393"/>
      <c r="F28" s="393"/>
      <c r="G28" s="393"/>
      <c r="H28" s="393"/>
      <c r="I28" s="394"/>
    </row>
    <row r="29" spans="1:16" ht="18" customHeight="1">
      <c r="A29" s="47" t="s">
        <v>150</v>
      </c>
      <c r="B29" s="338">
        <f>Constants!B3*(1+(1-D8/100)*IF(ISBLANK(B24),B23,B24)/((1+D9/100)*IF(ISBLANK(B26),B25,B26)))</f>
        <v>4.8181305370004104</v>
      </c>
      <c r="C29" s="338">
        <f>Constants!C3*(1+IF(ISBLANK(B24),B23,B24)/IF(ISBLANK(B26),B25,B26))</f>
        <v>4.9990521327014221</v>
      </c>
      <c r="D29" s="338">
        <f>Constants!D3*(1+(1+D8/100)*IF(ISBLANK(B24),B23,B24)/((1-D9/100)*IF(ISBLANK(B26),B25,B26)))</f>
        <v>5.1869627403383038</v>
      </c>
      <c r="E29" s="20" t="s">
        <v>149</v>
      </c>
      <c r="F29" s="18"/>
      <c r="G29" s="18"/>
      <c r="H29" s="18"/>
      <c r="I29" s="48"/>
    </row>
    <row r="30" spans="1:16" ht="18" customHeight="1" thickBot="1">
      <c r="A30" s="47" t="s">
        <v>238</v>
      </c>
      <c r="B30" s="334">
        <f ca="1">MIN(Efficiency!AR4:AR13,Efficiency!AR15:AR24)</f>
        <v>32.514223186648152</v>
      </c>
      <c r="C30" s="334">
        <f ca="1">AVERAGE(Efficiency!X4:X13,Efficiency!X15:X24)</f>
        <v>44.690754170188391</v>
      </c>
      <c r="D30" s="334">
        <f ca="1">MAX(Efficiency!D4:D13,Efficiency!D15:D24)</f>
        <v>70.053302027774549</v>
      </c>
      <c r="E30" s="20" t="s">
        <v>239</v>
      </c>
      <c r="F30" s="204"/>
      <c r="G30" s="18"/>
      <c r="H30" s="18"/>
      <c r="I30" s="48"/>
    </row>
    <row r="31" spans="1:16" ht="18" customHeight="1">
      <c r="A31" s="392" t="s">
        <v>137</v>
      </c>
      <c r="B31" s="393"/>
      <c r="C31" s="393"/>
      <c r="D31" s="393"/>
      <c r="E31" s="393"/>
      <c r="F31" s="393"/>
      <c r="G31" s="393"/>
      <c r="H31" s="393"/>
      <c r="I31" s="394"/>
      <c r="L31" s="5"/>
    </row>
    <row r="32" spans="1:16" ht="18" customHeight="1" thickBot="1">
      <c r="A32" s="248" t="s">
        <v>43</v>
      </c>
      <c r="B32" s="339">
        <f ca="1">MIN($B$30/100/Constants!D$19/0.000000001/1000000, Constants!D17)</f>
        <v>2.4500000000000002</v>
      </c>
      <c r="C32" s="315" t="s">
        <v>16</v>
      </c>
      <c r="D32" s="21" t="s">
        <v>189</v>
      </c>
      <c r="E32" s="16"/>
      <c r="F32" s="18"/>
      <c r="G32" s="18"/>
      <c r="H32" s="18"/>
      <c r="I32" s="48"/>
    </row>
    <row r="33" spans="1:14" ht="18" customHeight="1" thickBot="1">
      <c r="A33" s="248" t="s">
        <v>41</v>
      </c>
      <c r="B33" s="340">
        <v>0.42499999999999999</v>
      </c>
      <c r="C33" s="315" t="s">
        <v>16</v>
      </c>
      <c r="D33" s="87" t="s">
        <v>187</v>
      </c>
      <c r="E33" s="131" t="str">
        <f ca="1">IF(D30&gt;B36," See the DROPOUT tab for operation approaching Vin_min "," ")</f>
        <v xml:space="preserve"> </v>
      </c>
      <c r="F33" s="110"/>
      <c r="G33" s="111"/>
      <c r="H33" s="107"/>
      <c r="I33" s="48"/>
      <c r="M33" s="5"/>
      <c r="N33" s="106"/>
    </row>
    <row r="34" spans="1:14" ht="18" customHeight="1">
      <c r="A34" s="98" t="s">
        <v>179</v>
      </c>
      <c r="B34" s="99">
        <f>(26385/IF(ISBLANK(B33),1000*B32,1000*B33)-2.75)</f>
        <v>59.332352941176474</v>
      </c>
      <c r="C34" s="321" t="s">
        <v>178</v>
      </c>
      <c r="D34" s="21" t="s">
        <v>86</v>
      </c>
      <c r="E34" s="16"/>
      <c r="F34" s="18"/>
      <c r="G34" s="18"/>
      <c r="H34" s="18"/>
      <c r="I34" s="48"/>
      <c r="L34" s="5"/>
    </row>
    <row r="35" spans="1:14" ht="18" customHeight="1">
      <c r="A35" s="248" t="s">
        <v>237</v>
      </c>
      <c r="B35" s="337">
        <f>100*IF(ISBLANK(B33),B32,B33)*1000000*Constants!C19/1000000000</f>
        <v>3.6124999999999998</v>
      </c>
      <c r="C35" s="337">
        <f>100*IF(ISBLANK(B33),B32,B33)*1000000*Constants!D19/1000000000</f>
        <v>5.0999999999999996</v>
      </c>
      <c r="D35" s="20" t="s">
        <v>277</v>
      </c>
      <c r="E35" s="206"/>
      <c r="F35" s="18"/>
      <c r="G35" s="18"/>
      <c r="H35" s="18"/>
      <c r="I35" s="48"/>
      <c r="K35" s="105"/>
      <c r="L35" s="5"/>
      <c r="M35" s="5"/>
      <c r="N35" s="106"/>
    </row>
    <row r="36" spans="1:14" ht="18" customHeight="1">
      <c r="A36" s="248" t="s">
        <v>236</v>
      </c>
      <c r="B36" s="207">
        <f>100*(1-IF(ISBLANK(B33),B32,B33)*1000000*Constants!D20/1000000000)</f>
        <v>94.474999999999994</v>
      </c>
      <c r="C36" s="341">
        <f>100*(1-IF(ISBLANK(B33),B32,B33)*1000000*Constants!C20/1000000000)</f>
        <v>96.387500000000003</v>
      </c>
      <c r="D36" s="20" t="s">
        <v>278</v>
      </c>
      <c r="E36" s="206"/>
      <c r="F36" s="205"/>
      <c r="G36" s="205"/>
      <c r="H36" s="205"/>
      <c r="I36" s="48"/>
      <c r="K36" s="105"/>
      <c r="L36" s="5"/>
      <c r="M36" s="5"/>
      <c r="N36" s="106"/>
    </row>
    <row r="37" spans="1:14" ht="18" customHeight="1" thickBot="1">
      <c r="A37" s="76" t="s">
        <v>191</v>
      </c>
      <c r="B37" s="339">
        <f ca="1">MIN(1.5*B32, 1.5*IF(ISBLANK(B33),B32,B33), C30/100/(Constants!C19/1000000000)/1000000)</f>
        <v>0.63749999999999996</v>
      </c>
      <c r="C37" s="78" t="s">
        <v>16</v>
      </c>
      <c r="D37" s="82" t="s">
        <v>256</v>
      </c>
      <c r="E37" s="50"/>
      <c r="F37" s="52"/>
      <c r="G37" s="52"/>
      <c r="H37" s="52"/>
      <c r="I37" s="53"/>
    </row>
    <row r="38" spans="1:14" ht="18" customHeight="1">
      <c r="A38" s="392" t="s">
        <v>141</v>
      </c>
      <c r="B38" s="393"/>
      <c r="C38" s="393"/>
      <c r="D38" s="393"/>
      <c r="E38" s="393"/>
      <c r="F38" s="393"/>
      <c r="G38" s="393"/>
      <c r="H38" s="393"/>
      <c r="I38" s="394"/>
      <c r="K38" s="105"/>
      <c r="L38" s="5"/>
      <c r="M38" s="5"/>
      <c r="N38" s="106"/>
    </row>
    <row r="39" spans="1:14" ht="18" customHeight="1">
      <c r="A39" s="248" t="s">
        <v>338</v>
      </c>
      <c r="B39" s="320">
        <f ca="1">0.4*(C6+Efficiency!C13)/Constants!I60</f>
        <v>4.7803352497500207</v>
      </c>
      <c r="C39" s="336">
        <f ca="1">1.1*(C6+Efficiency!C13)/Constants!G60</f>
        <v>21.872418944350443</v>
      </c>
      <c r="D39" s="315" t="s">
        <v>72</v>
      </c>
      <c r="E39" s="318" t="s">
        <v>339</v>
      </c>
      <c r="F39" s="18"/>
      <c r="G39" s="18"/>
      <c r="H39" s="18"/>
      <c r="I39" s="49"/>
      <c r="J39" s="9"/>
      <c r="L39" s="5"/>
    </row>
    <row r="40" spans="1:14" ht="18" customHeight="1" thickBot="1">
      <c r="A40" s="248" t="s">
        <v>350</v>
      </c>
      <c r="B40" s="349">
        <f ca="1">(C29+Efficiency!C24)*(1-0.18/(D30/100))/(Constants!H60)</f>
        <v>10.940550014688164</v>
      </c>
      <c r="C40" s="349"/>
      <c r="D40" s="315" t="s">
        <v>72</v>
      </c>
      <c r="E40" s="87" t="s">
        <v>340</v>
      </c>
      <c r="F40" s="18"/>
      <c r="G40" s="18"/>
      <c r="H40" s="18"/>
      <c r="I40" s="49"/>
      <c r="J40" s="9"/>
      <c r="L40" s="5"/>
    </row>
    <row r="41" spans="1:14" ht="18" customHeight="1" thickBot="1">
      <c r="A41" s="98" t="s">
        <v>42</v>
      </c>
      <c r="B41" s="351">
        <v>10</v>
      </c>
      <c r="C41" s="352"/>
      <c r="D41" s="321" t="s">
        <v>180</v>
      </c>
      <c r="E41" s="318" t="s">
        <v>337</v>
      </c>
      <c r="F41" s="18"/>
      <c r="G41" s="18"/>
      <c r="H41" s="18"/>
      <c r="I41" s="48"/>
    </row>
    <row r="42" spans="1:14" ht="18" customHeight="1" thickBot="1">
      <c r="A42" s="322" t="s">
        <v>193</v>
      </c>
      <c r="B42" s="353">
        <v>40</v>
      </c>
      <c r="C42" s="354"/>
      <c r="D42" s="323" t="s">
        <v>192</v>
      </c>
      <c r="E42" s="319" t="s">
        <v>194</v>
      </c>
      <c r="F42" s="108"/>
      <c r="G42" s="108"/>
      <c r="H42" s="108"/>
      <c r="I42" s="109"/>
    </row>
    <row r="43" spans="1:14" ht="18" customHeight="1">
      <c r="A43" s="248" t="s">
        <v>48</v>
      </c>
      <c r="B43" s="349">
        <f ca="1">(C4-C6)/(IF(ISBLANK(B41),B39,B41)*0.000001)*(C30/100)/(IF(ISBLANK(B33),B32,B33)*1000000)</f>
        <v>0.73608300986192654</v>
      </c>
      <c r="C43" s="349"/>
      <c r="D43" s="315" t="s">
        <v>69</v>
      </c>
      <c r="E43" s="318" t="s">
        <v>168</v>
      </c>
      <c r="F43" s="18"/>
      <c r="G43" s="18"/>
      <c r="H43" s="18"/>
      <c r="I43" s="48"/>
      <c r="L43" s="5"/>
      <c r="M43" s="5"/>
      <c r="N43" s="5"/>
    </row>
    <row r="44" spans="1:14" ht="18" customHeight="1">
      <c r="A44" s="248" t="s">
        <v>47</v>
      </c>
      <c r="B44" s="349">
        <f ca="1">(D4-(1+Constants!B4/100)*C6)/((1+B10/100)*IF(ISBLANK(B41),B39,B41)*0.000001)*(B30/100)/((1+Constants!B18/100)*IF(ISBLANK(B33),B32,B33)*1000000)</f>
        <v>1.1741247261845167</v>
      </c>
      <c r="C44" s="349"/>
      <c r="D44" s="315" t="s">
        <v>69</v>
      </c>
      <c r="E44" s="318" t="s">
        <v>142</v>
      </c>
      <c r="F44" s="18"/>
      <c r="G44" s="18"/>
      <c r="H44" s="18"/>
      <c r="I44" s="48"/>
      <c r="L44" s="106"/>
    </row>
    <row r="45" spans="1:14" ht="18" customHeight="1">
      <c r="A45" s="248" t="s">
        <v>318</v>
      </c>
      <c r="B45" s="349">
        <f ca="1">D7+B44/2</f>
        <v>3.0870623630922585</v>
      </c>
      <c r="C45" s="349"/>
      <c r="D45" s="315" t="s">
        <v>70</v>
      </c>
      <c r="E45" s="318" t="s">
        <v>335</v>
      </c>
      <c r="F45" s="18"/>
      <c r="G45" s="18"/>
      <c r="H45" s="18"/>
      <c r="I45" s="48"/>
    </row>
    <row r="46" spans="1:14" ht="18" customHeight="1" thickBot="1">
      <c r="A46" s="248" t="s">
        <v>347</v>
      </c>
      <c r="B46" s="349">
        <f ca="1">FORECAST(Design!C30,OFFSET(Constants!B34:B35,MATCH(Design!C30,Constants!A34:A35,1)-1,0,2), OFFSET(Constants!A34:A35,MATCH(Design!C30,Constants!A34:A35,1)-1,0,2))-(D7+B43/2)</f>
        <v>0.50588367400436507</v>
      </c>
      <c r="C46" s="349"/>
      <c r="D46" s="315" t="s">
        <v>13</v>
      </c>
      <c r="E46" s="87" t="s">
        <v>345</v>
      </c>
      <c r="F46" s="347"/>
      <c r="G46" s="347"/>
      <c r="H46" s="347"/>
      <c r="I46" s="348"/>
    </row>
    <row r="47" spans="1:14" ht="18" customHeight="1" thickBot="1">
      <c r="A47" s="76" t="s">
        <v>348</v>
      </c>
      <c r="B47" s="350">
        <f ca="1">FORECAST(Design!D30,OFFSET(Constants!B34:B35,MATCH(Design!D30,Constants!A34:A35,1)-1,0,2), OFFSET(Constants!A34:A35,MATCH(Design!D30,Constants!A34:A35,1)-1,0,2))-B45</f>
        <v>1.4599331157716833E-2</v>
      </c>
      <c r="C47" s="350"/>
      <c r="D47" s="78" t="s">
        <v>13</v>
      </c>
      <c r="E47" s="79" t="s">
        <v>346</v>
      </c>
      <c r="F47" s="80"/>
      <c r="G47" s="80"/>
      <c r="H47" s="80"/>
      <c r="I47" s="81"/>
      <c r="K47" s="363" t="s">
        <v>264</v>
      </c>
      <c r="L47" s="364"/>
      <c r="M47" s="365"/>
      <c r="N47" s="5"/>
    </row>
    <row r="48" spans="1:14" ht="18" customHeight="1" thickBot="1">
      <c r="A48" s="392" t="s">
        <v>311</v>
      </c>
      <c r="B48" s="393"/>
      <c r="C48" s="393"/>
      <c r="D48" s="393"/>
      <c r="E48" s="393"/>
      <c r="F48" s="393"/>
      <c r="G48" s="393"/>
      <c r="H48" s="393"/>
      <c r="I48" s="394"/>
      <c r="K48" s="360" t="s">
        <v>266</v>
      </c>
      <c r="L48" s="361"/>
      <c r="M48" s="362"/>
    </row>
    <row r="49" spans="1:13" ht="18" customHeight="1" thickBot="1">
      <c r="A49" s="85" t="s">
        <v>158</v>
      </c>
      <c r="B49" s="88">
        <v>50</v>
      </c>
      <c r="C49" s="86" t="s">
        <v>25</v>
      </c>
      <c r="D49" s="87" t="s">
        <v>306</v>
      </c>
      <c r="E49" s="83"/>
      <c r="F49" s="83"/>
      <c r="G49" s="83"/>
      <c r="H49" s="83"/>
      <c r="I49" s="84"/>
      <c r="K49" s="366" t="s">
        <v>265</v>
      </c>
      <c r="L49" s="367"/>
      <c r="M49" s="368"/>
    </row>
    <row r="50" spans="1:13" ht="18" customHeight="1" thickBot="1">
      <c r="A50" s="47" t="s">
        <v>140</v>
      </c>
      <c r="B50" s="103">
        <f>(IF(ISBLANK(B49),Constants!B42,B49))/Constants!B42*Constants!B43*Constants!B39/C6*Constants!B44/(IF(ISBLANK(B33),B32,B33))*D7/Constants!B40</f>
        <v>3.5294117647058814</v>
      </c>
      <c r="C50" s="19" t="s">
        <v>132</v>
      </c>
      <c r="D50" s="21" t="s">
        <v>305</v>
      </c>
      <c r="E50" s="100"/>
      <c r="F50" s="101"/>
      <c r="G50" s="101"/>
      <c r="H50" s="101"/>
      <c r="I50" s="102"/>
      <c r="K50" s="369"/>
      <c r="L50" s="367"/>
      <c r="M50" s="368"/>
    </row>
    <row r="51" spans="1:13" ht="18" customHeight="1" thickBot="1">
      <c r="A51" s="95" t="s">
        <v>123</v>
      </c>
      <c r="B51" s="104">
        <v>6</v>
      </c>
      <c r="C51" s="97" t="s">
        <v>132</v>
      </c>
      <c r="D51" s="21" t="s">
        <v>184</v>
      </c>
      <c r="E51" s="16"/>
      <c r="F51" s="18"/>
      <c r="G51" s="18"/>
      <c r="H51" s="18"/>
      <c r="I51" s="48"/>
      <c r="K51" s="248" t="s">
        <v>259</v>
      </c>
      <c r="L51" s="330"/>
      <c r="M51" s="250" t="s">
        <v>262</v>
      </c>
    </row>
    <row r="52" spans="1:13" ht="18" customHeight="1" thickBot="1">
      <c r="A52" s="47" t="s">
        <v>126</v>
      </c>
      <c r="B52" s="15">
        <f>IF(ISBLANK(L51), IF(ISBLANK(B51),B50,B51)*(1-Constants!B46/100)*(Constants!C54*$C$6^3+Constants!C55*$C$6^2+Constants!C56*$C$6+Constants!C57), L51*IF(ISBLANK(L54),1,L54))</f>
        <v>47.822399999999995</v>
      </c>
      <c r="C52" s="16" t="s">
        <v>73</v>
      </c>
      <c r="D52" s="21" t="s">
        <v>167</v>
      </c>
      <c r="E52" s="16"/>
      <c r="F52" s="18"/>
      <c r="G52" s="18"/>
      <c r="H52" s="18"/>
      <c r="I52" s="48"/>
      <c r="K52" s="248" t="s">
        <v>260</v>
      </c>
      <c r="L52" s="330"/>
      <c r="M52" s="250" t="s">
        <v>263</v>
      </c>
    </row>
    <row r="53" spans="1:13" ht="18" customHeight="1" thickBot="1">
      <c r="A53" s="295" t="s">
        <v>287</v>
      </c>
      <c r="B53" s="329">
        <f ca="1">IF(ISBLANK(L51), 1000*(B43*Constants!B47/1000/IF(ISBLANK(B51),B50,B51)+B43/(8*(IF(ISBLANK(B33),B32,B33))*1000000*B52/1000000)+(C4-C6)/(IF(ISBLANK(B41),B39,B41)/1000000)*Constants!B48/1000000000),
1000*(B43*L52/1000/IF(ISBLANK(L54),1,L54)+B43/(8*(IF(ISBLANK(B33),B32,B33))*1000000*L51*IF(ISBLANK(L54),1,L54)/1000000)+(C4-C6)/(IF(ISBLANK(B41),B39,B41)/1000000)*L53/1000000000/IF(ISBLANK(L54),1,L54)) )</f>
        <v>6.5231457022522426</v>
      </c>
      <c r="C53" s="314" t="s">
        <v>320</v>
      </c>
      <c r="D53" s="317" t="s">
        <v>286</v>
      </c>
      <c r="E53" s="296"/>
      <c r="F53" s="297"/>
      <c r="G53" s="297"/>
      <c r="H53" s="297"/>
      <c r="I53" s="298"/>
      <c r="K53" s="248" t="s">
        <v>261</v>
      </c>
      <c r="L53" s="330"/>
      <c r="M53" s="250" t="s">
        <v>29</v>
      </c>
    </row>
    <row r="54" spans="1:13" ht="18" customHeight="1" thickBot="1">
      <c r="A54" s="248" t="s">
        <v>301</v>
      </c>
      <c r="B54" s="287">
        <f ca="1">1000*Constants!C30/1000*Constants!B68/1000000/(2*B52/1000000)</f>
        <v>19.63768706678238</v>
      </c>
      <c r="C54" s="315" t="s">
        <v>320</v>
      </c>
      <c r="D54" s="87" t="s">
        <v>349</v>
      </c>
      <c r="E54" s="16"/>
      <c r="F54" s="18"/>
      <c r="G54" s="18"/>
      <c r="H54" s="18"/>
      <c r="I54" s="48"/>
      <c r="K54" s="76" t="s">
        <v>267</v>
      </c>
      <c r="L54" s="346"/>
      <c r="M54" s="251" t="s">
        <v>132</v>
      </c>
    </row>
    <row r="55" spans="1:13" ht="18" customHeight="1" thickBot="1">
      <c r="A55" s="76" t="s">
        <v>302</v>
      </c>
      <c r="B55" s="288">
        <f ca="1">IF(Constants!H67="NO", 1000*Constants!D30/1000*Constants!C68/1000000/(2*B52/1000000), "N/A")</f>
        <v>51.533732971894821</v>
      </c>
      <c r="C55" s="316" t="s">
        <v>321</v>
      </c>
      <c r="D55" s="79" t="str">
        <f>IF(Constants!H67="NO", "Single-pulse PFM ripple at MIN Vin.  Increase Co or reduce Lo if too high.", "Single-pulse limiting at MIN Vin, will require more than 1 PFM pulse.")</f>
        <v>Single-pulse PFM ripple at MIN Vin.  Increase Co or reduce Lo if too high.</v>
      </c>
      <c r="E55" s="50"/>
      <c r="F55" s="52"/>
      <c r="G55" s="52"/>
      <c r="H55" s="52"/>
      <c r="I55" s="53"/>
    </row>
    <row r="56" spans="1:13" ht="18" customHeight="1">
      <c r="A56" s="94" t="s">
        <v>176</v>
      </c>
      <c r="B56" s="92"/>
      <c r="C56" s="16"/>
      <c r="D56" s="93"/>
      <c r="E56" s="16"/>
      <c r="F56" s="18"/>
      <c r="G56" s="18"/>
      <c r="H56" s="18"/>
      <c r="I56" s="48"/>
    </row>
    <row r="57" spans="1:13" ht="18" customHeight="1" thickBot="1">
      <c r="A57" s="98" t="s">
        <v>181</v>
      </c>
      <c r="B57" s="99">
        <f ca="1">MAX(MAX(D7*SQRT(B30/100*(1-B30/100)),D7*SQRT(C30/100*(1-C30/100)), D7*SQRT(D30/100*(1-D30/100))),IF((B30&lt;50)*AND(D30&gt;50),D7*SQRT(0.5*(1-0.5)),0))</f>
        <v>1.25</v>
      </c>
      <c r="C57" s="96" t="s">
        <v>182</v>
      </c>
      <c r="D57" s="82" t="s">
        <v>174</v>
      </c>
      <c r="E57" s="16"/>
      <c r="F57" s="18"/>
      <c r="G57" s="18"/>
      <c r="H57" s="18"/>
      <c r="I57" s="48"/>
    </row>
    <row r="58" spans="1:13" ht="18" customHeight="1">
      <c r="A58" s="392" t="s">
        <v>138</v>
      </c>
      <c r="B58" s="393"/>
      <c r="C58" s="393"/>
      <c r="D58" s="393"/>
      <c r="E58" s="393"/>
      <c r="F58" s="393"/>
      <c r="G58" s="393"/>
      <c r="H58" s="393"/>
      <c r="I58" s="394"/>
    </row>
    <row r="59" spans="1:13" ht="18" customHeight="1">
      <c r="A59" s="98" t="s">
        <v>44</v>
      </c>
      <c r="B59" s="99">
        <f ca="1">IF(AND(B30&lt;50, D30&gt;50), 1000000*D7*0.5*(1-0.5)/((1+Constants!B18/100)*IF(ISBLANK(B33),B32,B33)*1000000*Constants!C9*Constants!B8/1000), MAX(1000000*D7*D30/100*(1-D30/100)/((1+Constants!B18/100)*IF(ISBLANK(B33),B32,B33)*1000000*Constants!C9*Constants!B8/1000), 1000000*D7*C30/100*(1-C30/100)/((1+Constants!B18/100)*IF(ISBLANK(B33),B32,B33)*1000000*Constants!C9*Constants!B8/1000), 1000000*D7*B30/100*(1-B30/100)/((1+Constants!B18/100)*IF(ISBLANK(B33),B32,B33)*1000000*Constants!C9*Constants!B8/1000)))</f>
        <v>8.1699346405228752</v>
      </c>
      <c r="C59" s="321" t="s">
        <v>183</v>
      </c>
      <c r="D59" s="21" t="s">
        <v>78</v>
      </c>
      <c r="E59" s="16"/>
      <c r="F59" s="18"/>
      <c r="G59" s="18"/>
      <c r="H59" s="18"/>
      <c r="I59" s="48"/>
    </row>
    <row r="60" spans="1:13" ht="18" customHeight="1" thickBot="1">
      <c r="A60" s="76" t="s">
        <v>175</v>
      </c>
      <c r="B60" s="77">
        <f ca="1">D7*SQRT(D30/100*(1-D30/100))</f>
        <v>1.1450614278781219</v>
      </c>
      <c r="C60" s="78" t="s">
        <v>74</v>
      </c>
      <c r="D60" s="51" t="s">
        <v>46</v>
      </c>
      <c r="E60" s="50"/>
      <c r="F60" s="52"/>
      <c r="G60" s="52"/>
      <c r="H60" s="52"/>
      <c r="I60" s="53"/>
    </row>
    <row r="61" spans="1:13" ht="18" customHeight="1">
      <c r="A61" s="392" t="s">
        <v>139</v>
      </c>
      <c r="B61" s="393"/>
      <c r="C61" s="393"/>
      <c r="D61" s="393"/>
      <c r="E61" s="393"/>
      <c r="F61" s="393"/>
      <c r="G61" s="393"/>
      <c r="H61" s="393"/>
      <c r="I61" s="394"/>
    </row>
    <row r="62" spans="1:13" ht="18" customHeight="1" thickBot="1">
      <c r="A62" s="248" t="s">
        <v>58</v>
      </c>
      <c r="B62" s="320">
        <f>1000000000*Constants!C28/1000000*C11/1000/Constants!C3</f>
        <v>50</v>
      </c>
      <c r="C62" s="315" t="s">
        <v>17</v>
      </c>
      <c r="D62" s="21" t="s">
        <v>65</v>
      </c>
      <c r="E62" s="16"/>
      <c r="F62" s="18"/>
      <c r="G62" s="18"/>
      <c r="H62" s="18"/>
      <c r="I62" s="48"/>
    </row>
    <row r="63" spans="1:13" ht="18" customHeight="1" thickBot="1">
      <c r="A63" s="98" t="s">
        <v>64</v>
      </c>
      <c r="B63" s="324">
        <v>47</v>
      </c>
      <c r="C63" s="321" t="s">
        <v>17</v>
      </c>
      <c r="D63" s="21" t="s">
        <v>144</v>
      </c>
      <c r="E63" s="16"/>
      <c r="F63" s="18"/>
      <c r="G63" s="18"/>
      <c r="H63" s="18"/>
      <c r="I63" s="48"/>
    </row>
    <row r="64" spans="1:13" ht="18" customHeight="1">
      <c r="A64" s="248" t="s">
        <v>61</v>
      </c>
      <c r="B64" s="320">
        <f>1000*IF(ISBLANK(B63),B62,B63)/1000000000*Constants!C3/(Constants!C28/1000000)</f>
        <v>1.88</v>
      </c>
      <c r="C64" s="315" t="s">
        <v>38</v>
      </c>
      <c r="D64" s="21" t="s">
        <v>63</v>
      </c>
      <c r="E64" s="16"/>
      <c r="F64" s="18"/>
      <c r="G64" s="18"/>
      <c r="H64" s="18"/>
      <c r="I64" s="48"/>
    </row>
    <row r="65" spans="1:9" ht="18" customHeight="1" thickBot="1">
      <c r="A65" s="76" t="s">
        <v>62</v>
      </c>
      <c r="B65" s="77">
        <f>1000*IF(ISBLANK(B63),B62,B63)/1000000000*Constants!C29/1000/(Constants!C28/1000000)</f>
        <v>0.77549999999999986</v>
      </c>
      <c r="C65" s="78" t="s">
        <v>38</v>
      </c>
      <c r="D65" s="51" t="s">
        <v>79</v>
      </c>
      <c r="E65" s="50"/>
      <c r="F65" s="52"/>
      <c r="G65" s="52"/>
      <c r="H65" s="52"/>
      <c r="I65" s="53"/>
    </row>
    <row r="66" spans="1:9" ht="18" customHeight="1">
      <c r="A66" s="392" t="s">
        <v>307</v>
      </c>
      <c r="B66" s="393"/>
      <c r="C66" s="393"/>
      <c r="D66" s="393"/>
      <c r="E66" s="393"/>
      <c r="F66" s="393"/>
      <c r="G66" s="393"/>
      <c r="H66" s="393"/>
      <c r="I66" s="394"/>
    </row>
    <row r="67" spans="1:9" ht="18" customHeight="1" thickBot="1">
      <c r="A67" s="248" t="s">
        <v>76</v>
      </c>
      <c r="B67" s="357">
        <f>1000*IF(ISBLANK(B33),B32,B33)/7.5</f>
        <v>56.666666666666664</v>
      </c>
      <c r="C67" s="357"/>
      <c r="D67" s="315" t="s">
        <v>19</v>
      </c>
      <c r="E67" s="318" t="s">
        <v>308</v>
      </c>
      <c r="F67" s="18"/>
      <c r="G67" s="18"/>
      <c r="H67" s="18"/>
      <c r="I67" s="48"/>
    </row>
    <row r="68" spans="1:9" ht="18" customHeight="1" thickBot="1">
      <c r="A68" s="248" t="s">
        <v>45</v>
      </c>
      <c r="B68" s="358">
        <v>55</v>
      </c>
      <c r="C68" s="359"/>
      <c r="D68" s="315" t="s">
        <v>19</v>
      </c>
      <c r="E68" s="318" t="s">
        <v>315</v>
      </c>
      <c r="F68" s="18"/>
      <c r="G68" s="18"/>
      <c r="H68" s="18"/>
      <c r="I68" s="48"/>
    </row>
    <row r="69" spans="1:9" ht="18" customHeight="1">
      <c r="A69" s="248" t="s">
        <v>87</v>
      </c>
      <c r="B69" s="355">
        <f ca="1">C6/AVERAGE(B43/2, D7)</f>
        <v>3.4866998900843003</v>
      </c>
      <c r="C69" s="355"/>
      <c r="D69" s="325" t="s">
        <v>80</v>
      </c>
      <c r="E69" s="318" t="s">
        <v>309</v>
      </c>
      <c r="F69" s="18"/>
      <c r="G69" s="18"/>
      <c r="H69" s="18"/>
      <c r="I69" s="48"/>
    </row>
    <row r="70" spans="1:9" ht="18" customHeight="1">
      <c r="A70" s="248" t="s">
        <v>81</v>
      </c>
      <c r="B70" s="349">
        <f ca="1">1/(6.28*B69*B52/1000000)/1000</f>
        <v>0.9549803170786324</v>
      </c>
      <c r="C70" s="349"/>
      <c r="D70" s="325" t="s">
        <v>19</v>
      </c>
      <c r="E70" s="318" t="s">
        <v>310</v>
      </c>
      <c r="F70" s="18"/>
      <c r="G70" s="18"/>
      <c r="H70" s="18"/>
      <c r="I70" s="48"/>
    </row>
    <row r="71" spans="1:9" ht="18" customHeight="1">
      <c r="A71" s="248" t="s">
        <v>82</v>
      </c>
      <c r="B71" s="355">
        <f>IF(ISBLANK(L51), 1/(6.28*Constants!B47/(IF(ISBLANK(B51),B50,B51))/1000*B52/1000000)/1000, 1/(6.28*IF(ISBLANK(L52),Constants!B47,L52)/(IF(ISBLANK(L54),1,L54))/1000*B52/1000000)/1000)</f>
        <v>3329.729766590739</v>
      </c>
      <c r="C71" s="355"/>
      <c r="D71" s="325" t="s">
        <v>19</v>
      </c>
      <c r="E71" s="318" t="s">
        <v>88</v>
      </c>
      <c r="F71" s="18"/>
      <c r="G71" s="18"/>
      <c r="H71" s="18"/>
      <c r="I71" s="48"/>
    </row>
    <row r="72" spans="1:9" ht="18" customHeight="1" thickBot="1">
      <c r="A72" s="248" t="s">
        <v>14</v>
      </c>
      <c r="B72" s="355">
        <f>IF(ISBLANK(B68),B67,B68)*1000*(C6/Constants!C3)*((6.28*B52/1000000)/(Constants!C13*Constants!C11/1000000))/1000</f>
        <v>48.297827368421046</v>
      </c>
      <c r="C72" s="355"/>
      <c r="D72" s="315" t="s">
        <v>66</v>
      </c>
      <c r="E72" s="318" t="s">
        <v>316</v>
      </c>
      <c r="F72" s="18"/>
      <c r="G72" s="18"/>
      <c r="H72" s="18"/>
      <c r="I72" s="48"/>
    </row>
    <row r="73" spans="1:9" ht="18" customHeight="1" thickBot="1">
      <c r="A73" s="98" t="s">
        <v>85</v>
      </c>
      <c r="B73" s="351">
        <v>48.7</v>
      </c>
      <c r="C73" s="352"/>
      <c r="D73" s="321" t="s">
        <v>178</v>
      </c>
      <c r="E73" s="318" t="s">
        <v>317</v>
      </c>
      <c r="F73" s="18"/>
      <c r="G73" s="18"/>
      <c r="H73" s="18"/>
      <c r="I73" s="48"/>
    </row>
    <row r="74" spans="1:9" ht="18" customHeight="1">
      <c r="A74" s="98" t="s">
        <v>313</v>
      </c>
      <c r="B74" s="99">
        <f>4*1000000000/(6.28*IF(ISBLANK(B73),B72,B73)*1000*IF(ISBLANK(B68),B67,B68)*1000)</f>
        <v>0.23779827334673723</v>
      </c>
      <c r="C74" s="99">
        <f ca="1">1000000000/(6.28*IF(ISBLANK(B73),B72,B73)*1000*1.5*B70*1000)</f>
        <v>2.2825784643883291</v>
      </c>
      <c r="D74" s="321" t="s">
        <v>17</v>
      </c>
      <c r="E74" s="318" t="s">
        <v>314</v>
      </c>
      <c r="F74" s="18"/>
      <c r="G74" s="18"/>
      <c r="H74" s="18"/>
      <c r="I74" s="48"/>
    </row>
    <row r="75" spans="1:9" ht="18" customHeight="1" thickBot="1">
      <c r="A75" s="326" t="s">
        <v>15</v>
      </c>
      <c r="B75" s="356">
        <f>IF(B71&gt;10*IF(ISBLANK(B68),B67,B68), MIN(1000000000000/(6.28*IF(ISBLANK(B73),B72,B73)*1000*7.5*IF(ISBLANK(B68),B67,B68)*1000),1000000000000/(6.28*IF(ISBLANK(B73),B72,B73)*1000*IF(ISBLANK(B33),B32,B33)*1000000/2)),
1000000000000/(6.28*IF(ISBLANK(B73),B72,B73)*1000*B71*1000))</f>
        <v>7.9266091115579078</v>
      </c>
      <c r="C75" s="356"/>
      <c r="D75" s="327" t="s">
        <v>18</v>
      </c>
      <c r="E75" s="328" t="s">
        <v>312</v>
      </c>
      <c r="F75" s="52"/>
      <c r="G75" s="52"/>
      <c r="H75" s="52"/>
      <c r="I75" s="53"/>
    </row>
    <row r="76" spans="1:9">
      <c r="B76" s="5"/>
      <c r="C76" s="7"/>
    </row>
    <row r="77" spans="1:9">
      <c r="B77" s="8"/>
      <c r="C77" s="10"/>
    </row>
    <row r="96" spans="1:9">
      <c r="A96" s="379"/>
      <c r="B96" s="379"/>
      <c r="C96" s="379"/>
      <c r="D96" s="379"/>
      <c r="E96" s="379"/>
      <c r="F96" s="379"/>
      <c r="G96" s="379"/>
      <c r="H96" s="379"/>
      <c r="I96" s="379"/>
    </row>
  </sheetData>
  <sheetProtection password="83AF" sheet="1" objects="1" scenarios="1"/>
  <mergeCells count="54">
    <mergeCell ref="A1:I1"/>
    <mergeCell ref="A58:I58"/>
    <mergeCell ref="A61:I61"/>
    <mergeCell ref="A66:I66"/>
    <mergeCell ref="A28:I28"/>
    <mergeCell ref="F11:I11"/>
    <mergeCell ref="F13:I13"/>
    <mergeCell ref="A22:I22"/>
    <mergeCell ref="A31:I31"/>
    <mergeCell ref="A38:I38"/>
    <mergeCell ref="A48:I48"/>
    <mergeCell ref="D21:I21"/>
    <mergeCell ref="F12:I12"/>
    <mergeCell ref="A20:I20"/>
    <mergeCell ref="A2:I2"/>
    <mergeCell ref="B18:C18"/>
    <mergeCell ref="F3:I3"/>
    <mergeCell ref="F4:I4"/>
    <mergeCell ref="F6:I6"/>
    <mergeCell ref="F7:I7"/>
    <mergeCell ref="A96:I96"/>
    <mergeCell ref="A14:C14"/>
    <mergeCell ref="E14:I14"/>
    <mergeCell ref="E18:I18"/>
    <mergeCell ref="E17:I17"/>
    <mergeCell ref="E16:I16"/>
    <mergeCell ref="E15:I15"/>
    <mergeCell ref="B19:C19"/>
    <mergeCell ref="B23:C23"/>
    <mergeCell ref="B24:C24"/>
    <mergeCell ref="B25:C25"/>
    <mergeCell ref="B26:C26"/>
    <mergeCell ref="K48:M48"/>
    <mergeCell ref="K47:M47"/>
    <mergeCell ref="K49:M50"/>
    <mergeCell ref="F8:I8"/>
    <mergeCell ref="F9:I9"/>
    <mergeCell ref="F10:I10"/>
    <mergeCell ref="B72:C72"/>
    <mergeCell ref="B73:C73"/>
    <mergeCell ref="B75:C75"/>
    <mergeCell ref="B67:C67"/>
    <mergeCell ref="B68:C68"/>
    <mergeCell ref="B69:C69"/>
    <mergeCell ref="B70:C70"/>
    <mergeCell ref="B71:C71"/>
    <mergeCell ref="B45:C45"/>
    <mergeCell ref="B47:C47"/>
    <mergeCell ref="B40:C40"/>
    <mergeCell ref="B41:C41"/>
    <mergeCell ref="B42:C42"/>
    <mergeCell ref="B43:C43"/>
    <mergeCell ref="B44:C44"/>
    <mergeCell ref="B46:C46"/>
  </mergeCells>
  <conditionalFormatting sqref="B47">
    <cfRule type="cellIs" dxfId="5" priority="4" operator="lessThan">
      <formula>0</formula>
    </cfRule>
    <cfRule type="cellIs" dxfId="4" priority="5" operator="lessThan">
      <formula>0</formula>
    </cfRule>
    <cfRule type="cellIs" dxfId="3" priority="6" operator="lessThan">
      <formula>0</formula>
    </cfRule>
  </conditionalFormatting>
  <conditionalFormatting sqref="B46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/>
  <pageMargins left="0.7" right="0.7" top="0.75" bottom="0.75" header="0.3" footer="0.3"/>
  <pageSetup scale="77" fitToHeight="2" orientation="portrait" horizontalDpi="4294967293" verticalDpi="0" r:id="rId1"/>
  <ignoredErrors>
    <ignoredError sqref="B2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K33"/>
  <sheetViews>
    <sheetView workbookViewId="0">
      <selection sqref="A1:I1"/>
    </sheetView>
  </sheetViews>
  <sheetFormatPr defaultRowHeight="15"/>
  <cols>
    <col min="1" max="1" width="20.7109375" customWidth="1"/>
    <col min="2" max="4" width="12.7109375" customWidth="1"/>
    <col min="5" max="6" width="15.7109375" customWidth="1"/>
  </cols>
  <sheetData>
    <row r="1" spans="1:11" ht="24" customHeight="1" thickBot="1">
      <c r="A1" s="389" t="s">
        <v>342</v>
      </c>
      <c r="B1" s="390"/>
      <c r="C1" s="390"/>
      <c r="D1" s="390"/>
      <c r="E1" s="390"/>
      <c r="F1" s="390"/>
      <c r="G1" s="390"/>
      <c r="H1" s="390"/>
      <c r="I1" s="391"/>
    </row>
    <row r="2" spans="1:11" ht="24" customHeight="1" thickBot="1">
      <c r="A2" s="413" t="s">
        <v>157</v>
      </c>
      <c r="B2" s="414"/>
      <c r="C2" s="414"/>
      <c r="D2" s="414"/>
      <c r="E2" s="414"/>
      <c r="F2" s="414"/>
      <c r="G2" s="414"/>
      <c r="H2" s="414"/>
      <c r="I2" s="415"/>
    </row>
    <row r="3" spans="1:11" ht="19.5" thickBot="1">
      <c r="A3" s="90" t="s">
        <v>133</v>
      </c>
      <c r="B3" s="43" t="s">
        <v>32</v>
      </c>
      <c r="C3" s="42" t="s">
        <v>33</v>
      </c>
      <c r="D3" s="43" t="s">
        <v>34</v>
      </c>
      <c r="E3" s="43" t="s">
        <v>35</v>
      </c>
      <c r="F3" s="373" t="s">
        <v>37</v>
      </c>
      <c r="G3" s="374"/>
      <c r="H3" s="374"/>
      <c r="I3" s="375"/>
    </row>
    <row r="4" spans="1:11" ht="18.75" thickBot="1">
      <c r="A4" s="44" t="s">
        <v>206</v>
      </c>
      <c r="B4" s="24" t="s">
        <v>23</v>
      </c>
      <c r="C4" s="22">
        <v>263</v>
      </c>
      <c r="D4" s="226" t="s">
        <v>23</v>
      </c>
      <c r="E4" s="133" t="s">
        <v>16</v>
      </c>
      <c r="F4" s="421" t="s">
        <v>203</v>
      </c>
      <c r="G4" s="422"/>
      <c r="H4" s="422"/>
      <c r="I4" s="423"/>
    </row>
    <row r="5" spans="1:11" ht="18.75" thickBot="1">
      <c r="A5" s="44" t="s">
        <v>209</v>
      </c>
      <c r="B5" s="14" t="s">
        <v>23</v>
      </c>
      <c r="C5" s="227">
        <f>1000000000/(C4*1000000)</f>
        <v>3.8022813688212929</v>
      </c>
      <c r="D5" s="14" t="s">
        <v>23</v>
      </c>
      <c r="E5" s="133" t="s">
        <v>4</v>
      </c>
      <c r="F5" s="141" t="s">
        <v>208</v>
      </c>
      <c r="G5" s="142"/>
      <c r="H5" s="142"/>
      <c r="I5" s="143"/>
    </row>
    <row r="6" spans="1:11" ht="18.75" thickBot="1">
      <c r="A6" s="135" t="s">
        <v>202</v>
      </c>
      <c r="B6" s="60" t="s">
        <v>23</v>
      </c>
      <c r="C6" s="61">
        <v>70</v>
      </c>
      <c r="D6" s="218" t="s">
        <v>23</v>
      </c>
      <c r="E6" s="63" t="s">
        <v>18</v>
      </c>
      <c r="F6" s="370" t="s">
        <v>204</v>
      </c>
      <c r="G6" s="371"/>
      <c r="H6" s="371"/>
      <c r="I6" s="372"/>
    </row>
    <row r="7" spans="1:11" s="290" customFormat="1" ht="18.75" customHeight="1" thickBot="1">
      <c r="A7" s="135" t="s">
        <v>217</v>
      </c>
      <c r="B7" s="60" t="s">
        <v>23</v>
      </c>
      <c r="C7" s="61">
        <v>50</v>
      </c>
      <c r="D7" s="218" t="s">
        <v>23</v>
      </c>
      <c r="E7" s="63" t="s">
        <v>18</v>
      </c>
      <c r="F7" s="424" t="s">
        <v>218</v>
      </c>
      <c r="G7" s="425"/>
      <c r="H7" s="425"/>
      <c r="I7" s="426"/>
    </row>
    <row r="8" spans="1:11" ht="18.75" thickBot="1">
      <c r="A8" s="145" t="s">
        <v>215</v>
      </c>
      <c r="B8" s="146" t="s">
        <v>23</v>
      </c>
      <c r="C8" s="262">
        <v>2.5</v>
      </c>
      <c r="D8" s="219" t="s">
        <v>23</v>
      </c>
      <c r="E8" s="134" t="s">
        <v>226</v>
      </c>
      <c r="F8" s="398" t="s">
        <v>214</v>
      </c>
      <c r="G8" s="399"/>
      <c r="H8" s="399"/>
      <c r="I8" s="400"/>
    </row>
    <row r="9" spans="1:11" ht="32.1" customHeight="1" thickBot="1">
      <c r="A9" s="418" t="s">
        <v>177</v>
      </c>
      <c r="B9" s="419"/>
      <c r="C9" s="419"/>
      <c r="D9" s="419"/>
      <c r="E9" s="419"/>
      <c r="F9" s="419"/>
      <c r="G9" s="419"/>
      <c r="H9" s="419"/>
      <c r="I9" s="420"/>
    </row>
    <row r="10" spans="1:11" ht="18" customHeight="1">
      <c r="A10" s="132" t="s">
        <v>31</v>
      </c>
      <c r="B10" s="91" t="s">
        <v>30</v>
      </c>
      <c r="C10" s="91" t="s">
        <v>35</v>
      </c>
      <c r="D10" s="404" t="s">
        <v>37</v>
      </c>
      <c r="E10" s="405"/>
      <c r="F10" s="405"/>
      <c r="G10" s="405"/>
      <c r="H10" s="405"/>
      <c r="I10" s="406"/>
    </row>
    <row r="11" spans="1:11" ht="15.75">
      <c r="A11" s="401" t="s">
        <v>201</v>
      </c>
      <c r="B11" s="402"/>
      <c r="C11" s="402"/>
      <c r="D11" s="402"/>
      <c r="E11" s="402"/>
      <c r="F11" s="402"/>
      <c r="G11" s="402"/>
      <c r="H11" s="402"/>
      <c r="I11" s="403"/>
    </row>
    <row r="12" spans="1:11" ht="18">
      <c r="A12" s="47" t="s">
        <v>205</v>
      </c>
      <c r="B12" s="17">
        <f>1000000000*(C5/1000000000)^2/(4*3.14^2*(C6/1000000000000+C7/1000000000000))</f>
        <v>3.0548364892434625</v>
      </c>
      <c r="C12" s="16" t="s">
        <v>29</v>
      </c>
      <c r="D12" s="20" t="s">
        <v>213</v>
      </c>
      <c r="E12" s="16"/>
      <c r="F12" s="18"/>
      <c r="G12" s="18"/>
      <c r="H12" s="18"/>
      <c r="I12" s="48"/>
    </row>
    <row r="13" spans="1:11" ht="18.75" thickBot="1">
      <c r="A13" s="47" t="s">
        <v>250</v>
      </c>
      <c r="B13" s="221">
        <f>SQRT(B12*0.000000001/(C6*0.000000000001+C7*0.000000000001))</f>
        <v>5.0454901390940723</v>
      </c>
      <c r="C13" s="222" t="s">
        <v>80</v>
      </c>
      <c r="D13" s="20" t="s">
        <v>211</v>
      </c>
      <c r="E13" s="100"/>
      <c r="F13" s="101"/>
      <c r="G13" s="101"/>
      <c r="H13" s="101"/>
      <c r="I13" s="102"/>
    </row>
    <row r="14" spans="1:11" ht="18.75" thickBot="1">
      <c r="A14" s="95" t="s">
        <v>253</v>
      </c>
      <c r="B14" s="225">
        <v>5.0999999999999996</v>
      </c>
      <c r="C14" s="97" t="s">
        <v>80</v>
      </c>
      <c r="D14" s="20" t="s">
        <v>252</v>
      </c>
      <c r="E14" s="100"/>
      <c r="F14" s="101"/>
      <c r="G14" s="101"/>
      <c r="H14" s="101"/>
      <c r="I14" s="102"/>
    </row>
    <row r="15" spans="1:11" ht="18.75" thickBot="1">
      <c r="A15" s="47" t="s">
        <v>251</v>
      </c>
      <c r="B15" s="223">
        <f>1000000000000/C8*(C5/1000000000)/B14</f>
        <v>298.21814657421908</v>
      </c>
      <c r="C15" s="224" t="s">
        <v>18</v>
      </c>
      <c r="D15" s="20" t="s">
        <v>212</v>
      </c>
      <c r="E15" s="16"/>
      <c r="F15" s="18"/>
      <c r="G15" s="18"/>
      <c r="H15" s="18"/>
      <c r="I15" s="48"/>
    </row>
    <row r="16" spans="1:11" ht="18.75" thickBot="1">
      <c r="A16" s="95" t="s">
        <v>254</v>
      </c>
      <c r="B16" s="263">
        <v>330</v>
      </c>
      <c r="C16" s="96" t="s">
        <v>18</v>
      </c>
      <c r="D16" s="20" t="s">
        <v>279</v>
      </c>
      <c r="E16" s="16"/>
      <c r="F16" s="18"/>
      <c r="G16" s="18"/>
      <c r="H16" s="18"/>
      <c r="I16" s="48"/>
      <c r="K16" s="12" t="s">
        <v>341</v>
      </c>
    </row>
    <row r="17" spans="1:9" ht="18.75" thickBot="1">
      <c r="A17" s="138" t="s">
        <v>207</v>
      </c>
      <c r="B17" s="144">
        <f>1000*0.5*B16/1000000000000*Design!D4^2*IF(ISBLANK(Design!B33),Design!B32,Design!B33)*1000000</f>
        <v>17.952000000000002</v>
      </c>
      <c r="C17" s="139" t="s">
        <v>210</v>
      </c>
      <c r="D17" s="140" t="s">
        <v>216</v>
      </c>
      <c r="E17" s="136"/>
      <c r="F17" s="136"/>
      <c r="G17" s="136"/>
      <c r="H17" s="136"/>
      <c r="I17" s="137"/>
    </row>
    <row r="33" spans="3:3">
      <c r="C33" s="12" t="s">
        <v>225</v>
      </c>
    </row>
  </sheetData>
  <sheetProtection password="83AF" sheet="1" objects="1" scenarios="1"/>
  <mergeCells count="10">
    <mergeCell ref="A1:I1"/>
    <mergeCell ref="F8:I8"/>
    <mergeCell ref="A9:I9"/>
    <mergeCell ref="D10:I10"/>
    <mergeCell ref="A11:I11"/>
    <mergeCell ref="A2:I2"/>
    <mergeCell ref="F3:I3"/>
    <mergeCell ref="F4:I4"/>
    <mergeCell ref="F6:I6"/>
    <mergeCell ref="F7:I7"/>
  </mergeCells>
  <printOptions horizontalCentered="1"/>
  <pageMargins left="0.7" right="0.7" top="0.75" bottom="0.75" header="0.3" footer="0.3"/>
  <pageSetup scale="77" fitToHeight="2" orientation="portrait" horizontalDpi="4294967293" verticalDpi="0" r:id="rId1"/>
  <ignoredErrors>
    <ignoredError sqref="C5 B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BI78"/>
  <sheetViews>
    <sheetView topLeftCell="A25" zoomScale="75" zoomScaleNormal="75" workbookViewId="0">
      <selection sqref="A1:BI1"/>
    </sheetView>
  </sheetViews>
  <sheetFormatPr defaultRowHeight="15"/>
  <cols>
    <col min="1" max="5" width="6.7109375" style="1" customWidth="1"/>
    <col min="6" max="20" width="6.7109375" style="155" customWidth="1"/>
    <col min="21" max="61" width="6.7109375" customWidth="1"/>
  </cols>
  <sheetData>
    <row r="1" spans="1:61" ht="24" customHeight="1" thickBot="1">
      <c r="A1" s="427" t="s">
        <v>169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8"/>
      <c r="AV1" s="428"/>
      <c r="AW1" s="428"/>
      <c r="AX1" s="428"/>
      <c r="AY1" s="428"/>
      <c r="AZ1" s="428"/>
      <c r="BA1" s="428"/>
      <c r="BB1" s="428"/>
      <c r="BC1" s="428"/>
      <c r="BD1" s="428"/>
      <c r="BE1" s="428"/>
      <c r="BF1" s="428"/>
      <c r="BG1" s="428"/>
      <c r="BH1" s="428"/>
      <c r="BI1" s="429"/>
    </row>
    <row r="2" spans="1:61" s="209" customFormat="1" ht="18" customHeight="1">
      <c r="A2" s="213"/>
      <c r="B2" s="253" t="s">
        <v>257</v>
      </c>
      <c r="C2" s="254">
        <f>Design!B4</f>
        <v>8</v>
      </c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6"/>
      <c r="V2" s="253" t="s">
        <v>257</v>
      </c>
      <c r="W2" s="254">
        <f>Design!C4</f>
        <v>12</v>
      </c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6"/>
      <c r="AP2" s="253" t="s">
        <v>257</v>
      </c>
      <c r="AQ2" s="254">
        <f>Design!D4</f>
        <v>16</v>
      </c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6"/>
    </row>
    <row r="3" spans="1:61" s="158" customFormat="1" thickBot="1">
      <c r="A3" s="214" t="s">
        <v>198</v>
      </c>
      <c r="B3" s="210" t="s">
        <v>94</v>
      </c>
      <c r="C3" s="208" t="s">
        <v>223</v>
      </c>
      <c r="D3" s="200" t="s">
        <v>221</v>
      </c>
      <c r="E3" s="200" t="s">
        <v>222</v>
      </c>
      <c r="F3" s="200" t="s">
        <v>95</v>
      </c>
      <c r="G3" s="200" t="s">
        <v>96</v>
      </c>
      <c r="H3" s="200" t="s">
        <v>97</v>
      </c>
      <c r="I3" s="200" t="s">
        <v>186</v>
      </c>
      <c r="J3" s="200" t="s">
        <v>241</v>
      </c>
      <c r="K3" s="200" t="s">
        <v>243</v>
      </c>
      <c r="L3" s="200" t="s">
        <v>244</v>
      </c>
      <c r="M3" s="200" t="s">
        <v>255</v>
      </c>
      <c r="N3" s="200" t="s">
        <v>270</v>
      </c>
      <c r="O3" s="200" t="s">
        <v>271</v>
      </c>
      <c r="P3" s="200" t="s">
        <v>113</v>
      </c>
      <c r="Q3" s="200" t="s">
        <v>235</v>
      </c>
      <c r="R3" s="200" t="s">
        <v>242</v>
      </c>
      <c r="S3" s="200" t="s">
        <v>245</v>
      </c>
      <c r="T3" s="200" t="s">
        <v>246</v>
      </c>
      <c r="U3" s="211" t="s">
        <v>230</v>
      </c>
      <c r="V3" s="210" t="s">
        <v>94</v>
      </c>
      <c r="W3" s="208" t="s">
        <v>223</v>
      </c>
      <c r="X3" s="200" t="s">
        <v>221</v>
      </c>
      <c r="Y3" s="200" t="s">
        <v>222</v>
      </c>
      <c r="Z3" s="200" t="s">
        <v>95</v>
      </c>
      <c r="AA3" s="200" t="s">
        <v>96</v>
      </c>
      <c r="AB3" s="200" t="s">
        <v>97</v>
      </c>
      <c r="AC3" s="200" t="s">
        <v>186</v>
      </c>
      <c r="AD3" s="200" t="s">
        <v>241</v>
      </c>
      <c r="AE3" s="200" t="s">
        <v>243</v>
      </c>
      <c r="AF3" s="200" t="s">
        <v>244</v>
      </c>
      <c r="AG3" s="200" t="s">
        <v>255</v>
      </c>
      <c r="AH3" s="200" t="s">
        <v>270</v>
      </c>
      <c r="AI3" s="200" t="s">
        <v>271</v>
      </c>
      <c r="AJ3" s="200" t="s">
        <v>113</v>
      </c>
      <c r="AK3" s="200" t="s">
        <v>235</v>
      </c>
      <c r="AL3" s="200" t="s">
        <v>242</v>
      </c>
      <c r="AM3" s="200" t="s">
        <v>245</v>
      </c>
      <c r="AN3" s="200" t="s">
        <v>246</v>
      </c>
      <c r="AO3" s="211" t="s">
        <v>230</v>
      </c>
      <c r="AP3" s="210" t="s">
        <v>94</v>
      </c>
      <c r="AQ3" s="208" t="s">
        <v>223</v>
      </c>
      <c r="AR3" s="200" t="s">
        <v>221</v>
      </c>
      <c r="AS3" s="200" t="s">
        <v>222</v>
      </c>
      <c r="AT3" s="200" t="s">
        <v>95</v>
      </c>
      <c r="AU3" s="200" t="s">
        <v>96</v>
      </c>
      <c r="AV3" s="200" t="s">
        <v>97</v>
      </c>
      <c r="AW3" s="200" t="s">
        <v>186</v>
      </c>
      <c r="AX3" s="200" t="s">
        <v>241</v>
      </c>
      <c r="AY3" s="200" t="s">
        <v>243</v>
      </c>
      <c r="AZ3" s="200" t="s">
        <v>244</v>
      </c>
      <c r="BA3" s="200" t="s">
        <v>255</v>
      </c>
      <c r="BB3" s="200" t="s">
        <v>270</v>
      </c>
      <c r="BC3" s="200" t="s">
        <v>271</v>
      </c>
      <c r="BD3" s="200" t="s">
        <v>113</v>
      </c>
      <c r="BE3" s="200" t="s">
        <v>235</v>
      </c>
      <c r="BF3" s="200" t="s">
        <v>242</v>
      </c>
      <c r="BG3" s="200" t="s">
        <v>245</v>
      </c>
      <c r="BH3" s="200" t="s">
        <v>246</v>
      </c>
      <c r="BI3" s="211" t="s">
        <v>230</v>
      </c>
    </row>
    <row r="4" spans="1:61" s="120" customFormat="1" ht="12.75" customHeight="1">
      <c r="A4" s="159">
        <v>25</v>
      </c>
      <c r="B4" s="445">
        <v>0.25</v>
      </c>
      <c r="C4" s="446">
        <f ca="1">FORECAST(B4, OFFSET(Design!$C$15:$C$17,MATCH(B4,Design!$B$15:$B$17,1)-1,0,2), OFFSET(Design!$B$15:$B$17,MATCH(B4,Design!$B$15:$B$17,1)-1,0,2))+(N4-25)*Design!$B$18/1000</f>
        <v>0.32224979991347091</v>
      </c>
      <c r="D4" s="164">
        <f ca="1">IF(100*(Design!$C$29+C4+B4*IF(ISBLANK(Design!$B$42),Constants!$C$6,Design!$B$42)/1000*(1+Constants!$C$36/100*(O4-25)))/($C$2+C4-B4*P4/1000)&gt;Design!$C$36,Design!$C$36,100*(Design!$C$29+C4+B4*IF(ISBLANK(Design!$B$42),Constants!$C$6,Design!$B$42)/1000*(1+Constants!$C$36/100*(O4-25)))/($C$2+C4-B4*P4/1000))</f>
        <v>64.306017325839989</v>
      </c>
      <c r="E4" s="163">
        <f ca="1">IF(($C$2-B4*IF(ISBLANK(Design!$B$42),Constants!$C$6,Design!$B$42)/1000*(1+Constants!$C$36/100*(O4-25))-Design!$C$29) / (IF(ISBLANK(Design!$B$41),Design!$B$39,Design!$B$41)/1000000) * D4/100/(IF(ISBLANK(Design!$B$33),Design!$B$32,Design!$B$33)*1000000)&lt;0,0,($C$2-B4*IF(ISBLANK(Design!$B$42),Constants!$C$6,Design!$B$42)/1000*(1+Constants!$C$36/100*(O4-25))-Design!$C$29) / (IF(ISBLANK(Design!$B$41),Design!$B$39,Design!$B$41)/1000000) * D4/100/(IF(ISBLANK(Design!$B$33),Design!$B$32,Design!$B$33)*1000000))</f>
        <v>0.45254419312455857</v>
      </c>
      <c r="F4" s="163">
        <f>$C$2*Constants!$C$21/1000+IF(ISBLANK(Design!$B$33),Design!$B$32,Design!$B$33)*1000000*Constants!$D$25/1000000000*($C$2-Constants!$C$24)</f>
        <v>3.0374999999999999E-2</v>
      </c>
      <c r="G4" s="163">
        <f>$C$2*B4*($C$2/(Constants!$C$26*1000000000)*IF(ISBLANK(Design!$B$33),Design!$B$32,Design!$B$33)*1000000/2+$C$2/(Constants!$C$27*1000000000)*IF(ISBLANK(Design!$B$33),Design!$B$32,Design!$B$33)*1000000/2)</f>
        <v>6.8000000000000005E-3</v>
      </c>
      <c r="H4" s="163">
        <f t="shared" ref="H4:H9" ca="1" si="0">IF($D$78,1,D4/100*(B4^2+E4^2/12)*P4/1000)</f>
        <v>6.4712742534903797E-3</v>
      </c>
      <c r="I4" s="163">
        <f>Constants!$D$25/1000000000*Constants!$C$24*IF(ISBLANK(Design!$B$33),Design!$B$32,Design!$B$33)*1000000</f>
        <v>1.0624999999999999E-2</v>
      </c>
      <c r="J4" s="163">
        <f t="shared" ref="J4:J9" ca="1" si="1">SUM(F4:I4)</f>
        <v>5.4271274253490376E-2</v>
      </c>
      <c r="K4" s="163">
        <f t="shared" ref="K4:K9" ca="1" si="2">B4*C4*(1-D4/100)</f>
        <v>2.8755946937157401E-2</v>
      </c>
      <c r="L4" s="163">
        <f ca="1">B4^2*IF(ISBLANK(Design!$B$42),Constants!$C$6,Design!$B$42)/1000*(1+(O4-25)*(Constants!$C$36/100))</f>
        <v>2.5181293191643785E-3</v>
      </c>
      <c r="M4" s="163">
        <f>0.5*Snubber!$B$16/1000000000000*$C$2^2*Design!$B$33*1000000</f>
        <v>4.4879999999999998E-3</v>
      </c>
      <c r="N4" s="164">
        <f ca="1">$A4+K4*Design!$B$19</f>
        <v>26.639088975417973</v>
      </c>
      <c r="O4" s="164">
        <f ca="1">J4*Design!$C$12+A4</f>
        <v>26.845223324618672</v>
      </c>
      <c r="P4" s="164">
        <f ca="1">Constants!$D$22+Constants!$D$22*Constants!$C$23/100*(O4-25)</f>
        <v>126.47617865969494</v>
      </c>
      <c r="Q4" s="163">
        <f ca="1">(1-Constants!$C$20/1000000000*Design!$B$33*1000000) * ($C$2+C4-B4*P4/1000) - (C4+B4*Design!$B$42/1000)</f>
        <v>7.6588819193017246</v>
      </c>
      <c r="R4" s="163">
        <f ca="1">IF(Q4&gt;Design!$C$29,Design!$C$29,Q4)</f>
        <v>4.9990521327014221</v>
      </c>
      <c r="S4" s="163">
        <f t="shared" ref="S4:S9" ca="1" si="3">SUM(J4:M4)</f>
        <v>9.0033350509812163E-2</v>
      </c>
      <c r="T4" s="163">
        <f t="shared" ref="T4:T9" ca="1" si="4">R4*B4</f>
        <v>1.2497630331753555</v>
      </c>
      <c r="U4" s="447">
        <f t="shared" ref="U4:U9" ca="1" si="5">100*T4/(T4+S4)</f>
        <v>93.280072135873993</v>
      </c>
      <c r="V4" s="454">
        <v>0.25</v>
      </c>
      <c r="W4" s="455">
        <f ca="1">FORECAST(V4, OFFSET(Design!$C$15:$C$17,MATCH(V4,Design!$B$15:$B$17,1)-1,0,2), OFFSET(Design!$B$15:$B$17,MATCH(V4,Design!$B$15:$B$17,1)-1,0,2))+(AH4-25)*Design!$B$18/1000</f>
        <v>0.32129628985379738</v>
      </c>
      <c r="X4" s="180">
        <f ca="1">IF(100*(Design!$C$29+W4+V4*IF(ISBLANK(Design!$B$42),Constants!$C$6,Design!$B$42)/1000*(1+Constants!$C$36/100*(AI4-25)))/($W$2+W4-V4*AJ4/1000)&gt;Design!$C$36,Design!$C$36,100*(Design!$C$29+W4+V4*IF(ISBLANK(Design!$B$42),Constants!$C$6,Design!$B$42)/1000*(1+Constants!$C$36/100*(AI4-25)))/($W$2+W4-V4*AJ4/1000))</f>
        <v>43.374144010447111</v>
      </c>
      <c r="Y4" s="179">
        <f ca="1">($W$2-V4*IF(ISBLANK(Design!$B$42),Constants!$C$6,Design!$B$42)/1000*(1+Constants!$C$36/100*(AI4-25))-Design!$C$29) / (IF(ISBLANK(Design!$B$41),Design!$B$39,Design!$B$41)/1000000) * X4/100/(IF(ISBLANK(Design!$B$33),Design!$B$32,Design!$B$33)*1000000)</f>
        <v>0.71346257151821146</v>
      </c>
      <c r="Z4" s="179">
        <f>$W$2*Constants!$C$21/1000+IF(ISBLANK(Design!$B$33),Design!$B$32,Design!$B$33)*1000000*Constants!$D$25/1000000000*($W$2-Constants!$C$24)</f>
        <v>5.0874999999999997E-2</v>
      </c>
      <c r="AA4" s="179">
        <f>$W$2*V4*($W$2/(Constants!$C$26*1000000000)*IF(ISBLANK(Design!$B$33),Design!$B$32,Design!$B$33)*1000000/2+$W$2/(Constants!$C$27*1000000000)*IF(ISBLANK(Design!$B$33),Design!$B$32,Design!$B$33)*1000000/2)</f>
        <v>1.5300000000000001E-2</v>
      </c>
      <c r="AB4" s="179">
        <f t="shared" ref="AB4:AB9" ca="1" si="6">IF($D$78,1,X4/100*(V4^2+Y4^2/12)*AJ4/1000)</f>
        <v>5.7907002263174754E-3</v>
      </c>
      <c r="AC4" s="179">
        <f>Constants!$D$25/1000000000*Constants!$C$24*IF(ISBLANK(Design!$B$33),Design!$B$32,Design!$B$33)*1000000</f>
        <v>1.0624999999999999E-2</v>
      </c>
      <c r="AD4" s="179">
        <f t="shared" ref="AD4:AD9" ca="1" si="7">SUM(Z4:AC4)</f>
        <v>8.2590700226317468E-2</v>
      </c>
      <c r="AE4" s="179">
        <f t="shared" ref="AE4:AE9" ca="1" si="8">V4*W4*(1-X4/100)</f>
        <v>4.5484193598096932E-2</v>
      </c>
      <c r="AF4" s="179">
        <f ca="1">V4^2*IF(ISBLANK(Design!$B$42),Constants!$C$6,Design!$B$42)/1000*(1+(AI4-25)*(Constants!$C$36/100))</f>
        <v>2.5275894234106011E-3</v>
      </c>
      <c r="AG4" s="179">
        <f>0.5*Snubber!$B$16/1000000000000*$W$2^2*Design!$B$33*1000000</f>
        <v>1.0097999999999999E-2</v>
      </c>
      <c r="AH4" s="180">
        <f ca="1">$A4+AE4*Design!$B$19</f>
        <v>27.592599035091524</v>
      </c>
      <c r="AI4" s="180">
        <f ca="1">AD4*Design!$C$12+$A4</f>
        <v>27.808083807694793</v>
      </c>
      <c r="AJ4" s="180">
        <f ca="1">Constants!$D$22+Constants!$D$22*Constants!$C$23/100*(AI4-25)</f>
        <v>127.24646704615583</v>
      </c>
      <c r="AK4" s="179">
        <f ca="1">(1-Constants!$C$20/1000000000*Design!$B$33*1000000) * ($W$2+W4-V4*AJ4/1000) - (W4+V4*Design!$B$42/1000)</f>
        <v>11.514230749423003</v>
      </c>
      <c r="AL4" s="179">
        <f ca="1">IF(AK4&gt;Design!$C$29,Design!$C$29,AK4)</f>
        <v>4.9990521327014221</v>
      </c>
      <c r="AM4" s="179">
        <f t="shared" ref="AM4:AM9" ca="1" si="9">SUM(AD4:AG4)</f>
        <v>0.140700483247825</v>
      </c>
      <c r="AN4" s="179">
        <f t="shared" ref="AN4:AN9" ca="1" si="10">AL4*V4</f>
        <v>1.2497630331753555</v>
      </c>
      <c r="AO4" s="456">
        <f t="shared" ref="AO4:AO9" ca="1" si="11">100*AN4/(AN4+AM4)</f>
        <v>89.881037396093504</v>
      </c>
      <c r="AP4" s="463">
        <v>0.25</v>
      </c>
      <c r="AQ4" s="464">
        <f ca="1">FORECAST(AP4, OFFSET(Design!$C$15:$C$17,MATCH(AP4,Design!$B$15:$B$17,1)-1,0,2), OFFSET(Design!$B$15:$B$17,MATCH(AP4,Design!$B$15:$B$17,1)-1,0,2))+(BB4-25)*Design!$B$18/1000</f>
        <v>0.32081321614293407</v>
      </c>
      <c r="AR4" s="193">
        <f ca="1">IF(100*(Design!$C$29+AQ4+AP4*IF(ISBLANK(Design!$B$42),Constants!$C$6,Design!$B$42)/1000*(1+Constants!$C$36/100*(BC4-25)))/($AQ$2+AQ4-AP4*BD4/1000)&gt;Design!$C$36,Design!$C$36,100*(Design!$C$29+AQ4+AP4*IF(ISBLANK(Design!$B$42),Constants!$C$6,Design!$B$42)/1000*(1+Constants!$C$36/100*(BC4-25)))/($AQ$2+AQ4-AP4*BD4/1000))</f>
        <v>32.722009859316557</v>
      </c>
      <c r="AS4" s="192">
        <f ca="1">($AQ$2-AP4*IF(ISBLANK(Design!$B$42),Constants!$C$6,Design!$B$42)/1000*(1+Constants!$C$36/100*(BC4-25))-Design!$C$29) / (IF(ISBLANK(Design!$B$41),Design!$B$39,Design!$B$41)/1000000) * AR4/100/(IF(ISBLANK(Design!$B$33),Design!$B$32,Design!$B$33)*1000000)</f>
        <v>0.84621389642560552</v>
      </c>
      <c r="AT4" s="192">
        <f>$AQ$2*Constants!$C$21/1000+IF(ISBLANK(Design!$B$33),Design!$B$32,Design!$B$33)*1000000*Constants!$D$25/1000000000*($AQ$2-Constants!$C$24)</f>
        <v>7.1374999999999994E-2</v>
      </c>
      <c r="AU4" s="192">
        <f>$AQ$2*AP4*($AQ$2/(Constants!$C$26*1000000000)*IF(ISBLANK(Design!$B$33),Design!$B$32,Design!$B$33)*1000000/2+$AQ$2/(Constants!$C$27*1000000000)*IF(ISBLANK(Design!$B$33),Design!$B$32,Design!$B$33)*1000000/2)</f>
        <v>2.7200000000000002E-2</v>
      </c>
      <c r="AV4" s="192">
        <f t="shared" ref="AV4:AV9" ca="1" si="12">IF($D$78,1,AR4/100*(AP4^2+AS4^2/12)*BD4/1000)</f>
        <v>5.1215011874762156E-3</v>
      </c>
      <c r="AW4" s="192">
        <f>Constants!$D$25/1000000000*Constants!$C$24*IF(ISBLANK(Design!$B$33),Design!$B$32,Design!$B$33)*1000000</f>
        <v>1.0624999999999999E-2</v>
      </c>
      <c r="AX4" s="192">
        <f t="shared" ref="AX4:AX9" ca="1" si="13">SUM(AT4:AW4)</f>
        <v>0.11432150118747621</v>
      </c>
      <c r="AY4" s="192">
        <f t="shared" ref="AY4:AY9" ca="1" si="14">AP4*AQ4*(1-AR4/100)</f>
        <v>5.3959170981663161E-2</v>
      </c>
      <c r="AZ4" s="192">
        <f ca="1">AP4^2*IF(ISBLANK(Design!$B$42),Constants!$C$6,Design!$B$42)/1000*(1+(BC4-25)*(Constants!$C$36/100))</f>
        <v>2.5381890974716763E-3</v>
      </c>
      <c r="BA4" s="192">
        <f>0.5*Snubber!$B$16/1000000000000*$AQ$2^2*Design!$B$33*1000000</f>
        <v>1.7951999999999999E-2</v>
      </c>
      <c r="BB4" s="193">
        <f ca="1">$A4+AY4*Design!$B$19</f>
        <v>28.075672745954801</v>
      </c>
      <c r="BC4" s="193">
        <f ca="1">AX4*Design!$C$12+$A4</f>
        <v>28.88693104037419</v>
      </c>
      <c r="BD4" s="193">
        <f ca="1">Constants!$D$22+Constants!$D$22*Constants!$C$23/100*(BC4-25)</f>
        <v>128.10954483229935</v>
      </c>
      <c r="BE4" s="192">
        <f ca="1">(1-Constants!$C$20/1000000000*Design!$B$33*1000000) * ($AQ$2+AQ4-AP4*BD4/1000) - (AQ4+AP4*Design!$B$42/1000)</f>
        <v>15.36954022568553</v>
      </c>
      <c r="BF4" s="192">
        <f ca="1">IF(BE4&gt;Design!$C$29,Design!$C$29,BE4)</f>
        <v>4.9990521327014221</v>
      </c>
      <c r="BG4" s="192">
        <f t="shared" ref="BG4:BG9" ca="1" si="15">SUM(AX4:BA4)</f>
        <v>0.18877086126661102</v>
      </c>
      <c r="BH4" s="192">
        <f t="shared" ref="BH4:BH9" ca="1" si="16">BF4*AP4</f>
        <v>1.2497630331753555</v>
      </c>
      <c r="BI4" s="465">
        <f t="shared" ref="BI4:BI9" ca="1" si="17">100*BH4/(BH4+BG4)</f>
        <v>86.877552069091934</v>
      </c>
    </row>
    <row r="5" spans="1:61" s="120" customFormat="1" ht="12.75">
      <c r="A5" s="112">
        <v>25</v>
      </c>
      <c r="B5" s="448">
        <f>B4+0.25</f>
        <v>0.5</v>
      </c>
      <c r="C5" s="449">
        <f ca="1">FORECAST(B5, OFFSET(Design!$C$15:$C$17,MATCH(B5,Design!$B$15:$B$17,1)-1,0,2), OFFSET(Design!$B$15:$B$17,MATCH(B5,Design!$B$15:$B$17,1)-1,0,2))+(N5-25)*Design!$B$18/1000</f>
        <v>0.33991868430230204</v>
      </c>
      <c r="D5" s="166">
        <f ca="1">IF(100*(Design!$C$29+C5+B5*IF(ISBLANK(Design!$B$42),Constants!$C$6,Design!$B$42)/1000*(1+Constants!$C$36/100*(O5-25)))/($C$2+C5-B5*P5/1000)&gt;Design!$C$36,Design!$C$36,100*(Design!$C$29+C5+B5*IF(ISBLANK(Design!$B$42),Constants!$C$6,Design!$B$42)/1000*(1+Constants!$C$36/100*(O5-25)))/($C$2+C5-B5*P5/1000))</f>
        <v>64.75267402591497</v>
      </c>
      <c r="E5" s="165">
        <f ca="1">IF(($C$2-B5*IF(ISBLANK(Design!$B$42),Constants!$C$6,Design!$B$42)/1000*(1+Constants!$C$36/100*(O5-25))-Design!$C$29) / (IF(ISBLANK(Design!$B$41),Design!$B$39,Design!$B$41)/1000000) * D5/100/(IF(ISBLANK(Design!$B$33),Design!$B$32,Design!$B$33)*1000000)&lt;0,0,($C$2-B5*IF(ISBLANK(Design!$B$42),Constants!$C$6,Design!$B$42)/1000*(1+Constants!$C$36/100*(O5-25))-Design!$C$29) / (IF(ISBLANK(Design!$B$41),Design!$B$39,Design!$B$41)/1000000) * D5/100/(IF(ISBLANK(Design!$B$33),Design!$B$32,Design!$B$33)*1000000))</f>
        <v>0.4541437472441015</v>
      </c>
      <c r="F5" s="165">
        <f>$C$2*Constants!$C$21/1000+IF(ISBLANK(Design!$B$33),Design!$B$32,Design!$B$33)*1000000*Constants!$D$25/1000000000*($C$2-Constants!$C$24)</f>
        <v>3.0374999999999999E-2</v>
      </c>
      <c r="G5" s="165">
        <f>$C$2*B5*($C$2/(Constants!$C$26*1000000000)*IF(ISBLANK(Design!$B$33),Design!$B$32,Design!$B$33)*1000000/2+$C$2/(Constants!$C$27*1000000000)*IF(ISBLANK(Design!$B$33),Design!$B$32,Design!$B$33)*1000000/2)</f>
        <v>1.3600000000000001E-2</v>
      </c>
      <c r="H5" s="165">
        <f t="shared" ca="1" si="0"/>
        <v>2.1986767372291313E-2</v>
      </c>
      <c r="I5" s="165">
        <f>Constants!$D$25/1000000000*Constants!$C$24*IF(ISBLANK(Design!$B$33),Design!$B$32,Design!$B$33)*1000000</f>
        <v>1.0624999999999999E-2</v>
      </c>
      <c r="J5" s="165">
        <f t="shared" ca="1" si="1"/>
        <v>7.6586767372291309E-2</v>
      </c>
      <c r="K5" s="165">
        <f t="shared" ca="1" si="2"/>
        <v>5.9906123351426699E-2</v>
      </c>
      <c r="L5" s="165">
        <f ca="1">B5^2*IF(ISBLANK(Design!$B$42),Constants!$C$6,Design!$B$42)/1000*(1+(O5-25)*(Constants!$C$36/100))</f>
        <v>1.0102335238562856E-2</v>
      </c>
      <c r="M5" s="165">
        <f>0.5*Snubber!$B$16/1000000000000*$C$2^2*Design!$B$33*1000000</f>
        <v>4.4879999999999998E-3</v>
      </c>
      <c r="N5" s="166">
        <f ca="1">$A5+K5*Design!$B$19</f>
        <v>28.41464903103132</v>
      </c>
      <c r="O5" s="166">
        <f ca="1">J5*Design!$C$12+A5</f>
        <v>27.603950090657904</v>
      </c>
      <c r="P5" s="166">
        <f ca="1">Constants!$D$22+Constants!$D$22*Constants!$C$23/100*(O5-25)</f>
        <v>127.08316007252633</v>
      </c>
      <c r="Q5" s="165">
        <f ca="1">(1-Constants!$C$20/1000000000*Design!$B$33*1000000) * ($C$2+C5-B5*P5/1000) - (C5+B5*Design!$B$42/1000)</f>
        <v>7.6174742970721265</v>
      </c>
      <c r="R5" s="165">
        <f ca="1">IF(Q5&gt;Design!$C$29,Design!$C$29,Q5)</f>
        <v>4.9990521327014221</v>
      </c>
      <c r="S5" s="165">
        <f t="shared" ca="1" si="3"/>
        <v>0.15108322596228085</v>
      </c>
      <c r="T5" s="165">
        <f t="shared" ca="1" si="4"/>
        <v>2.4995260663507111</v>
      </c>
      <c r="U5" s="450">
        <f t="shared" ca="1" si="5"/>
        <v>94.300056730336081</v>
      </c>
      <c r="V5" s="457">
        <f>V4+0.25</f>
        <v>0.5</v>
      </c>
      <c r="W5" s="458">
        <f ca="1">FORECAST(V5, OFFSET(Design!$C$15:$C$17,MATCH(V5,Design!$B$15:$B$17,1)-1,0,2), OFFSET(Design!$B$15:$B$17,MATCH(V5,Design!$B$15:$B$17,1)-1,0,2))+(AH5-25)*Design!$B$18/1000</f>
        <v>0.33790638801312273</v>
      </c>
      <c r="X5" s="184">
        <f ca="1">IF(100*(Design!$C$29+W5+V5*IF(ISBLANK(Design!$B$42),Constants!$C$6,Design!$B$42)/1000*(1+Constants!$C$36/100*(AI5-25)))/($W$2+W5-V5*AJ5/1000)&gt;Design!$C$36,Design!$C$36,100*(Design!$C$29+W5+V5*IF(ISBLANK(Design!$B$42),Constants!$C$6,Design!$B$42)/1000*(1+Constants!$C$36/100*(AI5-25)))/($W$2+W5-V5*AJ5/1000))</f>
        <v>43.647370751959862</v>
      </c>
      <c r="Y5" s="183">
        <f ca="1">($W$2-V5*IF(ISBLANK(Design!$B$42),Constants!$C$6,Design!$B$42)/1000*(1+Constants!$C$36/100*(AI5-25))-Design!$C$29) / (IF(ISBLANK(Design!$B$41),Design!$B$39,Design!$B$41)/1000000) * X5/100/(IF(ISBLANK(Design!$B$33),Design!$B$32,Design!$B$33)*1000000)</f>
        <v>0.71691145737122863</v>
      </c>
      <c r="Z5" s="183">
        <f>$W$2*Constants!$C$21/1000+IF(ISBLANK(Design!$B$33),Design!$B$32,Design!$B$33)*1000000*Constants!$D$25/1000000000*($W$2-Constants!$C$24)</f>
        <v>5.0874999999999997E-2</v>
      </c>
      <c r="AA5" s="183">
        <f>$W$2*V5*($W$2/(Constants!$C$26*1000000000)*IF(ISBLANK(Design!$B$33),Design!$B$32,Design!$B$33)*1000000/2+$W$2/(Constants!$C$27*1000000000)*IF(ISBLANK(Design!$B$33),Design!$B$32,Design!$B$33)*1000000/2)</f>
        <v>3.0600000000000002E-2</v>
      </c>
      <c r="AB5" s="183">
        <f t="shared" ca="1" si="6"/>
        <v>1.635362325870025E-2</v>
      </c>
      <c r="AC5" s="183">
        <f>Constants!$D$25/1000000000*Constants!$C$24*IF(ISBLANK(Design!$B$33),Design!$B$32,Design!$B$33)*1000000</f>
        <v>1.0624999999999999E-2</v>
      </c>
      <c r="AD5" s="183">
        <f t="shared" ca="1" si="7"/>
        <v>0.10845362325870024</v>
      </c>
      <c r="AE5" s="183">
        <f t="shared" ca="1" si="8"/>
        <v>9.5209567021239505E-2</v>
      </c>
      <c r="AF5" s="183">
        <f ca="1">V5^2*IF(ISBLANK(Design!$B$42),Constants!$C$6,Design!$B$42)/1000*(1+(AI5-25)*(Constants!$C$36/100))</f>
        <v>1.0144915731398276E-2</v>
      </c>
      <c r="AG5" s="183">
        <f>0.5*Snubber!$B$16/1000000000000*$W$2^2*Design!$B$33*1000000</f>
        <v>1.0097999999999999E-2</v>
      </c>
      <c r="AH5" s="184">
        <f ca="1">$A5+AE5*Design!$B$19</f>
        <v>30.426945320210653</v>
      </c>
      <c r="AI5" s="184">
        <f ca="1">AD5*Design!$C$12+$A5</f>
        <v>28.687423190795808</v>
      </c>
      <c r="AJ5" s="184">
        <f ca="1">Constants!$D$22+Constants!$D$22*Constants!$C$23/100*(AI5-25)</f>
        <v>127.94993855263665</v>
      </c>
      <c r="AK5" s="183">
        <f ca="1">(1-Constants!$C$20/1000000000*Design!$B$33*1000000) * ($W$2+W5-V5*AJ5/1000) - (W5+V5*Design!$B$42/1000)</f>
        <v>11.472629258221817</v>
      </c>
      <c r="AL5" s="183">
        <f ca="1">IF(AK5&gt;Design!$C$29,Design!$C$29,AK5)</f>
        <v>4.9990521327014221</v>
      </c>
      <c r="AM5" s="183">
        <f t="shared" ca="1" si="9"/>
        <v>0.22390610601133801</v>
      </c>
      <c r="AN5" s="183">
        <f t="shared" ca="1" si="10"/>
        <v>2.4995260663507111</v>
      </c>
      <c r="AO5" s="459">
        <f t="shared" ca="1" si="11"/>
        <v>91.778531946432039</v>
      </c>
      <c r="AP5" s="466">
        <f>AP4+0.25</f>
        <v>0.5</v>
      </c>
      <c r="AQ5" s="467">
        <f ca="1">FORECAST(AP5, OFFSET(Design!$C$15:$C$17,MATCH(AP5,Design!$B$15:$B$17,1)-1,0,2), OFFSET(Design!$B$15:$B$17,MATCH(AP5,Design!$B$15:$B$17,1)-1,0,2))+(BB5-25)*Design!$B$18/1000</f>
        <v>0.33689238757448181</v>
      </c>
      <c r="AR5" s="196">
        <f ca="1">IF(100*(Design!$C$29+AQ5+AP5*IF(ISBLANK(Design!$B$42),Constants!$C$6,Design!$B$42)/1000*(1+Constants!$C$36/100*(BC5-25)))/($AQ$2+AQ5-AP5*BD5/1000)&gt;Design!$C$36,Design!$C$36,100*(Design!$C$29+AQ5+AP5*IF(ISBLANK(Design!$B$42),Constants!$C$6,Design!$B$42)/1000*(1+Constants!$C$36/100*(BC5-25)))/($AQ$2+AQ5-AP5*BD5/1000))</f>
        <v>32.91682889336753</v>
      </c>
      <c r="AS5" s="195">
        <f ca="1">($AQ$2-AP5*IF(ISBLANK(Design!$B$42),Constants!$C$6,Design!$B$42)/1000*(1+Constants!$C$36/100*(BC5-25))-Design!$C$29) / (IF(ISBLANK(Design!$B$41),Design!$B$39,Design!$B$41)/1000000) * AR5/100/(IF(ISBLANK(Design!$B$33),Design!$B$32,Design!$B$33)*1000000)</f>
        <v>0.85045840884763269</v>
      </c>
      <c r="AT5" s="195">
        <f>$AQ$2*Constants!$C$21/1000+IF(ISBLANK(Design!$B$33),Design!$B$32,Design!$B$33)*1000000*Constants!$D$25/1000000000*($AQ$2-Constants!$C$24)</f>
        <v>7.1374999999999994E-2</v>
      </c>
      <c r="AU5" s="195">
        <f>$AQ$2*AP5*($AQ$2/(Constants!$C$26*1000000000)*IF(ISBLANK(Design!$B$33),Design!$B$32,Design!$B$33)*1000000/2+$AQ$2/(Constants!$C$27*1000000000)*IF(ISBLANK(Design!$B$33),Design!$B$32,Design!$B$33)*1000000/2)</f>
        <v>5.4400000000000004E-2</v>
      </c>
      <c r="AV5" s="195">
        <f t="shared" ca="1" si="12"/>
        <v>1.3182054116552775E-2</v>
      </c>
      <c r="AW5" s="195">
        <f>Constants!$D$25/1000000000*Constants!$C$24*IF(ISBLANK(Design!$B$33),Design!$B$32,Design!$B$33)*1000000</f>
        <v>1.0624999999999999E-2</v>
      </c>
      <c r="AX5" s="195">
        <f t="shared" ca="1" si="13"/>
        <v>0.14958205411655276</v>
      </c>
      <c r="AY5" s="195">
        <f t="shared" ca="1" si="14"/>
        <v>0.11299904840090452</v>
      </c>
      <c r="AZ5" s="195">
        <f ca="1">AP5^2*IF(ISBLANK(Design!$B$42),Constants!$C$6,Design!$B$42)/1000*(1+(BC5-25)*(Constants!$C$36/100))</f>
        <v>1.0199871540710536E-2</v>
      </c>
      <c r="BA5" s="195">
        <f>0.5*Snubber!$B$16/1000000000000*$AQ$2^2*Design!$B$33*1000000</f>
        <v>1.7951999999999999E-2</v>
      </c>
      <c r="BB5" s="196">
        <f ca="1">$A5+AY5*Design!$B$19</f>
        <v>31.440945758851559</v>
      </c>
      <c r="BC5" s="196">
        <f ca="1">AX5*Design!$C$12+$A5</f>
        <v>30.085789839962793</v>
      </c>
      <c r="BD5" s="196">
        <f ca="1">Constants!$D$22+Constants!$D$22*Constants!$C$23/100*(BC5-25)</f>
        <v>129.06863187197024</v>
      </c>
      <c r="BE5" s="195">
        <f ca="1">(1-Constants!$C$20/1000000000*Design!$B$33*1000000) * ($AQ$2+AQ5-AP5*BD5/1000) - (AQ5+AP5*Design!$B$42/1000)</f>
        <v>15.327626748726075</v>
      </c>
      <c r="BF5" s="195">
        <f ca="1">IF(BE5&gt;Design!$C$29,Design!$C$29,BE5)</f>
        <v>4.9990521327014221</v>
      </c>
      <c r="BG5" s="195">
        <f t="shared" ca="1" si="15"/>
        <v>0.29073297405816784</v>
      </c>
      <c r="BH5" s="195">
        <f t="shared" ca="1" si="16"/>
        <v>2.4995260663507111</v>
      </c>
      <c r="BI5" s="468">
        <f t="shared" ca="1" si="17"/>
        <v>89.580430710993625</v>
      </c>
    </row>
    <row r="6" spans="1:61" s="120" customFormat="1" ht="12.75">
      <c r="A6" s="112">
        <v>25</v>
      </c>
      <c r="B6" s="448">
        <f t="shared" ref="B6:B13" si="18">B5+0.25</f>
        <v>0.75</v>
      </c>
      <c r="C6" s="449">
        <f ca="1">FORECAST(B6, OFFSET(Design!$C$15:$C$17,MATCH(B6,Design!$B$15:$B$17,1)-1,0,2), OFFSET(Design!$B$15:$B$17,MATCH(B6,Design!$B$15:$B$17,1)-1,0,2))+(N6-25)*Design!$B$18/1000</f>
        <v>0.357460711209105</v>
      </c>
      <c r="D6" s="166">
        <f ca="1">IF(100*(Design!$C$29+C6+B6*IF(ISBLANK(Design!$B$42),Constants!$C$6,Design!$B$42)/1000*(1+Constants!$C$36/100*(O6-25)))/($C$2+C6-B6*P6/1000)&gt;Design!$C$36,Design!$C$36,100*(Design!$C$29+C6+B6*IF(ISBLANK(Design!$B$42),Constants!$C$6,Design!$B$42)/1000*(1+Constants!$C$36/100*(O6-25)))/($C$2+C6-B6*P6/1000))</f>
        <v>65.205735268895552</v>
      </c>
      <c r="E6" s="165">
        <f ca="1">IF(($C$2-B6*IF(ISBLANK(Design!$B$42),Constants!$C$6,Design!$B$42)/1000*(1+Constants!$C$36/100*(O6-25))-Design!$C$29) / (IF(ISBLANK(Design!$B$41),Design!$B$39,Design!$B$41)/1000000) * D6/100/(IF(ISBLANK(Design!$B$33),Design!$B$32,Design!$B$33)*1000000)&lt;0,0,($C$2-B6*IF(ISBLANK(Design!$B$42),Constants!$C$6,Design!$B$42)/1000*(1+Constants!$C$36/100*(O6-25))-Design!$C$29) / (IF(ISBLANK(Design!$B$41),Design!$B$39,Design!$B$41)/1000000) * D6/100/(IF(ISBLANK(Design!$B$33),Design!$B$32,Design!$B$33)*1000000))</f>
        <v>0.45575092575088344</v>
      </c>
      <c r="F6" s="165">
        <f>$C$2*Constants!$C$21/1000+IF(ISBLANK(Design!$B$33),Design!$B$32,Design!$B$33)*1000000*Constants!$D$25/1000000000*($C$2-Constants!$C$24)</f>
        <v>3.0374999999999999E-2</v>
      </c>
      <c r="G6" s="165">
        <f>$C$2*B6*($C$2/(Constants!$C$26*1000000000)*IF(ISBLANK(Design!$B$33),Design!$B$32,Design!$B$33)*1000000/2+$C$2/(Constants!$C$27*1000000000)*IF(ISBLANK(Design!$B$33),Design!$B$32,Design!$B$33)*1000000/2)</f>
        <v>2.0400000000000001E-2</v>
      </c>
      <c r="H6" s="165">
        <f t="shared" ca="1" si="0"/>
        <v>4.8387593846603273E-2</v>
      </c>
      <c r="I6" s="165">
        <f>Constants!$D$25/1000000000*Constants!$C$24*IF(ISBLANK(Design!$B$33),Design!$B$32,Design!$B$33)*1000000</f>
        <v>1.0624999999999999E-2</v>
      </c>
      <c r="J6" s="165">
        <f t="shared" ca="1" si="1"/>
        <v>0.10978759384660328</v>
      </c>
      <c r="K6" s="165">
        <f t="shared" ca="1" si="2"/>
        <v>9.3281869625838565E-2</v>
      </c>
      <c r="L6" s="165">
        <f ca="1">B6^2*IF(ISBLANK(Design!$B$42),Constants!$C$6,Design!$B$42)/1000*(1+(O6-25)*(Constants!$C$36/100))</f>
        <v>2.2830070911520117E-2</v>
      </c>
      <c r="M6" s="165">
        <f>0.5*Snubber!$B$16/1000000000000*$C$2^2*Design!$B$33*1000000</f>
        <v>4.4879999999999998E-3</v>
      </c>
      <c r="N6" s="166">
        <f ca="1">$A6+K6*Design!$B$19</f>
        <v>30.3170665686728</v>
      </c>
      <c r="O6" s="166">
        <f ca="1">J6*Design!$C$12+A6</f>
        <v>28.732778190784511</v>
      </c>
      <c r="P6" s="166">
        <f ca="1">Constants!$D$22+Constants!$D$22*Constants!$C$23/100*(O6-25)</f>
        <v>127.98622255262761</v>
      </c>
      <c r="Q6" s="165">
        <f ca="1">(1-Constants!$C$20/1000000000*Design!$B$33*1000000) * ($C$2+C6-B6*P6/1000) - (C6+B6*Design!$B$42/1000)</f>
        <v>7.5755646916103858</v>
      </c>
      <c r="R6" s="165">
        <f ca="1">IF(Q6&gt;Design!$C$29,Design!$C$29,Q6)</f>
        <v>4.9990521327014221</v>
      </c>
      <c r="S6" s="165">
        <f t="shared" ca="1" si="3"/>
        <v>0.23038753438396195</v>
      </c>
      <c r="T6" s="165">
        <f t="shared" ca="1" si="4"/>
        <v>3.7492890995260666</v>
      </c>
      <c r="U6" s="450">
        <f t="shared" ca="1" si="5"/>
        <v>94.210898131248257</v>
      </c>
      <c r="V6" s="457">
        <f t="shared" ref="V6:V13" si="19">V5+0.25</f>
        <v>0.75</v>
      </c>
      <c r="W6" s="458">
        <f ca="1">FORECAST(V6, OFFSET(Design!$C$15:$C$17,MATCH(V6,Design!$B$15:$B$17,1)-1,0,2), OFFSET(Design!$B$15:$B$17,MATCH(V6,Design!$B$15:$B$17,1)-1,0,2))+(AH6-25)*Design!$B$18/1000</f>
        <v>0.35428451895860458</v>
      </c>
      <c r="X6" s="184">
        <f ca="1">IF(100*(Design!$C$29+W6+V6*IF(ISBLANK(Design!$B$42),Constants!$C$6,Design!$B$42)/1000*(1+Constants!$C$36/100*(AI6-25)))/($W$2+W6-V6*AJ6/1000)&gt;Design!$C$36,Design!$C$36,100*(Design!$C$29+W6+V6*IF(ISBLANK(Design!$B$42),Constants!$C$6,Design!$B$42)/1000*(1+Constants!$C$36/100*(AI6-25)))/($W$2+W6-V6*AJ6/1000))</f>
        <v>43.922833122847798</v>
      </c>
      <c r="Y6" s="183">
        <f ca="1">($W$2-V6*IF(ISBLANK(Design!$B$42),Constants!$C$6,Design!$B$42)/1000*(1+Constants!$C$36/100*(AI6-25))-Design!$C$29) / (IF(ISBLANK(Design!$B$41),Design!$B$39,Design!$B$41)/1000000) * X6/100/(IF(ISBLANK(Design!$B$33),Design!$B$32,Design!$B$33)*1000000)</f>
        <v>0.72037372685101708</v>
      </c>
      <c r="Z6" s="183">
        <f>$W$2*Constants!$C$21/1000+IF(ISBLANK(Design!$B$33),Design!$B$32,Design!$B$33)*1000000*Constants!$D$25/1000000000*($W$2-Constants!$C$24)</f>
        <v>5.0874999999999997E-2</v>
      </c>
      <c r="AA6" s="183">
        <f>$W$2*V6*($W$2/(Constants!$C$26*1000000000)*IF(ISBLANK(Design!$B$33),Design!$B$32,Design!$B$33)*1000000/2+$W$2/(Constants!$C$27*1000000000)*IF(ISBLANK(Design!$B$33),Design!$B$32,Design!$B$33)*1000000/2)</f>
        <v>4.5900000000000003E-2</v>
      </c>
      <c r="AB6" s="183">
        <f t="shared" ca="1" si="6"/>
        <v>3.4282874266487018E-2</v>
      </c>
      <c r="AC6" s="183">
        <f>Constants!$D$25/1000000000*Constants!$C$24*IF(ISBLANK(Design!$B$33),Design!$B$32,Design!$B$33)*1000000</f>
        <v>1.0624999999999999E-2</v>
      </c>
      <c r="AD6" s="183">
        <f t="shared" ca="1" si="7"/>
        <v>0.14168287426648701</v>
      </c>
      <c r="AE6" s="183">
        <f t="shared" ca="1" si="8"/>
        <v>0.14900454068724947</v>
      </c>
      <c r="AF6" s="183">
        <f ca="1">V6^2*IF(ISBLANK(Design!$B$42),Constants!$C$6,Design!$B$42)/1000*(1+(AI6-25)*(Constants!$C$36/100))</f>
        <v>2.2925962477338479E-2</v>
      </c>
      <c r="AG6" s="183">
        <f>0.5*Snubber!$B$16/1000000000000*$W$2^2*Design!$B$33*1000000</f>
        <v>1.0097999999999999E-2</v>
      </c>
      <c r="AH6" s="184">
        <f ca="1">$A6+AE6*Design!$B$19</f>
        <v>33.493258819173221</v>
      </c>
      <c r="AI6" s="184">
        <f ca="1">AD6*Design!$C$12+$A6</f>
        <v>29.817217725060559</v>
      </c>
      <c r="AJ6" s="184">
        <f ca="1">Constants!$D$22+Constants!$D$22*Constants!$C$23/100*(AI6-25)</f>
        <v>128.85377418004845</v>
      </c>
      <c r="AK6" s="183">
        <f ca="1">(1-Constants!$C$20/1000000000*Design!$B$33*1000000) * ($W$2+W6-V6*AJ6/1000) - (W6+V6*Design!$B$42/1000)</f>
        <v>11.430552273061775</v>
      </c>
      <c r="AL6" s="183">
        <f ca="1">IF(AK6&gt;Design!$C$29,Design!$C$29,AK6)</f>
        <v>4.9990521327014221</v>
      </c>
      <c r="AM6" s="183">
        <f t="shared" ca="1" si="9"/>
        <v>0.32371137743107498</v>
      </c>
      <c r="AN6" s="183">
        <f t="shared" ca="1" si="10"/>
        <v>3.7492890995260666</v>
      </c>
      <c r="AO6" s="459">
        <f t="shared" ca="1" si="11"/>
        <v>92.052262717314647</v>
      </c>
      <c r="AP6" s="466">
        <f t="shared" ref="AP6:AP13" si="20">AP5+0.25</f>
        <v>0.75</v>
      </c>
      <c r="AQ6" s="467">
        <f ca="1">FORECAST(AP6, OFFSET(Design!$C$15:$C$17,MATCH(AP6,Design!$B$15:$B$17,1)-1,0,2), OFFSET(Design!$B$15:$B$17,MATCH(AP6,Design!$B$15:$B$17,1)-1,0,2))+(BB6-25)*Design!$B$18/1000</f>
        <v>0.35269278580599916</v>
      </c>
      <c r="AR6" s="196">
        <f ca="1">IF(100*(Design!$C$29+AQ6+AP6*IF(ISBLANK(Design!$B$42),Constants!$C$6,Design!$B$42)/1000*(1+Constants!$C$36/100*(BC6-25)))/($AQ$2+AQ6-AP6*BD6/1000)&gt;Design!$C$36,Design!$C$36,100*(Design!$C$29+AQ6+AP6*IF(ISBLANK(Design!$B$42),Constants!$C$6,Design!$B$42)/1000*(1+Constants!$C$36/100*(BC6-25)))/($AQ$2+AQ6-AP6*BD6/1000))</f>
        <v>33.112823837670227</v>
      </c>
      <c r="AS6" s="195">
        <f ca="1">($AQ$2-AP6*IF(ISBLANK(Design!$B$42),Constants!$C$6,Design!$B$42)/1000*(1+Constants!$C$36/100*(BC6-25))-Design!$C$29) / (IF(ISBLANK(Design!$B$41),Design!$B$39,Design!$B$41)/1000000) * AR6/100/(IF(ISBLANK(Design!$B$33),Design!$B$32,Design!$B$33)*1000000)</f>
        <v>0.85471478023724701</v>
      </c>
      <c r="AT6" s="195">
        <f>$AQ$2*Constants!$C$21/1000+IF(ISBLANK(Design!$B$33),Design!$B$32,Design!$B$33)*1000000*Constants!$D$25/1000000000*($AQ$2-Constants!$C$24)</f>
        <v>7.1374999999999994E-2</v>
      </c>
      <c r="AU6" s="195">
        <f>$AQ$2*AP6*($AQ$2/(Constants!$C$26*1000000000)*IF(ISBLANK(Design!$B$33),Design!$B$32,Design!$B$33)*1000000/2+$AQ$2/(Constants!$C$27*1000000000)*IF(ISBLANK(Design!$B$33),Design!$B$32,Design!$B$33)*1000000/2)</f>
        <v>8.1600000000000006E-2</v>
      </c>
      <c r="AV6" s="195">
        <f t="shared" ca="1" si="12"/>
        <v>2.6871679046710492E-2</v>
      </c>
      <c r="AW6" s="195">
        <f>Constants!$D$25/1000000000*Constants!$C$24*IF(ISBLANK(Design!$B$33),Design!$B$32,Design!$B$33)*1000000</f>
        <v>1.0624999999999999E-2</v>
      </c>
      <c r="AX6" s="195">
        <f t="shared" ca="1" si="13"/>
        <v>0.19047167904671047</v>
      </c>
      <c r="AY6" s="195">
        <f t="shared" ca="1" si="14"/>
        <v>0.17692968371541531</v>
      </c>
      <c r="AZ6" s="195">
        <f ca="1">AP6^2*IF(ISBLANK(Design!$B$42),Constants!$C$6,Design!$B$42)/1000*(1+(BC6-25)*(Constants!$C$36/100))</f>
        <v>2.3072643579469983E-2</v>
      </c>
      <c r="BA6" s="195">
        <f>0.5*Snubber!$B$16/1000000000000*$AQ$2^2*Design!$B$33*1000000</f>
        <v>1.7951999999999999E-2</v>
      </c>
      <c r="BB6" s="196">
        <f ca="1">$A6+AY6*Design!$B$19</f>
        <v>35.08499197177867</v>
      </c>
      <c r="BC6" s="196">
        <f ca="1">AX6*Design!$C$12+$A6</f>
        <v>31.476037087588157</v>
      </c>
      <c r="BD6" s="196">
        <f ca="1">Constants!$D$22+Constants!$D$22*Constants!$C$23/100*(BC6-25)</f>
        <v>130.18082967007052</v>
      </c>
      <c r="BE6" s="195">
        <f ca="1">(1-Constants!$C$20/1000000000*Design!$B$33*1000000) * ($AQ$2+AQ6-AP6*BD6/1000) - (AQ6+AP6*Design!$B$42/1000)</f>
        <v>15.28515043771408</v>
      </c>
      <c r="BF6" s="195">
        <f ca="1">IF(BE6&gt;Design!$C$29,Design!$C$29,BE6)</f>
        <v>4.9990521327014221</v>
      </c>
      <c r="BG6" s="195">
        <f t="shared" ca="1" si="15"/>
        <v>0.40842600634159576</v>
      </c>
      <c r="BH6" s="195">
        <f t="shared" ca="1" si="16"/>
        <v>3.7492890995260666</v>
      </c>
      <c r="BI6" s="468">
        <f t="shared" ca="1" si="17"/>
        <v>90.176671658786901</v>
      </c>
    </row>
    <row r="7" spans="1:61" s="120" customFormat="1" ht="12.75">
      <c r="A7" s="112">
        <v>25</v>
      </c>
      <c r="B7" s="448">
        <f t="shared" si="18"/>
        <v>1</v>
      </c>
      <c r="C7" s="449">
        <f ca="1">FORECAST(B7, OFFSET(Design!$C$15:$C$17,MATCH(B7,Design!$B$15:$B$17,1)-1,0,2), OFFSET(Design!$B$15:$B$17,MATCH(B7,Design!$B$15:$B$17,1)-1,0,2))+(N7-25)*Design!$B$18/1000</f>
        <v>0.37488596023303844</v>
      </c>
      <c r="D7" s="166">
        <f ca="1">IF(100*(Design!$C$29+C7+B7*IF(ISBLANK(Design!$B$42),Constants!$C$6,Design!$B$42)/1000*(1+Constants!$C$36/100*(O7-25)))/($C$2+C7-B7*P7/1000)&gt;Design!$C$36,Design!$C$36,100*(Design!$C$29+C7+B7*IF(ISBLANK(Design!$B$42),Constants!$C$6,Design!$B$42)/1000*(1+Constants!$C$36/100*(O7-25)))/($C$2+C7-B7*P7/1000))</f>
        <v>65.667865873817263</v>
      </c>
      <c r="E7" s="165">
        <f ca="1">IF(($C$2-B7*IF(ISBLANK(Design!$B$42),Constants!$C$6,Design!$B$42)/1000*(1+Constants!$C$36/100*(O7-25))-Design!$C$29) / (IF(ISBLANK(Design!$B$41),Design!$B$39,Design!$B$41)/1000000) * D7/100/(IF(ISBLANK(Design!$B$33),Design!$B$32,Design!$B$33)*1000000)&lt;0,0,($C$2-B7*IF(ISBLANK(Design!$B$42),Constants!$C$6,Design!$B$42)/1000*(1+Constants!$C$36/100*(O7-25))-Design!$C$29) / (IF(ISBLANK(Design!$B$41),Design!$B$39,Design!$B$41)/1000000) * D7/100/(IF(ISBLANK(Design!$B$33),Design!$B$32,Design!$B$33)*1000000))</f>
        <v>0.45737621726738537</v>
      </c>
      <c r="F7" s="165">
        <f>$C$2*Constants!$C$21/1000+IF(ISBLANK(Design!$B$33),Design!$B$32,Design!$B$33)*1000000*Constants!$D$25/1000000000*($C$2-Constants!$C$24)</f>
        <v>3.0374999999999999E-2</v>
      </c>
      <c r="G7" s="165">
        <f>$C$2*B7*($C$2/(Constants!$C$26*1000000000)*IF(ISBLANK(Design!$B$33),Design!$B$32,Design!$B$33)*1000000/2+$C$2/(Constants!$C$27*1000000000)*IF(ISBLANK(Design!$B$33),Design!$B$32,Design!$B$33)*1000000/2)</f>
        <v>2.7200000000000002E-2</v>
      </c>
      <c r="H7" s="165">
        <f t="shared" ca="1" si="0"/>
        <v>8.6323966549964354E-2</v>
      </c>
      <c r="I7" s="165">
        <f>Constants!$D$25/1000000000*Constants!$C$24*IF(ISBLANK(Design!$B$33),Design!$B$32,Design!$B$33)*1000000</f>
        <v>1.0624999999999999E-2</v>
      </c>
      <c r="J7" s="165">
        <f t="shared" ca="1" si="1"/>
        <v>0.15452396654996436</v>
      </c>
      <c r="K7" s="165">
        <f t="shared" ca="1" si="2"/>
        <v>0.12870635068743483</v>
      </c>
      <c r="L7" s="165">
        <f ca="1">B7^2*IF(ISBLANK(Design!$B$42),Constants!$C$6,Design!$B$42)/1000*(1+(O7-25)*(Constants!$C$36/100))</f>
        <v>4.082589969641625E-2</v>
      </c>
      <c r="M7" s="165">
        <f>0.5*Snubber!$B$16/1000000000000*$C$2^2*Design!$B$33*1000000</f>
        <v>4.4879999999999998E-3</v>
      </c>
      <c r="N7" s="166">
        <f ca="1">$A7+K7*Design!$B$19</f>
        <v>32.336261989183782</v>
      </c>
      <c r="O7" s="166">
        <f ca="1">J7*Design!$C$12+A7</f>
        <v>30.253814862698789</v>
      </c>
      <c r="P7" s="166">
        <f ca="1">Constants!$D$22+Constants!$D$22*Constants!$C$23/100*(O7-25)</f>
        <v>129.20305189015903</v>
      </c>
      <c r="Q7" s="165">
        <f ca="1">(1-Constants!$C$20/1000000000*Design!$B$33*1000000) * ($C$2+C7-B7*P7/1000) - (C7+B7*Design!$B$42/1000)</f>
        <v>7.5329216530459551</v>
      </c>
      <c r="R7" s="165">
        <f ca="1">IF(Q7&gt;Design!$C$29,Design!$C$29,Q7)</f>
        <v>4.9990521327014221</v>
      </c>
      <c r="S7" s="165">
        <f t="shared" ca="1" si="3"/>
        <v>0.32854421693381547</v>
      </c>
      <c r="T7" s="165">
        <f t="shared" ca="1" si="4"/>
        <v>4.9990521327014221</v>
      </c>
      <c r="U7" s="450">
        <f t="shared" ca="1" si="5"/>
        <v>93.833162361177941</v>
      </c>
      <c r="V7" s="457">
        <f t="shared" si="19"/>
        <v>1</v>
      </c>
      <c r="W7" s="458">
        <f ca="1">FORECAST(V7, OFFSET(Design!$C$15:$C$17,MATCH(V7,Design!$B$15:$B$17,1)-1,0,2), OFFSET(Design!$B$15:$B$17,MATCH(V7,Design!$B$15:$B$17,1)-1,0,2))+(AH7-25)*Design!$B$18/1000</f>
        <v>0.37044030837072828</v>
      </c>
      <c r="X7" s="184">
        <f ca="1">IF(100*(Design!$C$29+W7+V7*IF(ISBLANK(Design!$B$42),Constants!$C$6,Design!$B$42)/1000*(1+Constants!$C$36/100*(AI7-25)))/($W$2+W7-V7*AJ7/1000)&gt;Design!$C$36,Design!$C$36,100*(Design!$C$29+W7+V7*IF(ISBLANK(Design!$B$42),Constants!$C$6,Design!$B$42)/1000*(1+Constants!$C$36/100*(AI7-25)))/($W$2+W7-V7*AJ7/1000))</f>
        <v>44.201470969027255</v>
      </c>
      <c r="Y7" s="183">
        <f ca="1">($W$2-V7*IF(ISBLANK(Design!$B$42),Constants!$C$6,Design!$B$42)/1000*(1+Constants!$C$36/100*(AI7-25))-Design!$C$29) / (IF(ISBLANK(Design!$B$41),Design!$B$39,Design!$B$41)/1000000) * X7/100/(IF(ISBLANK(Design!$B$33),Design!$B$32,Design!$B$33)*1000000)</f>
        <v>0.72386113618780612</v>
      </c>
      <c r="Z7" s="183">
        <f>$W$2*Constants!$C$21/1000+IF(ISBLANK(Design!$B$33),Design!$B$32,Design!$B$33)*1000000*Constants!$D$25/1000000000*($W$2-Constants!$C$24)</f>
        <v>5.0874999999999997E-2</v>
      </c>
      <c r="AA7" s="183">
        <f>$W$2*V7*($W$2/(Constants!$C$26*1000000000)*IF(ISBLANK(Design!$B$33),Design!$B$32,Design!$B$33)*1000000/2+$W$2/(Constants!$C$27*1000000000)*IF(ISBLANK(Design!$B$33),Design!$B$32,Design!$B$33)*1000000/2)</f>
        <v>6.1200000000000004E-2</v>
      </c>
      <c r="AB7" s="183">
        <f t="shared" ca="1" si="6"/>
        <v>5.995631653077322E-2</v>
      </c>
      <c r="AC7" s="183">
        <f>Constants!$D$25/1000000000*Constants!$C$24*IF(ISBLANK(Design!$B$33),Design!$B$32,Design!$B$33)*1000000</f>
        <v>1.0624999999999999E-2</v>
      </c>
      <c r="AD7" s="183">
        <f t="shared" ca="1" si="7"/>
        <v>0.18265631653077322</v>
      </c>
      <c r="AE7" s="183">
        <f t="shared" ca="1" si="8"/>
        <v>0.20670024300866577</v>
      </c>
      <c r="AF7" s="183">
        <f ca="1">V7^2*IF(ISBLANK(Design!$B$42),Constants!$C$6,Design!$B$42)/1000*(1+(AI7-25)*(Constants!$C$36/100))</f>
        <v>4.0976261480593676E-2</v>
      </c>
      <c r="AG7" s="183">
        <f>0.5*Snubber!$B$16/1000000000000*$W$2^2*Design!$B$33*1000000</f>
        <v>1.0097999999999999E-2</v>
      </c>
      <c r="AH7" s="184">
        <f ca="1">$A7+AE7*Design!$B$19</f>
        <v>36.781913851493947</v>
      </c>
      <c r="AI7" s="184">
        <f ca="1">AD7*Design!$C$12+$A7</f>
        <v>31.210314762046288</v>
      </c>
      <c r="AJ7" s="184">
        <f ca="1">Constants!$D$22+Constants!$D$22*Constants!$C$23/100*(AI7-25)</f>
        <v>129.96825180963702</v>
      </c>
      <c r="AK7" s="183">
        <f ca="1">(1-Constants!$C$20/1000000000*Design!$B$33*1000000) * ($W$2+W7-V7*AJ7/1000) - (W7+V7*Design!$B$42/1000)</f>
        <v>11.387844695147095</v>
      </c>
      <c r="AL7" s="183">
        <f ca="1">IF(AK7&gt;Design!$C$29,Design!$C$29,AK7)</f>
        <v>4.9990521327014221</v>
      </c>
      <c r="AM7" s="183">
        <f t="shared" ca="1" si="9"/>
        <v>0.44043082102003267</v>
      </c>
      <c r="AN7" s="183">
        <f t="shared" ca="1" si="10"/>
        <v>4.9990521327014221</v>
      </c>
      <c r="AO7" s="459">
        <f t="shared" ca="1" si="11"/>
        <v>91.90307562745997</v>
      </c>
      <c r="AP7" s="466">
        <f t="shared" si="20"/>
        <v>1</v>
      </c>
      <c r="AQ7" s="467">
        <f ca="1">FORECAST(AP7, OFFSET(Design!$C$15:$C$17,MATCH(AP7,Design!$B$15:$B$17,1)-1,0,2), OFFSET(Design!$B$15:$B$17,MATCH(AP7,Design!$B$15:$B$17,1)-1,0,2))+(BB7-25)*Design!$B$18/1000</f>
        <v>0.36822487878901738</v>
      </c>
      <c r="AR7" s="196">
        <f ca="1">IF(100*(Design!$C$29+AQ7+AP7*IF(ISBLANK(Design!$B$42),Constants!$C$6,Design!$B$42)/1000*(1+Constants!$C$36/100*(BC7-25)))/($AQ$2+AQ7-AP7*BD7/1000)&gt;Design!$C$36,Design!$C$36,100*(Design!$C$29+AQ7+AP7*IF(ISBLANK(Design!$B$42),Constants!$C$6,Design!$B$42)/1000*(1+Constants!$C$36/100*(BC7-25)))/($AQ$2+AQ7-AP7*BD7/1000))</f>
        <v>33.310473355218328</v>
      </c>
      <c r="AS7" s="195">
        <f ca="1">($AQ$2-AP7*IF(ISBLANK(Design!$B$42),Constants!$C$6,Design!$B$42)/1000*(1+Constants!$C$36/100*(BC7-25))-Design!$C$29) / (IF(ISBLANK(Design!$B$41),Design!$B$39,Design!$B$41)/1000000) * AR7/100/(IF(ISBLANK(Design!$B$33),Design!$B$32,Design!$B$33)*1000000)</f>
        <v>0.85899321644587112</v>
      </c>
      <c r="AT7" s="195">
        <f>$AQ$2*Constants!$C$21/1000+IF(ISBLANK(Design!$B$33),Design!$B$32,Design!$B$33)*1000000*Constants!$D$25/1000000000*($AQ$2-Constants!$C$24)</f>
        <v>7.1374999999999994E-2</v>
      </c>
      <c r="AU7" s="195">
        <f>$AQ$2*AP7*($AQ$2/(Constants!$C$26*1000000000)*IF(ISBLANK(Design!$B$33),Design!$B$32,Design!$B$33)*1000000/2+$AQ$2/(Constants!$C$27*1000000000)*IF(ISBLANK(Design!$B$33),Design!$B$32,Design!$B$33)*1000000/2)</f>
        <v>0.10880000000000001</v>
      </c>
      <c r="AV7" s="195">
        <f t="shared" ca="1" si="12"/>
        <v>4.6480441696675263E-2</v>
      </c>
      <c r="AW7" s="195">
        <f>Constants!$D$25/1000000000*Constants!$C$24*IF(ISBLANK(Design!$B$33),Design!$B$32,Design!$B$33)*1000000</f>
        <v>1.0624999999999999E-2</v>
      </c>
      <c r="AX7" s="195">
        <f t="shared" ca="1" si="13"/>
        <v>0.23728044169667525</v>
      </c>
      <c r="AY7" s="195">
        <f t="shared" ca="1" si="14"/>
        <v>0.24556742865271677</v>
      </c>
      <c r="AZ7" s="195">
        <f ca="1">AP7^2*IF(ISBLANK(Design!$B$42),Constants!$C$6,Design!$B$42)/1000*(1+(BC7-25)*(Constants!$C$36/100))</f>
        <v>4.1268216504780394E-2</v>
      </c>
      <c r="BA7" s="195">
        <f>0.5*Snubber!$B$16/1000000000000*$AQ$2^2*Design!$B$33*1000000</f>
        <v>1.7951999999999999E-2</v>
      </c>
      <c r="BB7" s="196">
        <f ca="1">$A7+AY7*Design!$B$19</f>
        <v>38.997343433204854</v>
      </c>
      <c r="BC7" s="196">
        <f ca="1">AX7*Design!$C$12+$A7</f>
        <v>33.067535017686957</v>
      </c>
      <c r="BD7" s="196">
        <f ca="1">Constants!$D$22+Constants!$D$22*Constants!$C$23/100*(BC7-25)</f>
        <v>131.45402801414957</v>
      </c>
      <c r="BE7" s="195">
        <f ca="1">(1-Constants!$C$20/1000000000*Design!$B$33*1000000) * ($AQ$2+AQ7-AP7*BD7/1000) - (AQ7+AP7*Design!$B$42/1000)</f>
        <v>15.241992625001609</v>
      </c>
      <c r="BF7" s="195">
        <f ca="1">IF(BE7&gt;Design!$C$29,Design!$C$29,BE7)</f>
        <v>4.9990521327014221</v>
      </c>
      <c r="BG7" s="195">
        <f t="shared" ca="1" si="15"/>
        <v>0.5420680868541724</v>
      </c>
      <c r="BH7" s="195">
        <f t="shared" ca="1" si="16"/>
        <v>4.9990521327014221</v>
      </c>
      <c r="BI7" s="468">
        <f t="shared" ca="1" si="17"/>
        <v>90.217355600026181</v>
      </c>
    </row>
    <row r="8" spans="1:61" s="120" customFormat="1" ht="12.75">
      <c r="A8" s="112">
        <v>25</v>
      </c>
      <c r="B8" s="448">
        <f t="shared" si="18"/>
        <v>1.25</v>
      </c>
      <c r="C8" s="449">
        <f ca="1">FORECAST(B8, OFFSET(Design!$C$15:$C$17,MATCH(B8,Design!$B$15:$B$17,1)-1,0,2), OFFSET(Design!$B$15:$B$17,MATCH(B8,Design!$B$15:$B$17,1)-1,0,2))+(N8-25)*Design!$B$18/1000</f>
        <v>0.39220519609473026</v>
      </c>
      <c r="D8" s="166">
        <f ca="1">IF(100*(Design!$C$29+C8+B8*IF(ISBLANK(Design!$B$42),Constants!$C$6,Design!$B$42)/1000*(1+Constants!$C$36/100*(O8-25)))/($C$2+C8-B8*P8/1000)&gt;Design!$C$36,Design!$C$36,100*(Design!$C$29+C8+B8*IF(ISBLANK(Design!$B$42),Constants!$C$6,Design!$B$42)/1000*(1+Constants!$C$36/100*(O8-25)))/($C$2+C8-B8*P8/1000))</f>
        <v>66.142067786727395</v>
      </c>
      <c r="E8" s="165">
        <f ca="1">IF(($C$2-B8*IF(ISBLANK(Design!$B$42),Constants!$C$6,Design!$B$42)/1000*(1+Constants!$C$36/100*(O8-25))-Design!$C$29) / (IF(ISBLANK(Design!$B$41),Design!$B$39,Design!$B$41)/1000000) * D8/100/(IF(ISBLANK(Design!$B$33),Design!$B$32,Design!$B$33)*1000000)&lt;0,0,($C$2-B8*IF(ISBLANK(Design!$B$42),Constants!$C$6,Design!$B$42)/1000*(1+Constants!$C$36/100*(O8-25))-Design!$C$29) / (IF(ISBLANK(Design!$B$41),Design!$B$39,Design!$B$41)/1000000) * D8/100/(IF(ISBLANK(Design!$B$33),Design!$B$32,Design!$B$33)*1000000))</f>
        <v>0.45903121388810364</v>
      </c>
      <c r="F8" s="165">
        <f>$C$2*Constants!$C$21/1000+IF(ISBLANK(Design!$B$33),Design!$B$32,Design!$B$33)*1000000*Constants!$D$25/1000000000*($C$2-Constants!$C$24)</f>
        <v>3.0374999999999999E-2</v>
      </c>
      <c r="G8" s="165">
        <f>$C$2*B8*($C$2/(Constants!$C$26*1000000000)*IF(ISBLANK(Design!$B$33),Design!$B$32,Design!$B$33)*1000000/2+$C$2/(Constants!$C$27*1000000000)*IF(ISBLANK(Design!$B$33),Design!$B$32,Design!$B$33)*1000000/2)</f>
        <v>3.4000000000000002E-2</v>
      </c>
      <c r="H8" s="165">
        <f t="shared" ca="1" si="0"/>
        <v>0.13665195065752769</v>
      </c>
      <c r="I8" s="165">
        <f>Constants!$D$25/1000000000*Constants!$C$24*IF(ISBLANK(Design!$B$33),Design!$B$32,Design!$B$33)*1000000</f>
        <v>1.0624999999999999E-2</v>
      </c>
      <c r="J8" s="165">
        <f t="shared" ca="1" si="1"/>
        <v>0.21165195065752768</v>
      </c>
      <c r="K8" s="165">
        <f t="shared" ca="1" si="2"/>
        <v>0.16599071178835831</v>
      </c>
      <c r="L8" s="165">
        <f ca="1">B8^2*IF(ISBLANK(Design!$B$42),Constants!$C$6,Design!$B$42)/1000*(1+(O8-25)*(Constants!$C$36/100))</f>
        <v>6.4267558352928675E-2</v>
      </c>
      <c r="M8" s="165">
        <f>0.5*Snubber!$B$16/1000000000000*$C$2^2*Design!$B$33*1000000</f>
        <v>4.4879999999999998E-3</v>
      </c>
      <c r="N8" s="166">
        <f ca="1">$A8+K8*Design!$B$19</f>
        <v>34.461470571936424</v>
      </c>
      <c r="O8" s="166">
        <f ca="1">J8*Design!$C$12+A8</f>
        <v>32.196166322355943</v>
      </c>
      <c r="P8" s="166">
        <f ca="1">Constants!$D$22+Constants!$D$22*Constants!$C$23/100*(O8-25)</f>
        <v>130.75693305788477</v>
      </c>
      <c r="Q8" s="165">
        <f ca="1">(1-Constants!$C$20/1000000000*Design!$B$33*1000000) * ($C$2+C8-B8*P8/1000) - (C8+B8*Design!$B$42/1000)</f>
        <v>7.4892899137271183</v>
      </c>
      <c r="R8" s="165">
        <f ca="1">IF(Q8&gt;Design!$C$29,Design!$C$29,Q8)</f>
        <v>4.9990521327014221</v>
      </c>
      <c r="S8" s="165">
        <f t="shared" ca="1" si="3"/>
        <v>0.44639822079881464</v>
      </c>
      <c r="T8" s="165">
        <f t="shared" ca="1" si="4"/>
        <v>6.2488151658767777</v>
      </c>
      <c r="U8" s="450">
        <f t="shared" ca="1" si="5"/>
        <v>93.332576648158678</v>
      </c>
      <c r="V8" s="457">
        <f t="shared" si="19"/>
        <v>1.25</v>
      </c>
      <c r="W8" s="458">
        <f ca="1">FORECAST(V8, OFFSET(Design!$C$15:$C$17,MATCH(V8,Design!$B$15:$B$17,1)-1,0,2), OFFSET(Design!$B$15:$B$17,MATCH(V8,Design!$B$15:$B$17,1)-1,0,2))+(AH8-25)*Design!$B$18/1000</f>
        <v>0.38638330358754774</v>
      </c>
      <c r="X8" s="184">
        <f ca="1">IF(100*(Design!$C$29+W8+V8*IF(ISBLANK(Design!$B$42),Constants!$C$6,Design!$B$42)/1000*(1+Constants!$C$36/100*(AI8-25)))/($W$2+W8-V8*AJ8/1000)&gt;Design!$C$36,Design!$C$36,100*(Design!$C$29+W8+V8*IF(ISBLANK(Design!$B$42),Constants!$C$6,Design!$B$42)/1000*(1+Constants!$C$36/100*(AI8-25)))/($W$2+W8-V8*AJ8/1000))</f>
        <v>44.484314029703953</v>
      </c>
      <c r="Y8" s="183">
        <f ca="1">($W$2-V8*IF(ISBLANK(Design!$B$42),Constants!$C$6,Design!$B$42)/1000*(1+Constants!$C$36/100*(AI8-25))-Design!$C$29) / (IF(ISBLANK(Design!$B$41),Design!$B$39,Design!$B$41)/1000000) * X8/100/(IF(ISBLANK(Design!$B$33),Design!$B$32,Design!$B$33)*1000000)</f>
        <v>0.72738645733824903</v>
      </c>
      <c r="Z8" s="183">
        <f>$W$2*Constants!$C$21/1000+IF(ISBLANK(Design!$B$33),Design!$B$32,Design!$B$33)*1000000*Constants!$D$25/1000000000*($W$2-Constants!$C$24)</f>
        <v>5.0874999999999997E-2</v>
      </c>
      <c r="AA8" s="183">
        <f>$W$2*V8*($W$2/(Constants!$C$26*1000000000)*IF(ISBLANK(Design!$B$33),Design!$B$32,Design!$B$33)*1000000/2+$W$2/(Constants!$C$27*1000000000)*IF(ISBLANK(Design!$B$33),Design!$B$32,Design!$B$33)*1000000/2)</f>
        <v>7.6500000000000012E-2</v>
      </c>
      <c r="AB8" s="183">
        <f t="shared" ca="1" si="6"/>
        <v>9.3841969503720993E-2</v>
      </c>
      <c r="AC8" s="183">
        <f>Constants!$D$25/1000000000*Constants!$C$24*IF(ISBLANK(Design!$B$33),Design!$B$32,Design!$B$33)*1000000</f>
        <v>1.0624999999999999E-2</v>
      </c>
      <c r="AD8" s="183">
        <f t="shared" ca="1" si="7"/>
        <v>0.23184196950372099</v>
      </c>
      <c r="AE8" s="183">
        <f t="shared" ca="1" si="8"/>
        <v>0.26812917682664827</v>
      </c>
      <c r="AF8" s="183">
        <f ca="1">V8^2*IF(ISBLANK(Design!$B$42),Constants!$C$6,Design!$B$42)/1000*(1+(AI8-25)*(Constants!$C$36/100))</f>
        <v>6.4436170247817948E-2</v>
      </c>
      <c r="AG8" s="183">
        <f>0.5*Snubber!$B$16/1000000000000*$W$2^2*Design!$B$33*1000000</f>
        <v>1.0097999999999999E-2</v>
      </c>
      <c r="AH8" s="184">
        <f ca="1">$A8+AE8*Design!$B$19</f>
        <v>40.283363079118949</v>
      </c>
      <c r="AI8" s="184">
        <f ca="1">AD8*Design!$C$12+$A8</f>
        <v>32.882626963126512</v>
      </c>
      <c r="AJ8" s="184">
        <f ca="1">Constants!$D$22+Constants!$D$22*Constants!$C$23/100*(AI8-25)</f>
        <v>131.3061015705012</v>
      </c>
      <c r="AK8" s="183">
        <f ca="1">(1-Constants!$C$20/1000000000*Design!$B$33*1000000) * ($W$2+W8-V8*AJ8/1000) - (W8+V8*Design!$B$42/1000)</f>
        <v>11.344338567343817</v>
      </c>
      <c r="AL8" s="183">
        <f ca="1">IF(AK8&gt;Design!$C$29,Design!$C$29,AK8)</f>
        <v>4.9990521327014221</v>
      </c>
      <c r="AM8" s="183">
        <f t="shared" ca="1" si="9"/>
        <v>0.57450531657818726</v>
      </c>
      <c r="AN8" s="183">
        <f t="shared" ca="1" si="10"/>
        <v>6.2488151658767777</v>
      </c>
      <c r="AO8" s="459">
        <f t="shared" ca="1" si="11"/>
        <v>91.580267729539713</v>
      </c>
      <c r="AP8" s="466">
        <f t="shared" si="20"/>
        <v>1.25</v>
      </c>
      <c r="AQ8" s="467">
        <f ca="1">FORECAST(AP8, OFFSET(Design!$C$15:$C$17,MATCH(AP8,Design!$B$15:$B$17,1)-1,0,2), OFFSET(Design!$B$15:$B$17,MATCH(AP8,Design!$B$15:$B$17,1)-1,0,2))+(BB8-25)*Design!$B$18/1000</f>
        <v>0.38349882588045991</v>
      </c>
      <c r="AR8" s="196">
        <f ca="1">IF(100*(Design!$C$29+AQ8+AP8*IF(ISBLANK(Design!$B$42),Constants!$C$6,Design!$B$42)/1000*(1+Constants!$C$36/100*(BC8-25)))/($AQ$2+AQ8-AP8*BD8/1000)&gt;Design!$C$36,Design!$C$36,100*(Design!$C$29+AQ8+AP8*IF(ISBLANK(Design!$B$42),Constants!$C$6,Design!$B$42)/1000*(1+Constants!$C$36/100*(BC8-25)))/($AQ$2+AQ8-AP8*BD8/1000))</f>
        <v>33.510294713617178</v>
      </c>
      <c r="AS8" s="195">
        <f ca="1">($AQ$2-AP8*IF(ISBLANK(Design!$B$42),Constants!$C$6,Design!$B$42)/1000*(1+Constants!$C$36/100*(BC8-25))-Design!$C$29) / (IF(ISBLANK(Design!$B$41),Design!$B$39,Design!$B$41)/1000000) * AR8/100/(IF(ISBLANK(Design!$B$33),Design!$B$32,Design!$B$33)*1000000)</f>
        <v>0.8633046729690721</v>
      </c>
      <c r="AT8" s="195">
        <f>$AQ$2*Constants!$C$21/1000+IF(ISBLANK(Design!$B$33),Design!$B$32,Design!$B$33)*1000000*Constants!$D$25/1000000000*($AQ$2-Constants!$C$24)</f>
        <v>7.1374999999999994E-2</v>
      </c>
      <c r="AU8" s="195">
        <f>$AQ$2*AP8*($AQ$2/(Constants!$C$26*1000000000)*IF(ISBLANK(Design!$B$33),Design!$B$32,Design!$B$33)*1000000/2+$AQ$2/(Constants!$C$27*1000000000)*IF(ISBLANK(Design!$B$33),Design!$B$32,Design!$B$33)*1000000/2)</f>
        <v>0.13600000000000001</v>
      </c>
      <c r="AV8" s="195">
        <f t="shared" ca="1" si="12"/>
        <v>7.2350871327480609E-2</v>
      </c>
      <c r="AW8" s="195">
        <f>Constants!$D$25/1000000000*Constants!$C$24*IF(ISBLANK(Design!$B$33),Design!$B$32,Design!$B$33)*1000000</f>
        <v>1.0624999999999999E-2</v>
      </c>
      <c r="AX8" s="195">
        <f t="shared" ca="1" si="13"/>
        <v>0.29035087132748061</v>
      </c>
      <c r="AY8" s="195">
        <f t="shared" ca="1" si="14"/>
        <v>0.3187340488808203</v>
      </c>
      <c r="AZ8" s="195">
        <f ca="1">AP8^2*IF(ISBLANK(Design!$B$42),Constants!$C$6,Design!$B$42)/1000*(1+(BC8-25)*(Constants!$C$36/100))</f>
        <v>6.4924792714173618E-2</v>
      </c>
      <c r="BA8" s="195">
        <f>0.5*Snubber!$B$16/1000000000000*$AQ$2^2*Design!$B$33*1000000</f>
        <v>1.7951999999999999E-2</v>
      </c>
      <c r="BB8" s="196">
        <f ca="1">$A8+AY8*Design!$B$19</f>
        <v>43.167840786206753</v>
      </c>
      <c r="BC8" s="196">
        <f ca="1">AX8*Design!$C$12+$A8</f>
        <v>34.871929625134342</v>
      </c>
      <c r="BD8" s="196">
        <f ca="1">Constants!$D$22+Constants!$D$22*Constants!$C$23/100*(BC8-25)</f>
        <v>132.89754370010746</v>
      </c>
      <c r="BE8" s="195">
        <f ca="1">(1-Constants!$C$20/1000000000*Design!$B$33*1000000) * ($AQ$2+AQ8-AP8*BD8/1000) - (AQ8+AP8*Design!$B$42/1000)</f>
        <v>15.198025329997641</v>
      </c>
      <c r="BF8" s="195">
        <f ca="1">IF(BE8&gt;Design!$C$29,Design!$C$29,BE8)</f>
        <v>4.9990521327014221</v>
      </c>
      <c r="BG8" s="195">
        <f t="shared" ca="1" si="15"/>
        <v>0.69196171292247444</v>
      </c>
      <c r="BH8" s="195">
        <f t="shared" ca="1" si="16"/>
        <v>6.2488151658767777</v>
      </c>
      <c r="BI8" s="468">
        <f t="shared" ca="1" si="17"/>
        <v>90.030486140015739</v>
      </c>
    </row>
    <row r="9" spans="1:61" s="120" customFormat="1" ht="12.75">
      <c r="A9" s="112">
        <v>25</v>
      </c>
      <c r="B9" s="448">
        <f t="shared" si="18"/>
        <v>1.5</v>
      </c>
      <c r="C9" s="449">
        <f ca="1">FORECAST(B9, OFFSET(Design!$C$15:$C$17,MATCH(B9,Design!$B$15:$B$17,1)-1,0,2), OFFSET(Design!$B$15:$B$17,MATCH(B9,Design!$B$15:$B$17,1)-1,0,2))+(N9-25)*Design!$B$18/1000</f>
        <v>0.4094301431111248</v>
      </c>
      <c r="D9" s="166">
        <f ca="1">IF(100*(Design!$C$29+C9+B9*IF(ISBLANK(Design!$B$42),Constants!$C$6,Design!$B$42)/1000*(1+Constants!$C$36/100*(O9-25)))/($C$2+C9-B9*P9/1000)&gt;Design!$C$36,Design!$C$36,100*(Design!$C$29+C9+B9*IF(ISBLANK(Design!$B$42),Constants!$C$6,Design!$B$42)/1000*(1+Constants!$C$36/100*(O9-25)))/($C$2+C9-B9*P9/1000))</f>
        <v>66.631790289390267</v>
      </c>
      <c r="E9" s="165">
        <f ca="1">IF(($C$2-B9*IF(ISBLANK(Design!$B$42),Constants!$C$6,Design!$B$42)/1000*(1+Constants!$C$36/100*(O9-25))-Design!$C$29) / (IF(ISBLANK(Design!$B$41),Design!$B$39,Design!$B$41)/1000000) * D9/100/(IF(ISBLANK(Design!$B$33),Design!$B$32,Design!$B$33)*1000000)&lt;0,0,($C$2-B9*IF(ISBLANK(Design!$B$42),Constants!$C$6,Design!$B$42)/1000*(1+Constants!$C$36/100*(O9-25))-Design!$C$29) / (IF(ISBLANK(Design!$B$41),Design!$B$39,Design!$B$41)/1000000) * D9/100/(IF(ISBLANK(Design!$B$33),Design!$B$32,Design!$B$33)*1000000))</f>
        <v>0.46072901005904549</v>
      </c>
      <c r="F9" s="165">
        <f>$C$2*Constants!$C$21/1000+IF(ISBLANK(Design!$B$33),Design!$B$32,Design!$B$33)*1000000*Constants!$D$25/1000000000*($C$2-Constants!$C$24)</f>
        <v>3.0374999999999999E-2</v>
      </c>
      <c r="G9" s="165">
        <f>$C$2*B9*($C$2/(Constants!$C$26*1000000000)*IF(ISBLANK(Design!$B$33),Design!$B$32,Design!$B$33)*1000000/2+$C$2/(Constants!$C$27*1000000000)*IF(ISBLANK(Design!$B$33),Design!$B$32,Design!$B$33)*1000000/2)</f>
        <v>4.0800000000000003E-2</v>
      </c>
      <c r="H9" s="165">
        <f t="shared" ca="1" si="0"/>
        <v>0.20047660228001785</v>
      </c>
      <c r="I9" s="165">
        <f>Constants!$D$25/1000000000*Constants!$C$24*IF(ISBLANK(Design!$B$33),Design!$B$32,Design!$B$33)*1000000</f>
        <v>1.0624999999999999E-2</v>
      </c>
      <c r="J9" s="165">
        <f t="shared" ca="1" si="1"/>
        <v>0.28227660228001783</v>
      </c>
      <c r="K9" s="165">
        <f t="shared" ca="1" si="2"/>
        <v>0.2049292631576545</v>
      </c>
      <c r="L9" s="165">
        <f ca="1">B9^2*IF(ISBLANK(Design!$B$42),Constants!$C$6,Design!$B$42)/1000*(1+(O9-25)*(Constants!$C$36/100))</f>
        <v>9.3394601963699031E-2</v>
      </c>
      <c r="M9" s="165">
        <f>0.5*Snubber!$B$16/1000000000000*$C$2^2*Design!$B$33*1000000</f>
        <v>4.4879999999999998E-3</v>
      </c>
      <c r="N9" s="166">
        <f ca="1">$A9+K9*Design!$B$19</f>
        <v>36.680967999986308</v>
      </c>
      <c r="O9" s="166">
        <f ca="1">J9*Design!$C$12+A9</f>
        <v>34.597404477520605</v>
      </c>
      <c r="P9" s="166">
        <f ca="1">Constants!$D$22+Constants!$D$22*Constants!$C$23/100*(O9-25)</f>
        <v>132.67792358201649</v>
      </c>
      <c r="Q9" s="165">
        <f ca="1">(1-Constants!$C$20/1000000000*Design!$B$33*1000000) * ($C$2+C9-B9*P9/1000) - (C9+B9*Design!$B$42/1000)</f>
        <v>7.4443819356911867</v>
      </c>
      <c r="R9" s="165">
        <f ca="1">IF(Q9&gt;Design!$C$29,Design!$C$29,Q9)</f>
        <v>4.9990521327014221</v>
      </c>
      <c r="S9" s="165">
        <f t="shared" ca="1" si="3"/>
        <v>0.58508846740137144</v>
      </c>
      <c r="T9" s="165">
        <f t="shared" ca="1" si="4"/>
        <v>7.4985781990521332</v>
      </c>
      <c r="U9" s="450">
        <f t="shared" ca="1" si="5"/>
        <v>92.762090626158098</v>
      </c>
      <c r="V9" s="457">
        <f t="shared" si="19"/>
        <v>1.5</v>
      </c>
      <c r="W9" s="458">
        <f ca="1">FORECAST(V9, OFFSET(Design!$C$15:$C$17,MATCH(V9,Design!$B$15:$B$17,1)-1,0,2), OFFSET(Design!$B$15:$B$17,MATCH(V9,Design!$B$15:$B$17,1)-1,0,2))+(AH9-25)*Design!$B$18/1000</f>
        <v>0.40212305812343596</v>
      </c>
      <c r="X9" s="184">
        <f ca="1">IF(100*(Design!$C$29+W9+V9*IF(ISBLANK(Design!$B$42),Constants!$C$6,Design!$B$42)/1000*(1+Constants!$C$36/100*(AI9-25)))/($W$2+W9-V9*AJ9/1000)&gt;Design!$C$36,Design!$C$36,100*(Design!$C$29+W9+V9*IF(ISBLANK(Design!$B$42),Constants!$C$6,Design!$B$42)/1000*(1+Constants!$C$36/100*(AI9-25)))/($W$2+W9-V9*AJ9/1000))</f>
        <v>44.772505182791782</v>
      </c>
      <c r="Y9" s="183">
        <f ca="1">($W$2-V9*IF(ISBLANK(Design!$B$42),Constants!$C$6,Design!$B$42)/1000*(1+Constants!$C$36/100*(AI9-25))-Design!$C$29) / (IF(ISBLANK(Design!$B$41),Design!$B$39,Design!$B$41)/1000000) * X9/100/(IF(ISBLANK(Design!$B$33),Design!$B$32,Design!$B$33)*1000000)</f>
        <v>0.73096375532404079</v>
      </c>
      <c r="Z9" s="183">
        <f>$W$2*Constants!$C$21/1000+IF(ISBLANK(Design!$B$33),Design!$B$32,Design!$B$33)*1000000*Constants!$D$25/1000000000*($W$2-Constants!$C$24)</f>
        <v>5.0874999999999997E-2</v>
      </c>
      <c r="AA9" s="183">
        <f>$W$2*V9*($W$2/(Constants!$C$26*1000000000)*IF(ISBLANK(Design!$B$33),Design!$B$32,Design!$B$33)*1000000/2+$W$2/(Constants!$C$27*1000000000)*IF(ISBLANK(Design!$B$33),Design!$B$32,Design!$B$33)*1000000/2)</f>
        <v>9.1800000000000007E-2</v>
      </c>
      <c r="AB9" s="183">
        <f t="shared" ca="1" si="6"/>
        <v>0.1365128211167447</v>
      </c>
      <c r="AC9" s="183">
        <f>Constants!$D$25/1000000000*Constants!$C$24*IF(ISBLANK(Design!$B$33),Design!$B$32,Design!$B$33)*1000000</f>
        <v>1.0624999999999999E-2</v>
      </c>
      <c r="AD9" s="183">
        <f t="shared" ca="1" si="7"/>
        <v>0.28981282111674467</v>
      </c>
      <c r="AE9" s="183">
        <f t="shared" ca="1" si="8"/>
        <v>0.33312373662587969</v>
      </c>
      <c r="AF9" s="183">
        <f ca="1">V9^2*IF(ISBLANK(Design!$B$42),Constants!$C$6,Design!$B$42)/1000*(1+(AI9-25)*(Constants!$C$36/100))</f>
        <v>9.3485231024185753E-2</v>
      </c>
      <c r="AG9" s="183">
        <f>0.5*Snubber!$B$16/1000000000000*$W$2^2*Design!$B$33*1000000</f>
        <v>1.0097999999999999E-2</v>
      </c>
      <c r="AH9" s="184">
        <f ca="1">$A9+AE9*Design!$B$19</f>
        <v>43.988052987675147</v>
      </c>
      <c r="AI9" s="184">
        <f ca="1">AD9*Design!$C$12+$A9</f>
        <v>34.853635917969321</v>
      </c>
      <c r="AJ9" s="184">
        <f ca="1">Constants!$D$22+Constants!$D$22*Constants!$C$23/100*(AI9-25)</f>
        <v>132.88290873437546</v>
      </c>
      <c r="AK9" s="183">
        <f ca="1">(1-Constants!$C$20/1000000000*Design!$B$33*1000000) * ($W$2+W9-V9*AJ9/1000) - (W9+V9*Design!$B$42/1000)</f>
        <v>11.299849534040771</v>
      </c>
      <c r="AL9" s="183">
        <f ca="1">IF(AK9&gt;Design!$C$29,Design!$C$29,AK9)</f>
        <v>4.9990521327014221</v>
      </c>
      <c r="AM9" s="183">
        <f t="shared" ca="1" si="9"/>
        <v>0.72651978876681012</v>
      </c>
      <c r="AN9" s="183">
        <f t="shared" ca="1" si="10"/>
        <v>7.4985781990521332</v>
      </c>
      <c r="AO9" s="459">
        <f t="shared" ca="1" si="11"/>
        <v>91.167037890092516</v>
      </c>
      <c r="AP9" s="466">
        <f t="shared" si="20"/>
        <v>1.5</v>
      </c>
      <c r="AQ9" s="467">
        <f ca="1">FORECAST(AP9, OFFSET(Design!$C$15:$C$17,MATCH(AP9,Design!$B$15:$B$17,1)-1,0,2), OFFSET(Design!$B$15:$B$17,MATCH(AP9,Design!$B$15:$B$17,1)-1,0,2))+(BB9-25)*Design!$B$18/1000</f>
        <v>0.39852452960712215</v>
      </c>
      <c r="AR9" s="196">
        <f ca="1">IF(100*(Design!$C$29+AQ9+AP9*IF(ISBLANK(Design!$B$42),Constants!$C$6,Design!$B$42)/1000*(1+Constants!$C$36/100*(BC9-25)))/($AQ$2+AQ9-AP9*BD9/1000)&gt;Design!$C$36,Design!$C$36,100*(Design!$C$29+AQ9+AP9*IF(ISBLANK(Design!$B$42),Constants!$C$6,Design!$B$42)/1000*(1+Constants!$C$36/100*(BC9-25)))/($AQ$2+AQ9-AP9*BD9/1000))</f>
        <v>33.712852213455733</v>
      </c>
      <c r="AS9" s="195">
        <f ca="1">($AQ$2-AP9*IF(ISBLANK(Design!$B$42),Constants!$C$6,Design!$B$42)/1000*(1+Constants!$C$36/100*(BC9-25))-Design!$C$29) / (IF(ISBLANK(Design!$B$41),Design!$B$39,Design!$B$41)/1000000) * AR9/100/(IF(ISBLANK(Design!$B$33),Design!$B$32,Design!$B$33)*1000000)</f>
        <v>0.86766102692559488</v>
      </c>
      <c r="AT9" s="195">
        <f>$AQ$2*Constants!$C$21/1000+IF(ISBLANK(Design!$B$33),Design!$B$32,Design!$B$33)*1000000*Constants!$D$25/1000000000*($AQ$2-Constants!$C$24)</f>
        <v>7.1374999999999994E-2</v>
      </c>
      <c r="AU9" s="195">
        <f>$AQ$2*AP9*($AQ$2/(Constants!$C$26*1000000000)*IF(ISBLANK(Design!$B$33),Design!$B$32,Design!$B$33)*1000000/2+$AQ$2/(Constants!$C$27*1000000000)*IF(ISBLANK(Design!$B$33),Design!$B$32,Design!$B$33)*1000000/2)</f>
        <v>0.16320000000000001</v>
      </c>
      <c r="AV9" s="195">
        <f t="shared" ca="1" si="12"/>
        <v>0.10488563040326096</v>
      </c>
      <c r="AW9" s="195">
        <f>Constants!$D$25/1000000000*Constants!$C$24*IF(ISBLANK(Design!$B$33),Design!$B$32,Design!$B$33)*1000000</f>
        <v>1.0624999999999999E-2</v>
      </c>
      <c r="AX9" s="195">
        <f t="shared" ca="1" si="13"/>
        <v>0.35008563040326096</v>
      </c>
      <c r="AY9" s="195">
        <f t="shared" ca="1" si="14"/>
        <v>0.39625581585945507</v>
      </c>
      <c r="AZ9" s="195">
        <f ca="1">AP9^2*IF(ISBLANK(Design!$B$42),Constants!$C$6,Design!$B$42)/1000*(1+(BC9-25)*(Constants!$C$36/100))</f>
        <v>9.421005977410353E-2</v>
      </c>
      <c r="BA9" s="195">
        <f>0.5*Snubber!$B$16/1000000000000*$AQ$2^2*Design!$B$33*1000000</f>
        <v>1.7951999999999999E-2</v>
      </c>
      <c r="BB9" s="196">
        <f ca="1">$A9+AY9*Design!$B$19</f>
        <v>47.586581503988938</v>
      </c>
      <c r="BC9" s="196">
        <f ca="1">AX9*Design!$C$12+$A9</f>
        <v>36.902911433710869</v>
      </c>
      <c r="BD9" s="196">
        <f ca="1">Constants!$D$22+Constants!$D$22*Constants!$C$23/100*(BC9-25)</f>
        <v>134.5223291469687</v>
      </c>
      <c r="BE9" s="195">
        <f ca="1">(1-Constants!$C$20/1000000000*Design!$B$33*1000000) * ($AQ$2+AQ9-AP9*BD9/1000) - (AQ9+AP9*Design!$B$42/1000)</f>
        <v>15.153109236358144</v>
      </c>
      <c r="BF9" s="195">
        <f ca="1">IF(BE9&gt;Design!$C$29,Design!$C$29,BE9)</f>
        <v>4.9990521327014221</v>
      </c>
      <c r="BG9" s="195">
        <f t="shared" ca="1" si="15"/>
        <v>0.85850350603681957</v>
      </c>
      <c r="BH9" s="195">
        <f t="shared" ca="1" si="16"/>
        <v>7.4985781990521332</v>
      </c>
      <c r="BI9" s="468">
        <f t="shared" ca="1" si="17"/>
        <v>89.727233305448678</v>
      </c>
    </row>
    <row r="10" spans="1:61" s="120" customFormat="1" ht="12.75">
      <c r="A10" s="112">
        <v>25</v>
      </c>
      <c r="B10" s="448">
        <f t="shared" si="18"/>
        <v>1.75</v>
      </c>
      <c r="C10" s="449">
        <f ca="1">FORECAST(B10, OFFSET(Design!$C$15:$C$17,MATCH(B10,Design!$B$15:$B$17,1)-1,0,2), OFFSET(Design!$B$15:$B$17,MATCH(B10,Design!$B$15:$B$17,1)-1,0,2))+(N10-25)*Design!$B$18/1000</f>
        <v>0.42657383981021663</v>
      </c>
      <c r="D10" s="166">
        <f ca="1">IF(100*(Design!$C$29+C10+B10*IF(ISBLANK(Design!$B$42),Constants!$C$6,Design!$B$42)/1000*(1+Constants!$C$36/100*(O10-25)))/($C$2+C10-B10*P10/1000)&gt;Design!$C$36,Design!$C$36,100*(Design!$C$29+C10+B10*IF(ISBLANK(Design!$B$42),Constants!$C$6,Design!$B$42)/1000*(1+Constants!$C$36/100*(O10-25)))/($C$2+C10-B10*P10/1000))</f>
        <v>67.141075398168752</v>
      </c>
      <c r="E10" s="165">
        <f ca="1">IF(($C$2-B10*IF(ISBLANK(Design!$B$42),Constants!$C$6,Design!$B$42)/1000*(1+Constants!$C$36/100*(O10-25))-Design!$C$29) / (IF(ISBLANK(Design!$B$41),Design!$B$39,Design!$B$41)/1000000) * D10/100/(IF(ISBLANK(Design!$B$33),Design!$B$32,Design!$B$33)*1000000)&lt;0,0,($C$2-B10*IF(ISBLANK(Design!$B$42),Constants!$C$6,Design!$B$42)/1000*(1+Constants!$C$36/100*(O10-25))-Design!$C$29) / (IF(ISBLANK(Design!$B$41),Design!$B$39,Design!$B$41)/1000000) * D10/100/(IF(ISBLANK(Design!$B$33),Design!$B$32,Design!$B$33)*1000000))</f>
        <v>0.46248472300555332</v>
      </c>
      <c r="F10" s="165">
        <f>$C$2*Constants!$C$21/1000+IF(ISBLANK(Design!$B$33),Design!$B$32,Design!$B$33)*1000000*Constants!$D$25/1000000000*($C$2-Constants!$C$24)</f>
        <v>3.0374999999999999E-2</v>
      </c>
      <c r="G10" s="165">
        <f>$C$2*B10*($C$2/(Constants!$C$26*1000000000)*IF(ISBLANK(Design!$B$33),Design!$B$32,Design!$B$33)*1000000/2+$C$2/(Constants!$C$27*1000000000)*IF(ISBLANK(Design!$B$33),Design!$B$32,Design!$B$33)*1000000/2)</f>
        <v>4.7600000000000003E-2</v>
      </c>
      <c r="H10" s="165">
        <f t="shared" ref="H10:H13" ca="1" si="21">IF($D$78,1,D10/100*(B10^2+E10^2/12)*P10/1000)</f>
        <v>0.27921122514147573</v>
      </c>
      <c r="I10" s="165">
        <f>Constants!$D$25/1000000000*Constants!$C$24*IF(ISBLANK(Design!$B$33),Design!$B$32,Design!$B$33)*1000000</f>
        <v>1.0624999999999999E-2</v>
      </c>
      <c r="J10" s="165">
        <f t="shared" ref="J10:J13" ca="1" si="22">SUM(F10:I10)</f>
        <v>0.36781122514147574</v>
      </c>
      <c r="K10" s="165">
        <f t="shared" ref="K10:K13" ca="1" si="23">B10*C10*(1-D10/100)</f>
        <v>0.24529325869015711</v>
      </c>
      <c r="L10" s="165">
        <f ca="1">B10^2*IF(ISBLANK(Design!$B$42),Constants!$C$6,Design!$B$42)/1000*(1+(O10-25)*(Constants!$C$36/100))</f>
        <v>0.128520499648167</v>
      </c>
      <c r="M10" s="165">
        <f>0.5*Snubber!$B$16/1000000000000*$C$2^2*Design!$B$33*1000000</f>
        <v>4.4879999999999998E-3</v>
      </c>
      <c r="N10" s="166">
        <f ca="1">$A10+K10*Design!$B$19</f>
        <v>38.98171574533896</v>
      </c>
      <c r="O10" s="166">
        <f ca="1">J10*Design!$C$12+A10</f>
        <v>37.505581654810172</v>
      </c>
      <c r="P10" s="166">
        <f ca="1">Constants!$D$22+Constants!$D$22*Constants!$C$23/100*(O10-25)</f>
        <v>135.00446532384814</v>
      </c>
      <c r="Q10" s="165">
        <f ca="1">(1-Constants!$C$20/1000000000*Design!$B$33*1000000) * ($C$2+C10-B10*P10/1000) - (C10+B10*Design!$B$42/1000)</f>
        <v>7.3978670192623142</v>
      </c>
      <c r="R10" s="165">
        <f ca="1">IF(Q10&gt;Design!$C$29,Design!$C$29,Q10)</f>
        <v>4.9990521327014221</v>
      </c>
      <c r="S10" s="165">
        <f t="shared" ref="S10:S13" ca="1" si="24">SUM(J10:M10)</f>
        <v>0.74611298347979993</v>
      </c>
      <c r="T10" s="165">
        <f t="shared" ref="T10:T13" ca="1" si="25">R10*B10</f>
        <v>8.7483412322274887</v>
      </c>
      <c r="U10" s="450">
        <f t="shared" ref="U10:U13" ca="1" si="26">100*T10/(T10+S10)</f>
        <v>92.141591643620146</v>
      </c>
      <c r="V10" s="457">
        <f t="shared" si="19"/>
        <v>1.75</v>
      </c>
      <c r="W10" s="458">
        <f ca="1">FORECAST(V10, OFFSET(Design!$C$15:$C$17,MATCH(V10,Design!$B$15:$B$17,1)-1,0,2), OFFSET(Design!$B$15:$B$17,MATCH(V10,Design!$B$15:$B$17,1)-1,0,2))+(AH10-25)*Design!$B$18/1000</f>
        <v>0.4176692285652987</v>
      </c>
      <c r="X10" s="184">
        <f ca="1">IF(100*(Design!$C$29+W10+V10*IF(ISBLANK(Design!$B$42),Constants!$C$6,Design!$B$42)/1000*(1+Constants!$C$36/100*(AI10-25)))/($W$2+W10-V10*AJ10/1000)&gt;Design!$C$36,Design!$C$36,100*(Design!$C$29+W10+V10*IF(ISBLANK(Design!$B$42),Constants!$C$6,Design!$B$42)/1000*(1+Constants!$C$36/100*(AI10-25)))/($W$2+W10-V10*AJ10/1000))</f>
        <v>45.067329272536362</v>
      </c>
      <c r="Y10" s="183">
        <f ca="1">($W$2-V10*IF(ISBLANK(Design!$B$42),Constants!$C$6,Design!$B$42)/1000*(1+Constants!$C$36/100*(AI10-25))-Design!$C$29) / (IF(ISBLANK(Design!$B$41),Design!$B$39,Design!$B$41)/1000000) * X10/100/(IF(ISBLANK(Design!$B$33),Design!$B$32,Design!$B$33)*1000000)</f>
        <v>0.73460873045362474</v>
      </c>
      <c r="Z10" s="183">
        <f>$W$2*Constants!$C$21/1000+IF(ISBLANK(Design!$B$33),Design!$B$32,Design!$B$33)*1000000*Constants!$D$25/1000000000*($W$2-Constants!$C$24)</f>
        <v>5.0874999999999997E-2</v>
      </c>
      <c r="AA10" s="183">
        <f>$W$2*V10*($W$2/(Constants!$C$26*1000000000)*IF(ISBLANK(Design!$B$33),Design!$B$32,Design!$B$33)*1000000/2+$W$2/(Constants!$C$27*1000000000)*IF(ISBLANK(Design!$B$33),Design!$B$32,Design!$B$33)*1000000/2)</f>
        <v>0.1071</v>
      </c>
      <c r="AB10" s="183">
        <f t="shared" ref="AB10:AB13" ca="1" si="27">IF($D$78,1,X10/100*(V10^2+Y10^2/12)*AJ10/1000)</f>
        <v>0.18866586087696008</v>
      </c>
      <c r="AC10" s="183">
        <f>Constants!$D$25/1000000000*Constants!$C$24*IF(ISBLANK(Design!$B$33),Design!$B$32,Design!$B$33)*1000000</f>
        <v>1.0624999999999999E-2</v>
      </c>
      <c r="AD10" s="183">
        <f t="shared" ref="AD10:AD13" ca="1" si="28">SUM(Z10:AC10)</f>
        <v>0.35726586087696011</v>
      </c>
      <c r="AE10" s="183">
        <f t="shared" ref="AE10:AE13" ca="1" si="29">V10*W10*(1-X10/100)</f>
        <v>0.4015145086009978</v>
      </c>
      <c r="AF10" s="183">
        <f ca="1">V10^2*IF(ISBLANK(Design!$B$42),Constants!$C$6,Design!$B$42)/1000*(1+(AI10-25)*(Constants!$C$36/100))</f>
        <v>0.12834788838047148</v>
      </c>
      <c r="AG10" s="183">
        <f>0.5*Snubber!$B$16/1000000000000*$W$2^2*Design!$B$33*1000000</f>
        <v>1.0097999999999999E-2</v>
      </c>
      <c r="AH10" s="184">
        <f ca="1">$A10+AE10*Design!$B$19</f>
        <v>47.886326990256876</v>
      </c>
      <c r="AI10" s="184">
        <f ca="1">AD10*Design!$C$12+$A10</f>
        <v>37.147039269816645</v>
      </c>
      <c r="AJ10" s="184">
        <f ca="1">Constants!$D$22+Constants!$D$22*Constants!$C$23/100*(AI10-25)</f>
        <v>134.7176314158533</v>
      </c>
      <c r="AK10" s="183">
        <f ca="1">(1-Constants!$C$20/1000000000*Design!$B$33*1000000) * ($W$2+W10-V10*AJ10/1000) - (W10+V10*Design!$B$42/1000)</f>
        <v>11.254172524401406</v>
      </c>
      <c r="AL10" s="183">
        <f ca="1">IF(AK10&gt;Design!$C$29,Design!$C$29,AK10)</f>
        <v>4.9990521327014221</v>
      </c>
      <c r="AM10" s="183">
        <f t="shared" ref="AM10:AM13" ca="1" si="30">SUM(AD10:AG10)</f>
        <v>0.89722625785842947</v>
      </c>
      <c r="AN10" s="183">
        <f t="shared" ref="AN10:AN13" ca="1" si="31">AL10*V10</f>
        <v>8.7483412322274887</v>
      </c>
      <c r="AO10" s="459">
        <f t="shared" ref="AO10:AO13" ca="1" si="32">100*AN10/(AN10+AM10)</f>
        <v>90.698045928550783</v>
      </c>
      <c r="AP10" s="466">
        <f t="shared" si="20"/>
        <v>1.75</v>
      </c>
      <c r="AQ10" s="467">
        <f ca="1">FORECAST(AP10, OFFSET(Design!$C$15:$C$17,MATCH(AP10,Design!$B$15:$B$17,1)-1,0,2), OFFSET(Design!$B$15:$B$17,MATCH(AP10,Design!$B$15:$B$17,1)-1,0,2))+(BB10-25)*Design!$B$18/1000</f>
        <v>0.41331168996457313</v>
      </c>
      <c r="AR10" s="196">
        <f ca="1">IF(100*(Design!$C$29+AQ10+AP10*IF(ISBLANK(Design!$B$42),Constants!$C$6,Design!$B$42)/1000*(1+Constants!$C$36/100*(BC10-25)))/($AQ$2+AQ10-AP10*BD10/1000)&gt;Design!$C$36,Design!$C$36,100*(Design!$C$29+AQ10+AP10*IF(ISBLANK(Design!$B$42),Constants!$C$6,Design!$B$42)/1000*(1+Constants!$C$36/100*(BC10-25)))/($AQ$2+AQ10-AP10*BD10/1000))</f>
        <v>33.918767315259863</v>
      </c>
      <c r="AS10" s="195">
        <f ca="1">($AQ$2-AP10*IF(ISBLANK(Design!$B$42),Constants!$C$6,Design!$B$42)/1000*(1+Constants!$C$36/100*(BC10-25))-Design!$C$29) / (IF(ISBLANK(Design!$B$41),Design!$B$39,Design!$B$41)/1000000) * AR10/100/(IF(ISBLANK(Design!$B$33),Design!$B$32,Design!$B$33)*1000000)</f>
        <v>0.8720752828899071</v>
      </c>
      <c r="AT10" s="195">
        <f>$AQ$2*Constants!$C$21/1000+IF(ISBLANK(Design!$B$33),Design!$B$32,Design!$B$33)*1000000*Constants!$D$25/1000000000*($AQ$2-Constants!$C$24)</f>
        <v>7.1374999999999994E-2</v>
      </c>
      <c r="AU10" s="195">
        <f>$AQ$2*AP10*($AQ$2/(Constants!$C$26*1000000000)*IF(ISBLANK(Design!$B$33),Design!$B$32,Design!$B$33)*1000000/2+$AQ$2/(Constants!$C$27*1000000000)*IF(ISBLANK(Design!$B$33),Design!$B$32,Design!$B$33)*1000000/2)</f>
        <v>0.19040000000000001</v>
      </c>
      <c r="AV10" s="195">
        <f t="shared" ref="AV10:AV13" ca="1" si="33">IF($D$78,1,AR10/100*(AP10^2+AS10^2/12)*BD10/1000)</f>
        <v>0.14455697501418768</v>
      </c>
      <c r="AW10" s="195">
        <f>Constants!$D$25/1000000000*Constants!$C$24*IF(ISBLANK(Design!$B$33),Design!$B$32,Design!$B$33)*1000000</f>
        <v>1.0624999999999999E-2</v>
      </c>
      <c r="AX10" s="195">
        <f t="shared" ref="AX10:AX13" ca="1" si="34">SUM(AT10:AW10)</f>
        <v>0.41695697501418766</v>
      </c>
      <c r="AY10" s="195">
        <f t="shared" ref="AY10:AY13" ca="1" si="35">AP10*AQ10*(1-AR10/100)</f>
        <v>0.47796255422776224</v>
      </c>
      <c r="AZ10" s="195">
        <f ca="1">AP10^2*IF(ISBLANK(Design!$B$42),Constants!$C$6,Design!$B$42)/1000*(1+(BC10-25)*(Constants!$C$36/100))</f>
        <v>0.12932493939767098</v>
      </c>
      <c r="BA10" s="195">
        <f>0.5*Snubber!$B$16/1000000000000*$AQ$2^2*Design!$B$33*1000000</f>
        <v>1.7951999999999999E-2</v>
      </c>
      <c r="BB10" s="196">
        <f ca="1">$A10+AY10*Design!$B$19</f>
        <v>52.243865590982452</v>
      </c>
      <c r="BC10" s="196">
        <f ca="1">AX10*Design!$C$12+$A10</f>
        <v>39.176537150482382</v>
      </c>
      <c r="BD10" s="196">
        <f ca="1">Constants!$D$22+Constants!$D$22*Constants!$C$23/100*(BC10-25)</f>
        <v>136.34122972038591</v>
      </c>
      <c r="BE10" s="195">
        <f ca="1">(1-Constants!$C$20/1000000000*Design!$B$33*1000000) * ($AQ$2+AQ10-AP10*BD10/1000) - (AQ10+AP10*Design!$B$42/1000)</f>
        <v>15.107091285305739</v>
      </c>
      <c r="BF10" s="195">
        <f ca="1">IF(BE10&gt;Design!$C$29,Design!$C$29,BE10)</f>
        <v>4.9990521327014221</v>
      </c>
      <c r="BG10" s="195">
        <f t="shared" ref="BG10:BG13" ca="1" si="36">SUM(AX10:BA10)</f>
        <v>1.0421964686396208</v>
      </c>
      <c r="BH10" s="195">
        <f t="shared" ref="BH10:BH13" ca="1" si="37">BF10*AP10</f>
        <v>8.7483412322274887</v>
      </c>
      <c r="BI10" s="468">
        <f t="shared" ref="BI10:BI13" ca="1" si="38">100*BH10/(BH10+BG10)</f>
        <v>89.355064037521487</v>
      </c>
    </row>
    <row r="11" spans="1:61" s="120" customFormat="1" ht="12.75">
      <c r="A11" s="112">
        <v>25</v>
      </c>
      <c r="B11" s="448">
        <f t="shared" si="18"/>
        <v>2</v>
      </c>
      <c r="C11" s="449">
        <f ca="1">FORECAST(B11, OFFSET(Design!$C$15:$C$17,MATCH(B11,Design!$B$15:$B$17,1)-1,0,2), OFFSET(Design!$B$15:$B$17,MATCH(B11,Design!$B$15:$B$17,1)-1,0,2))+(N11-25)*Design!$B$18/1000</f>
        <v>0.44365111053811113</v>
      </c>
      <c r="D11" s="166">
        <f ca="1">IF(100*(Design!$C$29+C11+B11*IF(ISBLANK(Design!$B$42),Constants!$C$6,Design!$B$42)/1000*(1+Constants!$C$36/100*(O11-25)))/($C$2+C11-B11*P11/1000)&gt;Design!$C$36,Design!$C$36,100*(Design!$C$29+C11+B11*IF(ISBLANK(Design!$B$42),Constants!$C$6,Design!$B$42)/1000*(1+Constants!$C$36/100*(O11-25)))/($C$2+C11-B11*P11/1000))</f>
        <v>67.674754404366254</v>
      </c>
      <c r="E11" s="165">
        <f ca="1">IF(($C$2-B11*IF(ISBLANK(Design!$B$42),Constants!$C$6,Design!$B$42)/1000*(1+Constants!$C$36/100*(O11-25))-Design!$C$29) / (IF(ISBLANK(Design!$B$41),Design!$B$39,Design!$B$41)/1000000) * D11/100/(IF(ISBLANK(Design!$B$33),Design!$B$32,Design!$B$33)*1000000)&lt;0,0,($C$2-B11*IF(ISBLANK(Design!$B$42),Constants!$C$6,Design!$B$42)/1000*(1+Constants!$C$36/100*(O11-25))-Design!$C$29) / (IF(ISBLANK(Design!$B$41),Design!$B$39,Design!$B$41)/1000000) * D11/100/(IF(ISBLANK(Design!$B$33),Design!$B$32,Design!$B$33)*1000000))</f>
        <v>0.46431619038888533</v>
      </c>
      <c r="F11" s="165">
        <f>$C$2*Constants!$C$21/1000+IF(ISBLANK(Design!$B$33),Design!$B$32,Design!$B$33)*1000000*Constants!$D$25/1000000000*($C$2-Constants!$C$24)</f>
        <v>3.0374999999999999E-2</v>
      </c>
      <c r="G11" s="165">
        <f>$C$2*B11*($C$2/(Constants!$C$26*1000000000)*IF(ISBLANK(Design!$B$33),Design!$B$32,Design!$B$33)*1000000/2+$C$2/(Constants!$C$27*1000000000)*IF(ISBLANK(Design!$B$33),Design!$B$32,Design!$B$33)*1000000/2)</f>
        <v>5.4400000000000004E-2</v>
      </c>
      <c r="H11" s="165">
        <f t="shared" ca="1" si="21"/>
        <v>0.37465955965732817</v>
      </c>
      <c r="I11" s="165">
        <f>Constants!$D$25/1000000000*Constants!$C$24*IF(ISBLANK(Design!$B$33),Design!$B$32,Design!$B$33)*1000000</f>
        <v>1.0624999999999999E-2</v>
      </c>
      <c r="J11" s="165">
        <f t="shared" ca="1" si="22"/>
        <v>0.47005955965732815</v>
      </c>
      <c r="K11" s="165">
        <f t="shared" ca="1" si="23"/>
        <v>0.28682262213840193</v>
      </c>
      <c r="L11" s="165">
        <f ca="1">B11^2*IF(ISBLANK(Design!$B$42),Constants!$C$6,Design!$B$42)/1000*(1+(O11-25)*(Constants!$C$36/100))</f>
        <v>0.17004949733782596</v>
      </c>
      <c r="M11" s="165">
        <f>0.5*Snubber!$B$16/1000000000000*$C$2^2*Design!$B$33*1000000</f>
        <v>4.4879999999999998E-3</v>
      </c>
      <c r="N11" s="166">
        <f ca="1">$A11+K11*Design!$B$19</f>
        <v>41.348889461888909</v>
      </c>
      <c r="O11" s="166">
        <f ca="1">J11*Design!$C$12+A11</f>
        <v>40.982025028349156</v>
      </c>
      <c r="P11" s="166">
        <f ca="1">Constants!$D$22+Constants!$D$22*Constants!$C$23/100*(O11-25)</f>
        <v>137.78562002267932</v>
      </c>
      <c r="Q11" s="165">
        <f ca="1">(1-Constants!$C$20/1000000000*Design!$B$33*1000000) * ($C$2+C11-B11*P11/1000) - (C11+B11*Design!$B$42/1000)</f>
        <v>7.3493568746330906</v>
      </c>
      <c r="R11" s="165">
        <f ca="1">IF(Q11&gt;Design!$C$29,Design!$C$29,Q11)</f>
        <v>4.9990521327014221</v>
      </c>
      <c r="S11" s="165">
        <f t="shared" ca="1" si="24"/>
        <v>0.93141967913355606</v>
      </c>
      <c r="T11" s="165">
        <f t="shared" ca="1" si="25"/>
        <v>9.9981042654028442</v>
      </c>
      <c r="U11" s="450">
        <f t="shared" ca="1" si="26"/>
        <v>91.477948318150055</v>
      </c>
      <c r="V11" s="457">
        <f t="shared" si="19"/>
        <v>2</v>
      </c>
      <c r="W11" s="458">
        <f ca="1">FORECAST(V11, OFFSET(Design!$C$15:$C$17,MATCH(V11,Design!$B$15:$B$17,1)-1,0,2), OFFSET(Design!$B$15:$B$17,MATCH(V11,Design!$B$15:$B$17,1)-1,0,2))+(AH11-25)*Design!$B$18/1000</f>
        <v>0.43303168899449146</v>
      </c>
      <c r="X11" s="184">
        <f ca="1">IF(100*(Design!$C$29+W11+V11*IF(ISBLANK(Design!$B$42),Constants!$C$6,Design!$B$42)/1000*(1+Constants!$C$36/100*(AI11-25)))/($W$2+W11-V11*AJ11/1000)&gt;Design!$C$36,Design!$C$36,100*(Design!$C$29+W11+V11*IF(ISBLANK(Design!$B$42),Constants!$C$6,Design!$B$42)/1000*(1+Constants!$C$36/100*(AI11-25)))/($W$2+W11-V11*AJ11/1000))</f>
        <v>45.370249420642857</v>
      </c>
      <c r="Y11" s="183">
        <f ca="1">($W$2-V11*IF(ISBLANK(Design!$B$42),Constants!$C$6,Design!$B$42)/1000*(1+Constants!$C$36/100*(AI11-25))-Design!$C$29) / (IF(ISBLANK(Design!$B$41),Design!$B$39,Design!$B$41)/1000000) * X11/100/(IF(ISBLANK(Design!$B$33),Design!$B$32,Design!$B$33)*1000000)</f>
        <v>0.73833914767315145</v>
      </c>
      <c r="Z11" s="183">
        <f>$W$2*Constants!$C$21/1000+IF(ISBLANK(Design!$B$33),Design!$B$32,Design!$B$33)*1000000*Constants!$D$25/1000000000*($W$2-Constants!$C$24)</f>
        <v>5.0874999999999997E-2</v>
      </c>
      <c r="AA11" s="183">
        <f>$W$2*V11*($W$2/(Constants!$C$26*1000000000)*IF(ISBLANK(Design!$B$33),Design!$B$32,Design!$B$33)*1000000/2+$W$2/(Constants!$C$27*1000000000)*IF(ISBLANK(Design!$B$33),Design!$B$32,Design!$B$33)*1000000/2)</f>
        <v>0.12240000000000001</v>
      </c>
      <c r="AB11" s="183">
        <f t="shared" ca="1" si="27"/>
        <v>0.25114667024431364</v>
      </c>
      <c r="AC11" s="183">
        <f>Constants!$D$25/1000000000*Constants!$C$24*IF(ISBLANK(Design!$B$33),Design!$B$32,Design!$B$33)*1000000</f>
        <v>1.0624999999999999E-2</v>
      </c>
      <c r="AD11" s="183">
        <f t="shared" ca="1" si="28"/>
        <v>0.43504667024431365</v>
      </c>
      <c r="AE11" s="183">
        <f t="shared" ca="1" si="29"/>
        <v>0.4731282632545365</v>
      </c>
      <c r="AF11" s="183">
        <f ca="1">V11^2*IF(ISBLANK(Design!$B$42),Constants!$C$6,Design!$B$42)/1000*(1+(AI11-25)*(Constants!$C$36/100))</f>
        <v>0.16930094977248722</v>
      </c>
      <c r="AG11" s="183">
        <f>0.5*Snubber!$B$16/1000000000000*$W$2^2*Design!$B$33*1000000</f>
        <v>1.0097999999999999E-2</v>
      </c>
      <c r="AH11" s="184">
        <f ca="1">$A11+AE11*Design!$B$19</f>
        <v>51.968311005508582</v>
      </c>
      <c r="AI11" s="184">
        <f ca="1">AD11*Design!$C$12+$A11</f>
        <v>39.79158678830666</v>
      </c>
      <c r="AJ11" s="184">
        <f ca="1">Constants!$D$22+Constants!$D$22*Constants!$C$23/100*(AI11-25)</f>
        <v>136.83326943064532</v>
      </c>
      <c r="AK11" s="183">
        <f ca="1">(1-Constants!$C$20/1000000000*Design!$B$33*1000000) * ($W$2+W11-V11*AJ11/1000) - (W11+V11*Design!$B$42/1000)</f>
        <v>11.207076395090148</v>
      </c>
      <c r="AL11" s="183">
        <f ca="1">IF(AK11&gt;Design!$C$29,Design!$C$29,AK11)</f>
        <v>4.9990521327014221</v>
      </c>
      <c r="AM11" s="183">
        <f t="shared" ca="1" si="30"/>
        <v>1.0875738832713373</v>
      </c>
      <c r="AN11" s="183">
        <f t="shared" ca="1" si="31"/>
        <v>9.9981042654028442</v>
      </c>
      <c r="AO11" s="459">
        <f t="shared" ca="1" si="32"/>
        <v>90.189378866268015</v>
      </c>
      <c r="AP11" s="466">
        <f t="shared" si="20"/>
        <v>2</v>
      </c>
      <c r="AQ11" s="467">
        <f ca="1">FORECAST(AP11, OFFSET(Design!$C$15:$C$17,MATCH(AP11,Design!$B$15:$B$17,1)-1,0,2), OFFSET(Design!$B$15:$B$17,MATCH(AP11,Design!$B$15:$B$17,1)-1,0,2))+(BB11-25)*Design!$B$18/1000</f>
        <v>0.42786986282595912</v>
      </c>
      <c r="AR11" s="196">
        <f ca="1">IF(100*(Design!$C$29+AQ11+AP11*IF(ISBLANK(Design!$B$42),Constants!$C$6,Design!$B$42)/1000*(1+Constants!$C$36/100*(BC11-25)))/($AQ$2+AQ11-AP11*BD11/1000)&gt;Design!$C$36,Design!$C$36,100*(Design!$C$29+AQ11+AP11*IF(ISBLANK(Design!$B$42),Constants!$C$6,Design!$B$42)/1000*(1+Constants!$C$36/100*(BC11-25)))/($AQ$2+AQ11-AP11*BD11/1000))</f>
        <v>34.128730945731164</v>
      </c>
      <c r="AS11" s="195">
        <f ca="1">($AQ$2-AP11*IF(ISBLANK(Design!$B$42),Constants!$C$6,Design!$B$42)/1000*(1+Constants!$C$36/100*(BC11-25))-Design!$C$29) / (IF(ISBLANK(Design!$B$41),Design!$B$39,Design!$B$41)/1000000) * AR11/100/(IF(ISBLANK(Design!$B$33),Design!$B$32,Design!$B$33)*1000000)</f>
        <v>0.87656182221692636</v>
      </c>
      <c r="AT11" s="195">
        <f>$AQ$2*Constants!$C$21/1000+IF(ISBLANK(Design!$B$33),Design!$B$32,Design!$B$33)*1000000*Constants!$D$25/1000000000*($AQ$2-Constants!$C$24)</f>
        <v>7.1374999999999994E-2</v>
      </c>
      <c r="AU11" s="195">
        <f>$AQ$2*AP11*($AQ$2/(Constants!$C$26*1000000000)*IF(ISBLANK(Design!$B$33),Design!$B$32,Design!$B$33)*1000000/2+$AQ$2/(Constants!$C$27*1000000000)*IF(ISBLANK(Design!$B$33),Design!$B$32,Design!$B$33)*1000000/2)</f>
        <v>0.21760000000000002</v>
      </c>
      <c r="AV11" s="195">
        <f t="shared" ca="1" si="33"/>
        <v>0.19191848333730996</v>
      </c>
      <c r="AW11" s="195">
        <f>Constants!$D$25/1000000000*Constants!$C$24*IF(ISBLANK(Design!$B$33),Design!$B$32,Design!$B$33)*1000000</f>
        <v>1.0624999999999999E-2</v>
      </c>
      <c r="AX11" s="195">
        <f t="shared" ca="1" si="34"/>
        <v>0.49151848333730996</v>
      </c>
      <c r="AY11" s="195">
        <f t="shared" ca="1" si="35"/>
        <v>0.56368661708843704</v>
      </c>
      <c r="AZ11" s="195">
        <f ca="1">AP11^2*IF(ISBLANK(Design!$B$42),Constants!$C$6,Design!$B$42)/1000*(1+(BC11-25)*(Constants!$C$36/100))</f>
        <v>0.17050827195896504</v>
      </c>
      <c r="BA11" s="195">
        <f>0.5*Snubber!$B$16/1000000000000*$AQ$2^2*Design!$B$33*1000000</f>
        <v>1.7951999999999999E-2</v>
      </c>
      <c r="BB11" s="196">
        <f ca="1">$A11+AY11*Design!$B$19</f>
        <v>57.130137174040911</v>
      </c>
      <c r="BC11" s="196">
        <f ca="1">AX11*Design!$C$12+$A11</f>
        <v>41.71162843346854</v>
      </c>
      <c r="BD11" s="196">
        <f ca="1">Constants!$D$22+Constants!$D$22*Constants!$C$23/100*(BC11-25)</f>
        <v>138.36930274677482</v>
      </c>
      <c r="BE11" s="195">
        <f ca="1">(1-Constants!$C$20/1000000000*Design!$B$33*1000000) * ($AQ$2+AQ11-AP11*BD11/1000) - (AQ11+AP11*Design!$B$42/1000)</f>
        <v>15.059801777835316</v>
      </c>
      <c r="BF11" s="195">
        <f ca="1">IF(BE11&gt;Design!$C$29,Design!$C$29,BE11)</f>
        <v>4.9990521327014221</v>
      </c>
      <c r="BG11" s="195">
        <f t="shared" ca="1" si="36"/>
        <v>1.243665372384712</v>
      </c>
      <c r="BH11" s="195">
        <f t="shared" ca="1" si="37"/>
        <v>9.9981042654028442</v>
      </c>
      <c r="BI11" s="468">
        <f t="shared" ca="1" si="38"/>
        <v>88.937103210118153</v>
      </c>
    </row>
    <row r="12" spans="1:61" s="120" customFormat="1" ht="12.75">
      <c r="A12" s="112">
        <v>25</v>
      </c>
      <c r="B12" s="448">
        <f t="shared" si="18"/>
        <v>2.25</v>
      </c>
      <c r="C12" s="449">
        <f ca="1">FORECAST(B12, OFFSET(Design!$C$15:$C$17,MATCH(B12,Design!$B$15:$B$17,1)-1,0,2), OFFSET(Design!$B$15:$B$17,MATCH(B12,Design!$B$15:$B$17,1)-1,0,2))+(N12-25)*Design!$B$18/1000</f>
        <v>0.44797364595752992</v>
      </c>
      <c r="D12" s="166">
        <f ca="1">IF(100*(Design!$C$29+C12+B12*IF(ISBLANK(Design!$B$42),Constants!$C$6,Design!$B$42)/1000*(1+Constants!$C$36/100*(O12-25)))/($C$2+C12-B12*P12/1000)&gt;Design!$C$36,Design!$C$36,100*(Design!$C$29+C12+B12*IF(ISBLANK(Design!$B$42),Constants!$C$6,Design!$B$42)/1000*(1+Constants!$C$36/100*(O12-25)))/($C$2+C12-B12*P12/1000))</f>
        <v>68.18882409096291</v>
      </c>
      <c r="E12" s="165">
        <f ca="1">IF(($C$2-B12*IF(ISBLANK(Design!$B$42),Constants!$C$6,Design!$B$42)/1000*(1+Constants!$C$36/100*(O12-25))-Design!$C$29) / (IF(ISBLANK(Design!$B$41),Design!$B$39,Design!$B$41)/1000000) * D12/100/(IF(ISBLANK(Design!$B$33),Design!$B$32,Design!$B$33)*1000000)&lt;0,0,($C$2-B12*IF(ISBLANK(Design!$B$42),Constants!$C$6,Design!$B$42)/1000*(1+Constants!$C$36/100*(O12-25))-Design!$C$29) / (IF(ISBLANK(Design!$B$41),Design!$B$39,Design!$B$41)/1000000) * D12/100/(IF(ISBLANK(Design!$B$33),Design!$B$32,Design!$B$33)*1000000))</f>
        <v>0.46590477990775458</v>
      </c>
      <c r="F12" s="165">
        <f>$C$2*Constants!$C$21/1000+IF(ISBLANK(Design!$B$33),Design!$B$32,Design!$B$33)*1000000*Constants!$D$25/1000000000*($C$2-Constants!$C$24)</f>
        <v>3.0374999999999999E-2</v>
      </c>
      <c r="G12" s="165">
        <f>$C$2*B12*($C$2/(Constants!$C$26*1000000000)*IF(ISBLANK(Design!$B$33),Design!$B$32,Design!$B$33)*1000000/2+$C$2/(Constants!$C$27*1000000000)*IF(ISBLANK(Design!$B$33),Design!$B$32,Design!$B$33)*1000000/2)</f>
        <v>6.1200000000000004E-2</v>
      </c>
      <c r="H12" s="165">
        <f t="shared" ca="1" si="21"/>
        <v>0.48873381957399659</v>
      </c>
      <c r="I12" s="165">
        <f>Constants!$D$25/1000000000*Constants!$C$24*IF(ISBLANK(Design!$B$33),Design!$B$32,Design!$B$33)*1000000</f>
        <v>1.0624999999999999E-2</v>
      </c>
      <c r="J12" s="165">
        <f t="shared" ca="1" si="22"/>
        <v>0.5909338195739966</v>
      </c>
      <c r="K12" s="165">
        <f t="shared" ca="1" si="23"/>
        <v>0.32063779021877298</v>
      </c>
      <c r="L12" s="165">
        <f ca="1">B12^2*IF(ISBLANK(Design!$B$42),Constants!$C$6,Design!$B$42)/1000*(1+(O12-25)*(Constants!$C$36/100))</f>
        <v>0.21848951683672418</v>
      </c>
      <c r="M12" s="165">
        <f>0.5*Snubber!$B$16/1000000000000*$C$2^2*Design!$B$33*1000000</f>
        <v>4.4879999999999998E-3</v>
      </c>
      <c r="N12" s="166">
        <f ca="1">$A12+K12*Design!$B$19</f>
        <v>43.276354042470061</v>
      </c>
      <c r="O12" s="166">
        <f ca="1">J12*Design!$C$12+A12</f>
        <v>45.091749865515879</v>
      </c>
      <c r="P12" s="166">
        <f ca="1">Constants!$D$22+Constants!$D$22*Constants!$C$23/100*(O12-25)</f>
        <v>141.07339989241271</v>
      </c>
      <c r="Q12" s="165">
        <f ca="1">(1-Constants!$C$20/1000000000*Design!$B$33*1000000) * ($C$2+C12-B12*P12/1000) - (C12+B12*Design!$B$42/1000)</f>
        <v>7.2988684245668605</v>
      </c>
      <c r="R12" s="165">
        <f ca="1">IF(Q12&gt;Design!$C$29,Design!$C$29,Q12)</f>
        <v>4.9990521327014221</v>
      </c>
      <c r="S12" s="165">
        <f t="shared" ca="1" si="24"/>
        <v>1.1345491266294938</v>
      </c>
      <c r="T12" s="165">
        <f t="shared" ca="1" si="25"/>
        <v>11.2478672985782</v>
      </c>
      <c r="U12" s="450">
        <f t="shared" ca="1" si="26"/>
        <v>90.837417450120483</v>
      </c>
      <c r="V12" s="457">
        <f t="shared" si="19"/>
        <v>2.25</v>
      </c>
      <c r="W12" s="458">
        <f ca="1">FORECAST(V12, OFFSET(Design!$C$15:$C$17,MATCH(V12,Design!$B$15:$B$17,1)-1,0,2), OFFSET(Design!$B$15:$B$17,MATCH(V12,Design!$B$15:$B$17,1)-1,0,2))+(AH12-25)*Design!$B$18/1000</f>
        <v>0.43585648757824547</v>
      </c>
      <c r="X12" s="184">
        <f ca="1">IF(100*(Design!$C$29+W12+V12*IF(ISBLANK(Design!$B$42),Constants!$C$6,Design!$B$42)/1000*(1+Constants!$C$36/100*(AI12-25)))/($W$2+W12-V12*AJ12/1000)&gt;Design!$C$36,Design!$C$36,100*(Design!$C$29+W12+V12*IF(ISBLANK(Design!$B$42),Constants!$C$6,Design!$B$42)/1000*(1+Constants!$C$36/100*(AI12-25)))/($W$2+W12-V12*AJ12/1000))</f>
        <v>45.627412144675255</v>
      </c>
      <c r="Y12" s="183">
        <f ca="1">($W$2-V12*IF(ISBLANK(Design!$B$42),Constants!$C$6,Design!$B$42)/1000*(1+Constants!$C$36/100*(AI12-25))-Design!$C$29) / (IF(ISBLANK(Design!$B$41),Design!$B$39,Design!$B$41)/1000000) * X12/100/(IF(ISBLANK(Design!$B$33),Design!$B$32,Design!$B$33)*1000000)</f>
        <v>0.74127360164935363</v>
      </c>
      <c r="Z12" s="183">
        <f>$W$2*Constants!$C$21/1000+IF(ISBLANK(Design!$B$33),Design!$B$32,Design!$B$33)*1000000*Constants!$D$25/1000000000*($W$2-Constants!$C$24)</f>
        <v>5.0874999999999997E-2</v>
      </c>
      <c r="AA12" s="183">
        <f>$W$2*V12*($W$2/(Constants!$C$26*1000000000)*IF(ISBLANK(Design!$B$33),Design!$B$32,Design!$B$33)*1000000/2+$W$2/(Constants!$C$27*1000000000)*IF(ISBLANK(Design!$B$33),Design!$B$32,Design!$B$33)*1000000/2)</f>
        <v>0.13770000000000002</v>
      </c>
      <c r="AB12" s="183">
        <f t="shared" ca="1" si="27"/>
        <v>0.32455202928051108</v>
      </c>
      <c r="AC12" s="183">
        <f>Constants!$D$25/1000000000*Constants!$C$24*IF(ISBLANK(Design!$B$33),Design!$B$32,Design!$B$33)*1000000</f>
        <v>1.0624999999999999E-2</v>
      </c>
      <c r="AD12" s="183">
        <f t="shared" ca="1" si="28"/>
        <v>0.52375202928051112</v>
      </c>
      <c r="AE12" s="183">
        <f t="shared" ca="1" si="29"/>
        <v>0.53321951617113184</v>
      </c>
      <c r="AF12" s="183">
        <f ca="1">V12^2*IF(ISBLANK(Design!$B$42),Constants!$C$6,Design!$B$42)/1000*(1+(AI12-25)*(Constants!$C$36/100))</f>
        <v>0.21667170859587356</v>
      </c>
      <c r="AG12" s="183">
        <f>0.5*Snubber!$B$16/1000000000000*$W$2^2*Design!$B$33*1000000</f>
        <v>1.0097999999999999E-2</v>
      </c>
      <c r="AH12" s="184">
        <f ca="1">$A12+AE12*Design!$B$19</f>
        <v>55.393512421754515</v>
      </c>
      <c r="AI12" s="184">
        <f ca="1">AD12*Design!$C$12+$A12</f>
        <v>42.80756899553738</v>
      </c>
      <c r="AJ12" s="184">
        <f ca="1">Constants!$D$22+Constants!$D$22*Constants!$C$23/100*(AI12-25)</f>
        <v>139.24605519642989</v>
      </c>
      <c r="AK12" s="183">
        <f ca="1">(1-Constants!$C$20/1000000000*Design!$B$33*1000000) * ($W$2+W12-V12*AJ12/1000) - (W12+V12*Design!$B$42/1000)</f>
        <v>11.158769153618204</v>
      </c>
      <c r="AL12" s="183">
        <f ca="1">IF(AK12&gt;Design!$C$29,Design!$C$29,AK12)</f>
        <v>4.9990521327014221</v>
      </c>
      <c r="AM12" s="183">
        <f t="shared" ca="1" si="30"/>
        <v>1.2837412540475164</v>
      </c>
      <c r="AN12" s="183">
        <f t="shared" ca="1" si="31"/>
        <v>11.2478672985782</v>
      </c>
      <c r="AO12" s="459">
        <f t="shared" ca="1" si="32"/>
        <v>89.755973874730245</v>
      </c>
      <c r="AP12" s="466">
        <f t="shared" si="20"/>
        <v>2.25</v>
      </c>
      <c r="AQ12" s="467">
        <f ca="1">FORECAST(AP12, OFFSET(Design!$C$15:$C$17,MATCH(AP12,Design!$B$15:$B$17,1)-1,0,2), OFFSET(Design!$B$15:$B$17,MATCH(AP12,Design!$B$15:$B$17,1)-1,0,2))+(BB12-25)*Design!$B$18/1000</f>
        <v>0.43001350735963939</v>
      </c>
      <c r="AR12" s="196">
        <f ca="1">IF(100*(Design!$C$29+AQ12+AP12*IF(ISBLANK(Design!$B$42),Constants!$C$6,Design!$B$42)/1000*(1+Constants!$C$36/100*(BC12-25)))/($AQ$2+AQ12-AP12*BD12/1000)&gt;Design!$C$36,Design!$C$36,100*(Design!$C$29+AQ12+AP12*IF(ISBLANK(Design!$B$42),Constants!$C$6,Design!$B$42)/1000*(1+Constants!$C$36/100*(BC12-25)))/($AQ$2+AQ12-AP12*BD12/1000))</f>
        <v>34.293749673901829</v>
      </c>
      <c r="AS12" s="195">
        <f ca="1">($AQ$2-AP12*IF(ISBLANK(Design!$B$42),Constants!$C$6,Design!$B$42)/1000*(1+Constants!$C$36/100*(BC12-25))-Design!$C$29) / (IF(ISBLANK(Design!$B$41),Design!$B$39,Design!$B$41)/1000000) * AR12/100/(IF(ISBLANK(Design!$B$33),Design!$B$32,Design!$B$33)*1000000)</f>
        <v>0.87986018330810933</v>
      </c>
      <c r="AT12" s="195">
        <f>$AQ$2*Constants!$C$21/1000+IF(ISBLANK(Design!$B$33),Design!$B$32,Design!$B$33)*1000000*Constants!$D$25/1000000000*($AQ$2-Constants!$C$24)</f>
        <v>7.1374999999999994E-2</v>
      </c>
      <c r="AU12" s="195">
        <f>$AQ$2*AP12*($AQ$2/(Constants!$C$26*1000000000)*IF(ISBLANK(Design!$B$33),Design!$B$32,Design!$B$33)*1000000/2+$AQ$2/(Constants!$C$27*1000000000)*IF(ISBLANK(Design!$B$33),Design!$B$32,Design!$B$33)*1000000/2)</f>
        <v>0.24480000000000002</v>
      </c>
      <c r="AV12" s="195">
        <f t="shared" ca="1" si="33"/>
        <v>0.24723333924975738</v>
      </c>
      <c r="AW12" s="195">
        <f>Constants!$D$25/1000000000*Constants!$C$24*IF(ISBLANK(Design!$B$33),Design!$B$32,Design!$B$33)*1000000</f>
        <v>1.0624999999999999E-2</v>
      </c>
      <c r="AX12" s="195">
        <f t="shared" ca="1" si="34"/>
        <v>0.5740333392497573</v>
      </c>
      <c r="AY12" s="195">
        <f t="shared" ca="1" si="35"/>
        <v>0.63572794105895825</v>
      </c>
      <c r="AZ12" s="195">
        <f ca="1">AP12^2*IF(ISBLANK(Design!$B$42),Constants!$C$6,Design!$B$42)/1000*(1+(BC12-25)*(Constants!$C$36/100))</f>
        <v>0.21803222279508694</v>
      </c>
      <c r="BA12" s="195">
        <f>0.5*Snubber!$B$16/1000000000000*$AQ$2^2*Design!$B$33*1000000</f>
        <v>1.7951999999999999E-2</v>
      </c>
      <c r="BB12" s="196">
        <f ca="1">$A12+AY12*Design!$B$19</f>
        <v>61.236492640360623</v>
      </c>
      <c r="BC12" s="196">
        <f ca="1">AX12*Design!$C$12+$A12</f>
        <v>44.517133534491748</v>
      </c>
      <c r="BD12" s="196">
        <f ca="1">Constants!$D$22+Constants!$D$22*Constants!$C$23/100*(BC12-25)</f>
        <v>140.6137068275934</v>
      </c>
      <c r="BE12" s="195">
        <f ca="1">(1-Constants!$C$20/1000000000*Design!$B$33*1000000) * ($AQ$2+AQ12-AP12*BD12/1000) - (AQ12+AP12*Design!$B$42/1000)</f>
        <v>15.011514179542628</v>
      </c>
      <c r="BF12" s="195">
        <f ca="1">IF(BE12&gt;Design!$C$29,Design!$C$29,BE12)</f>
        <v>4.9990521327014221</v>
      </c>
      <c r="BG12" s="195">
        <f t="shared" ca="1" si="36"/>
        <v>1.4457455031038025</v>
      </c>
      <c r="BH12" s="195">
        <f t="shared" ca="1" si="37"/>
        <v>11.2478672985782</v>
      </c>
      <c r="BI12" s="468">
        <f t="shared" ca="1" si="38"/>
        <v>88.610449005406636</v>
      </c>
    </row>
    <row r="13" spans="1:61" s="120" customFormat="1" ht="13.5" thickBot="1">
      <c r="A13" s="112">
        <v>25</v>
      </c>
      <c r="B13" s="448">
        <f t="shared" si="18"/>
        <v>2.5</v>
      </c>
      <c r="C13" s="449">
        <f ca="1">FORECAST(B13, OFFSET(Design!$C$15:$C$17,MATCH(B13,Design!$B$15:$B$17,1)-1,0,2), OFFSET(Design!$B$15:$B$17,MATCH(B13,Design!$B$15:$B$17,1)-1,0,2))+(N13-25)*Design!$B$18/1000</f>
        <v>0.45235108728977824</v>
      </c>
      <c r="D13" s="166">
        <f ca="1">IF(100*(Design!$C$29+C13+B13*IF(ISBLANK(Design!$B$42),Constants!$C$6,Design!$B$42)/1000*(1+Constants!$C$36/100*(O13-25)))/($C$2+C13-B13*P13/1000)&gt;Design!$C$36,Design!$C$36,100*(Design!$C$29+C13+B13*IF(ISBLANK(Design!$B$42),Constants!$C$6,Design!$B$42)/1000*(1+Constants!$C$36/100*(O13-25)))/($C$2+C13-B13*P13/1000))</f>
        <v>68.74200534912292</v>
      </c>
      <c r="E13" s="165">
        <f ca="1">IF(($C$2-B13*IF(ISBLANK(Design!$B$42),Constants!$C$6,Design!$B$42)/1000*(1+Constants!$C$36/100*(O13-25))-Design!$C$29) / (IF(ISBLANK(Design!$B$41),Design!$B$39,Design!$B$41)/1000000) * D13/100/(IF(ISBLANK(Design!$B$33),Design!$B$32,Design!$B$33)*1000000)&lt;0,0,($C$2-B13*IF(ISBLANK(Design!$B$42),Constants!$C$6,Design!$B$42)/1000*(1+Constants!$C$36/100*(O13-25))-Design!$C$29) / (IF(ISBLANK(Design!$B$41),Design!$B$39,Design!$B$41)/1000000) * D13/100/(IF(ISBLANK(Design!$B$33),Design!$B$32,Design!$B$33)*1000000))</f>
        <v>0.46763093584565268</v>
      </c>
      <c r="F13" s="165">
        <f>$C$2*Constants!$C$21/1000+IF(ISBLANK(Design!$B$33),Design!$B$32,Design!$B$33)*1000000*Constants!$D$25/1000000000*($C$2-Constants!$C$24)</f>
        <v>3.0374999999999999E-2</v>
      </c>
      <c r="G13" s="165">
        <f>$C$2*B13*($C$2/(Constants!$C$26*1000000000)*IF(ISBLANK(Design!$B$33),Design!$B$32,Design!$B$33)*1000000/2+$C$2/(Constants!$C$27*1000000000)*IF(ISBLANK(Design!$B$33),Design!$B$32,Design!$B$33)*1000000/2)</f>
        <v>6.8000000000000005E-2</v>
      </c>
      <c r="H13" s="165">
        <f t="shared" ca="1" si="21"/>
        <v>0.62459126151639333</v>
      </c>
      <c r="I13" s="165">
        <f>Constants!$D$25/1000000000*Constants!$C$24*IF(ISBLANK(Design!$B$33),Design!$B$32,Design!$B$33)*1000000</f>
        <v>1.0624999999999999E-2</v>
      </c>
      <c r="J13" s="165">
        <f t="shared" ca="1" si="22"/>
        <v>0.73359126151639331</v>
      </c>
      <c r="K13" s="165">
        <f t="shared" ca="1" si="23"/>
        <v>0.35348969667055807</v>
      </c>
      <c r="L13" s="167">
        <f ca="1">B13^2*IF(ISBLANK(Design!$B$42),Constants!$C$6,Design!$B$42)/1000*(1+(O13-25)*(Constants!$C$36/100))</f>
        <v>0.27450561609095514</v>
      </c>
      <c r="M13" s="165">
        <f>0.5*Snubber!$B$16/1000000000000*$C$2^2*Design!$B$33*1000000</f>
        <v>4.4879999999999998E-3</v>
      </c>
      <c r="N13" s="166">
        <f ca="1">$A13+K13*Design!$B$19</f>
        <v>45.148912710221808</v>
      </c>
      <c r="O13" s="166">
        <f ca="1">J13*Design!$C$12+A13</f>
        <v>49.942102891557369</v>
      </c>
      <c r="P13" s="166">
        <f ca="1">Constants!$D$22+Constants!$D$22*Constants!$C$23/100*(O13-25)</f>
        <v>144.95368231324591</v>
      </c>
      <c r="Q13" s="165">
        <f ca="1">(1-Constants!$C$20/1000000000*Design!$B$33*1000000) * ($C$2+C13-B13*P13/1000) - (C13+B13*Design!$B$42/1000)</f>
        <v>7.2453657406224563</v>
      </c>
      <c r="R13" s="165">
        <f ca="1">IF(Q13&gt;Design!$C$29,Design!$C$29,Q13)</f>
        <v>4.9990521327014221</v>
      </c>
      <c r="S13" s="167">
        <f t="shared" ca="1" si="24"/>
        <v>1.3660745742779066</v>
      </c>
      <c r="T13" s="165">
        <f t="shared" ca="1" si="25"/>
        <v>12.497630331753555</v>
      </c>
      <c r="U13" s="450">
        <f t="shared" ca="1" si="26"/>
        <v>90.146396049705373</v>
      </c>
      <c r="V13" s="457">
        <f t="shared" si="19"/>
        <v>2.5</v>
      </c>
      <c r="W13" s="458">
        <f ca="1">FORECAST(V13, OFFSET(Design!$C$15:$C$17,MATCH(V13,Design!$B$15:$B$17,1)-1,0,2), OFFSET(Design!$B$15:$B$17,MATCH(V13,Design!$B$15:$B$17,1)-1,0,2))+(AH13-25)*Design!$B$18/1000</f>
        <v>0.43867938448126809</v>
      </c>
      <c r="X13" s="184">
        <f ca="1">IF(100*(Design!$C$29+W13+V13*IF(ISBLANK(Design!$B$42),Constants!$C$6,Design!$B$42)/1000*(1+Constants!$C$36/100*(AI13-25)))/($W$2+W13-V13*AJ13/1000)&gt;Design!$C$36,Design!$C$36,100*(Design!$C$29+W13+V13*IF(ISBLANK(Design!$B$42),Constants!$C$6,Design!$B$42)/1000*(1+Constants!$C$36/100*(AI13-25)))/($W$2+W13-V13*AJ13/1000))</f>
        <v>45.897240408577758</v>
      </c>
      <c r="Y13" s="183">
        <f ca="1">($W$2-V13*IF(ISBLANK(Design!$B$42),Constants!$C$6,Design!$B$42)/1000*(1+Constants!$C$36/100*(AI13-25))-Design!$C$29) / (IF(ISBLANK(Design!$B$41),Design!$B$39,Design!$B$41)/1000000) * X13/100/(IF(ISBLANK(Design!$B$33),Design!$B$32,Design!$B$33)*1000000)</f>
        <v>0.74435591920652977</v>
      </c>
      <c r="Z13" s="183">
        <f>$W$2*Constants!$C$21/1000+IF(ISBLANK(Design!$B$33),Design!$B$32,Design!$B$33)*1000000*Constants!$D$25/1000000000*($W$2-Constants!$C$24)</f>
        <v>5.0874999999999997E-2</v>
      </c>
      <c r="AA13" s="183">
        <f>$W$2*V13*($W$2/(Constants!$C$26*1000000000)*IF(ISBLANK(Design!$B$33),Design!$B$32,Design!$B$33)*1000000/2+$W$2/(Constants!$C$27*1000000000)*IF(ISBLANK(Design!$B$33),Design!$B$32,Design!$B$33)*1000000/2)</f>
        <v>0.15300000000000002</v>
      </c>
      <c r="AB13" s="183">
        <f t="shared" ca="1" si="27"/>
        <v>0.41033420387010783</v>
      </c>
      <c r="AC13" s="183">
        <f>Constants!$D$25/1000000000*Constants!$C$24*IF(ISBLANK(Design!$B$33),Design!$B$32,Design!$B$33)*1000000</f>
        <v>1.0624999999999999E-2</v>
      </c>
      <c r="AD13" s="183">
        <f t="shared" ca="1" si="28"/>
        <v>0.62483420387010791</v>
      </c>
      <c r="AE13" s="183">
        <f t="shared" ca="1" si="29"/>
        <v>0.59334413190757829</v>
      </c>
      <c r="AF13" s="187">
        <f ca="1">V13^2*IF(ISBLANK(Design!$B$42),Constants!$C$6,Design!$B$42)/1000*(1+(AI13-25)*(Constants!$C$36/100))</f>
        <v>0.27087258658028096</v>
      </c>
      <c r="AG13" s="183">
        <f>0.5*Snubber!$B$16/1000000000000*$W$2^2*Design!$B$33*1000000</f>
        <v>1.0097999999999999E-2</v>
      </c>
      <c r="AH13" s="184">
        <f ca="1">$A13+AE13*Design!$B$19</f>
        <v>58.820615518731962</v>
      </c>
      <c r="AI13" s="184">
        <f ca="1">AD13*Design!$C$12+$A13</f>
        <v>46.244362931583666</v>
      </c>
      <c r="AJ13" s="184">
        <f ca="1">Constants!$D$22+Constants!$D$22*Constants!$C$23/100*(AI13-25)</f>
        <v>141.99549034526694</v>
      </c>
      <c r="AK13" s="183">
        <f ca="1">(1-Constants!$C$20/1000000000*Design!$B$33*1000000) * ($W$2+W13-V13*AJ13/1000) - (W13+V13*Design!$B$42/1000)</f>
        <v>11.108487949094254</v>
      </c>
      <c r="AL13" s="183">
        <f ca="1">IF(AK13&gt;Design!$C$29,Design!$C$29,AK13)</f>
        <v>4.9990521327014221</v>
      </c>
      <c r="AM13" s="183">
        <f t="shared" ca="1" si="30"/>
        <v>1.499148922357967</v>
      </c>
      <c r="AN13" s="183">
        <f t="shared" ca="1" si="31"/>
        <v>12.497630331753555</v>
      </c>
      <c r="AO13" s="459">
        <f t="shared" ca="1" si="32"/>
        <v>89.289329386847356</v>
      </c>
      <c r="AP13" s="466">
        <f t="shared" si="20"/>
        <v>2.5</v>
      </c>
      <c r="AQ13" s="467">
        <f ca="1">FORECAST(AP13, OFFSET(Design!$C$15:$C$17,MATCH(AP13,Design!$B$15:$B$17,1)-1,0,2), OFFSET(Design!$B$15:$B$17,MATCH(AP13,Design!$B$15:$B$17,1)-1,0,2))+(BB13-25)*Design!$B$18/1000</f>
        <v>0.43214344242577801</v>
      </c>
      <c r="AR13" s="196">
        <f ca="1">IF(100*(Design!$C$29+AQ13+AP13*IF(ISBLANK(Design!$B$42),Constants!$C$6,Design!$B$42)/1000*(1+Constants!$C$36/100*(BC13-25)))/($AQ$2+AQ13-AP13*BD13/1000)&gt;Design!$C$36,Design!$C$36,100*(Design!$C$29+AQ13+AP13*IF(ISBLANK(Design!$B$42),Constants!$C$6,Design!$B$42)/1000*(1+Constants!$C$36/100*(BC13-25)))/($AQ$2+AQ13-AP13*BD13/1000))</f>
        <v>34.465299019272052</v>
      </c>
      <c r="AS13" s="195">
        <f ca="1">($AQ$2-AP13*IF(ISBLANK(Design!$B$42),Constants!$C$6,Design!$B$42)/1000*(1+Constants!$C$36/100*(BC13-25))-Design!$C$29) / (IF(ISBLANK(Design!$B$41),Design!$B$39,Design!$B$41)/1000000) * AR13/100/(IF(ISBLANK(Design!$B$33),Design!$B$32,Design!$B$33)*1000000)</f>
        <v>0.88328933705984269</v>
      </c>
      <c r="AT13" s="195">
        <f>$AQ$2*Constants!$C$21/1000+IF(ISBLANK(Design!$B$33),Design!$B$32,Design!$B$33)*1000000*Constants!$D$25/1000000000*($AQ$2-Constants!$C$24)</f>
        <v>7.1374999999999994E-2</v>
      </c>
      <c r="AU13" s="195">
        <f>$AQ$2*AP13*($AQ$2/(Constants!$C$26*1000000000)*IF(ISBLANK(Design!$B$33),Design!$B$32,Design!$B$33)*1000000/2+$AQ$2/(Constants!$C$27*1000000000)*IF(ISBLANK(Design!$B$33),Design!$B$32,Design!$B$33)*1000000/2)</f>
        <v>0.27200000000000002</v>
      </c>
      <c r="AV13" s="195">
        <f t="shared" ca="1" si="33"/>
        <v>0.31145653961282599</v>
      </c>
      <c r="AW13" s="195">
        <f>Constants!$D$25/1000000000*Constants!$C$24*IF(ISBLANK(Design!$B$33),Design!$B$32,Design!$B$33)*1000000</f>
        <v>1.0624999999999999E-2</v>
      </c>
      <c r="AX13" s="195">
        <f t="shared" ca="1" si="34"/>
        <v>0.66545653961282591</v>
      </c>
      <c r="AY13" s="195">
        <f t="shared" ca="1" si="35"/>
        <v>0.70800978200389475</v>
      </c>
      <c r="AZ13" s="198">
        <f ca="1">AP13^2*IF(ISBLANK(Design!$B$42),Constants!$C$6,Design!$B$42)/1000*(1+(BC13-25)*(Constants!$C$36/100))</f>
        <v>0.27222957570576645</v>
      </c>
      <c r="BA13" s="195">
        <f>0.5*Snubber!$B$16/1000000000000*$AQ$2^2*Design!$B$33*1000000</f>
        <v>1.7951999999999999E-2</v>
      </c>
      <c r="BB13" s="196">
        <f ca="1">$A13+AY13*Design!$B$19</f>
        <v>65.356557574221995</v>
      </c>
      <c r="BC13" s="196">
        <f ca="1">AX13*Design!$C$12+$A13</f>
        <v>47.625522346836078</v>
      </c>
      <c r="BD13" s="196">
        <f ca="1">Constants!$D$22+Constants!$D$22*Constants!$C$23/100*(BC13-25)</f>
        <v>143.10041787746886</v>
      </c>
      <c r="BE13" s="195">
        <f ca="1">(1-Constants!$C$20/1000000000*Design!$B$33*1000000) * ($AQ$2+AQ13-AP13*BD13/1000) - (AQ13+AP13*Design!$B$42/1000)</f>
        <v>14.961561529938258</v>
      </c>
      <c r="BF13" s="195">
        <f ca="1">IF(BE13&gt;Design!$C$29,Design!$C$29,BE13)</f>
        <v>4.9990521327014221</v>
      </c>
      <c r="BG13" s="195">
        <f t="shared" ca="1" si="36"/>
        <v>1.6636478973224871</v>
      </c>
      <c r="BH13" s="195">
        <f t="shared" ca="1" si="37"/>
        <v>12.497630331753555</v>
      </c>
      <c r="BI13" s="468">
        <f t="shared" ca="1" si="38"/>
        <v>88.25213465613102</v>
      </c>
    </row>
    <row r="14" spans="1:61" ht="15.75" thickBot="1">
      <c r="A14" s="156" t="s">
        <v>198</v>
      </c>
      <c r="B14" s="156" t="s">
        <v>94</v>
      </c>
      <c r="C14" s="157" t="s">
        <v>223</v>
      </c>
      <c r="D14" s="169" t="s">
        <v>221</v>
      </c>
      <c r="E14" s="169" t="s">
        <v>222</v>
      </c>
      <c r="F14" s="169" t="s">
        <v>95</v>
      </c>
      <c r="G14" s="169" t="s">
        <v>96</v>
      </c>
      <c r="H14" s="169" t="s">
        <v>97</v>
      </c>
      <c r="I14" s="169" t="s">
        <v>186</v>
      </c>
      <c r="J14" s="169" t="s">
        <v>241</v>
      </c>
      <c r="K14" s="169" t="s">
        <v>243</v>
      </c>
      <c r="L14" s="169" t="s">
        <v>244</v>
      </c>
      <c r="M14" s="169" t="s">
        <v>255</v>
      </c>
      <c r="N14" s="169" t="s">
        <v>270</v>
      </c>
      <c r="O14" s="169" t="s">
        <v>271</v>
      </c>
      <c r="P14" s="169" t="s">
        <v>113</v>
      </c>
      <c r="Q14" s="169" t="s">
        <v>235</v>
      </c>
      <c r="R14" s="169" t="s">
        <v>242</v>
      </c>
      <c r="S14" s="200" t="s">
        <v>245</v>
      </c>
      <c r="T14" s="169" t="s">
        <v>246</v>
      </c>
      <c r="U14" s="212" t="s">
        <v>230</v>
      </c>
      <c r="V14" s="157" t="s">
        <v>94</v>
      </c>
      <c r="W14" s="157" t="s">
        <v>223</v>
      </c>
      <c r="X14" s="169" t="s">
        <v>221</v>
      </c>
      <c r="Y14" s="169" t="s">
        <v>222</v>
      </c>
      <c r="Z14" s="169" t="s">
        <v>95</v>
      </c>
      <c r="AA14" s="169" t="s">
        <v>96</v>
      </c>
      <c r="AB14" s="169" t="s">
        <v>97</v>
      </c>
      <c r="AC14" s="169" t="s">
        <v>186</v>
      </c>
      <c r="AD14" s="169" t="s">
        <v>241</v>
      </c>
      <c r="AE14" s="169" t="s">
        <v>243</v>
      </c>
      <c r="AF14" s="169" t="s">
        <v>244</v>
      </c>
      <c r="AG14" s="169" t="s">
        <v>255</v>
      </c>
      <c r="AH14" s="169" t="s">
        <v>270</v>
      </c>
      <c r="AI14" s="169" t="s">
        <v>271</v>
      </c>
      <c r="AJ14" s="169" t="s">
        <v>113</v>
      </c>
      <c r="AK14" s="169" t="s">
        <v>235</v>
      </c>
      <c r="AL14" s="169" t="s">
        <v>242</v>
      </c>
      <c r="AM14" s="169" t="s">
        <v>245</v>
      </c>
      <c r="AN14" s="169" t="s">
        <v>246</v>
      </c>
      <c r="AO14" s="212" t="s">
        <v>230</v>
      </c>
      <c r="AP14" s="157" t="s">
        <v>94</v>
      </c>
      <c r="AQ14" s="157" t="s">
        <v>223</v>
      </c>
      <c r="AR14" s="169" t="s">
        <v>221</v>
      </c>
      <c r="AS14" s="169" t="s">
        <v>222</v>
      </c>
      <c r="AT14" s="169" t="s">
        <v>95</v>
      </c>
      <c r="AU14" s="169" t="s">
        <v>96</v>
      </c>
      <c r="AV14" s="169" t="s">
        <v>97</v>
      </c>
      <c r="AW14" s="169" t="s">
        <v>186</v>
      </c>
      <c r="AX14" s="169" t="s">
        <v>241</v>
      </c>
      <c r="AY14" s="169" t="s">
        <v>243</v>
      </c>
      <c r="AZ14" s="169" t="s">
        <v>244</v>
      </c>
      <c r="BA14" s="169" t="s">
        <v>255</v>
      </c>
      <c r="BB14" s="169" t="s">
        <v>270</v>
      </c>
      <c r="BC14" s="169" t="s">
        <v>271</v>
      </c>
      <c r="BD14" s="169" t="s">
        <v>113</v>
      </c>
      <c r="BE14" s="169" t="s">
        <v>235</v>
      </c>
      <c r="BF14" s="169" t="s">
        <v>242</v>
      </c>
      <c r="BG14" s="169" t="s">
        <v>245</v>
      </c>
      <c r="BH14" s="169" t="s">
        <v>246</v>
      </c>
      <c r="BI14" s="212" t="s">
        <v>230</v>
      </c>
    </row>
    <row r="15" spans="1:61" ht="12.75" customHeight="1">
      <c r="A15" s="159">
        <f>Design!$D$13</f>
        <v>85</v>
      </c>
      <c r="B15" s="445">
        <v>0.25</v>
      </c>
      <c r="C15" s="446">
        <f ca="1">FORECAST(B15, OFFSET(Design!$C$15:$C$17,MATCH(B15,Design!$B$15:$B$17,1)-1,0,2), OFFSET(Design!$B$15:$B$17,MATCH(B15,Design!$B$15:$B$17,1)-1,0,2))+(N15-25)*Design!$B$18/1000</f>
        <v>0.26254835689385775</v>
      </c>
      <c r="D15" s="164">
        <f ca="1">IF(100*(Design!$C$29+C15+B15*IF(ISBLANK(Design!$B$42),Constants!$C$6,Design!$B$42)/1000*(1+Constants!$C$36/100*(O15-25)))/($C$2+C15-B15*P15/1000)&gt;Design!$C$36,Design!$C$36,100*(Design!$C$29+C15+B15*IF(ISBLANK(Design!$B$42),Constants!$C$6,Design!$B$42)/1000*(1+Constants!$C$36/100*(O15-25)))/($C$2+C15-B15*P15/1000))</f>
        <v>64.169487930952116</v>
      </c>
      <c r="E15" s="163">
        <f ca="1">IF(($C$2-B15*IF(ISBLANK(Design!$B$42),Constants!$C$6,Design!$B$42)/1000*(1+Constants!$C$36/100*(O15-25))-Design!$C$29) / (IF(ISBLANK(Design!$B$41),Design!$B$39,Design!$B$41)/1000000) * D15/100/(IF(ISBLANK(Design!$B$33),Design!$B$32,Design!$B$33)*1000000)&lt;0,0,($C$2-B15*IF(ISBLANK(Design!$B$42),Constants!$C$6,Design!$B$42)/1000*(1+Constants!$C$36/100*(O15-25))-Design!$C$29) / (IF(ISBLANK(Design!$B$41),Design!$B$39,Design!$B$41)/1000000) * D15/100/(IF(ISBLANK(Design!$B$33),Design!$B$32,Design!$B$33)*1000000))</f>
        <v>0.45122686995248262</v>
      </c>
      <c r="F15" s="163">
        <f>$C$2*Constants!$C$21/1000+IF(ISBLANK(Design!$B$33),Design!$B$32,Design!$B$33)*1000000*Constants!$D$25/1000000000*($C$2-Constants!$C$24)</f>
        <v>3.0374999999999999E-2</v>
      </c>
      <c r="G15" s="163">
        <f>$C$2*B15*($C$2/(Constants!$C$26*1000000000)*IF(ISBLANK(Design!$B$33),Design!$B$32,Design!$B$33)*1000000/2+$C$2/(Constants!$C$27*1000000000)*IF(ISBLANK(Design!$B$33),Design!$B$32,Design!$B$33)*1000000/2)</f>
        <v>6.8000000000000005E-3</v>
      </c>
      <c r="H15" s="163">
        <f t="shared" ref="H15:H18" ca="1" si="39">IF($D$78,1,D15/100*(B15^2+E15^2/12)*P15/1000)</f>
        <v>8.9005479218592955E-3</v>
      </c>
      <c r="I15" s="163">
        <f>Constants!$D$25/1000000000*Constants!$C$24*IF(ISBLANK(Design!$B$33),Design!$B$32,Design!$B$33)*1000000</f>
        <v>1.0624999999999999E-2</v>
      </c>
      <c r="J15" s="163">
        <f t="shared" ref="J15:J18" ca="1" si="40">SUM(F15:I15)</f>
        <v>5.6700547921859287E-2</v>
      </c>
      <c r="K15" s="163">
        <f t="shared" ref="K15:K18" ca="1" si="41">B15*C15*(1-D15/100)</f>
        <v>2.3518105175985151E-2</v>
      </c>
      <c r="L15" s="163">
        <f ca="1">B15^2*IF(ISBLANK(Design!$B$42),Constants!$C$6,Design!$B$42)/1000*(1+(O15-25)*(Constants!$C$36/100))</f>
        <v>3.1084408180332974E-3</v>
      </c>
      <c r="M15" s="163">
        <f>0.5*Snubber!$B$16/1000000000000*$C$2^2*Design!$B$33*1000000</f>
        <v>4.4879999999999998E-3</v>
      </c>
      <c r="N15" s="164">
        <f ca="1">$A15+K15*Design!$B$19</f>
        <v>86.340531995031156</v>
      </c>
      <c r="O15" s="164">
        <f ca="1">J15*Design!$C$12+A15</f>
        <v>86.927818629343221</v>
      </c>
      <c r="P15" s="164">
        <f ca="1">Constants!$D$22+Constants!$D$22*Constants!$C$23/100*(O15-25)</f>
        <v>174.54225490347457</v>
      </c>
      <c r="Q15" s="163">
        <f ca="1">(1-Constants!$C$20/1000000000*Design!$B$33*1000000) * ($C$2+C15-B15*P15/1000) - (C15+B15*Design!$B$42/1000)</f>
        <v>7.6494562116209384</v>
      </c>
      <c r="R15" s="163">
        <f ca="1">IF(Q15&gt;Design!$C$29,Design!$C$29,Q15)</f>
        <v>4.9990521327014221</v>
      </c>
      <c r="S15" s="163">
        <f t="shared" ref="S15:S18" ca="1" si="42">SUM(J15:M15)</f>
        <v>8.7815093915877745E-2</v>
      </c>
      <c r="T15" s="163">
        <f t="shared" ref="T15:T18" ca="1" si="43">R15*B15</f>
        <v>1.2497630331753555</v>
      </c>
      <c r="U15" s="447">
        <f t="shared" ref="U15:U18" ca="1" si="44">100*T15/(T15+S15)</f>
        <v>93.434768995001065</v>
      </c>
      <c r="V15" s="454">
        <v>0.25</v>
      </c>
      <c r="W15" s="455">
        <f ca="1">FORECAST(V15, OFFSET(Design!$C$15:$C$17,MATCH(V15,Design!$B$15:$B$17,1)-1,0,2), OFFSET(Design!$B$15:$B$17,MATCH(V15,Design!$B$15:$B$17,1)-1,0,2))+(AH15-25)*Design!$B$18/1000</f>
        <v>0.26176864987761395</v>
      </c>
      <c r="X15" s="180">
        <f ca="1">IF(100*(Design!$C$29+W15+V15*IF(ISBLANK(Design!$B$42),Constants!$C$6,Design!$B$42)/1000*(1+Constants!$C$36/100*(AI15-25)))/($W$2+W15-V15*AJ15/1000)&gt;Design!$C$36,Design!$C$36,100*(Design!$C$29+W15+V15*IF(ISBLANK(Design!$B$42),Constants!$C$6,Design!$B$42)/1000*(1+Constants!$C$36/100*(AI15-25)))/($W$2+W15-V15*AJ15/1000))</f>
        <v>43.160228463120724</v>
      </c>
      <c r="Y15" s="179">
        <f ca="1">($W$2-V15*IF(ISBLANK(Design!$B$42),Constants!$C$6,Design!$B$42)/1000*(1+Constants!$C$36/100*(AI15-25))-Design!$C$29) / (IF(ISBLANK(Design!$B$41),Design!$B$39,Design!$B$41)/1000000) * X15/100/(IF(ISBLANK(Design!$B$33),Design!$B$32,Design!$B$33)*1000000)</f>
        <v>0.70970411843119119</v>
      </c>
      <c r="Z15" s="179">
        <f>$W$2*Constants!$C$21/1000+IF(ISBLANK(Design!$B$33),Design!$B$32,Design!$B$33)*1000000*Constants!$D$25/1000000000*($W$2-Constants!$C$24)</f>
        <v>5.0874999999999997E-2</v>
      </c>
      <c r="AA15" s="179">
        <f>$W$2*V15*($W$2/(Constants!$C$26*1000000000)*IF(ISBLANK(Design!$B$33),Design!$B$32,Design!$B$33)*1000000/2+$W$2/(Constants!$C$27*1000000000)*IF(ISBLANK(Design!$B$33),Design!$B$32,Design!$B$33)*1000000/2)</f>
        <v>1.5300000000000001E-2</v>
      </c>
      <c r="AB15" s="179">
        <f t="shared" ref="AB15:AB18" ca="1" si="45">IF($D$78,1,X15/100*(V15^2+Y15^2/12)*AJ15/1000)</f>
        <v>7.9046183231164507E-3</v>
      </c>
      <c r="AC15" s="179">
        <f>Constants!$D$25/1000000000*Constants!$C$24*IF(ISBLANK(Design!$B$33),Design!$B$32,Design!$B$33)*1000000</f>
        <v>1.0624999999999999E-2</v>
      </c>
      <c r="AD15" s="179">
        <f t="shared" ref="AD15:AD18" ca="1" si="46">SUM(Z15:AC15)</f>
        <v>8.4704618323116446E-2</v>
      </c>
      <c r="AE15" s="179">
        <f t="shared" ref="AE15:AE18" ca="1" si="47">V15*W15*(1-X15/100)</f>
        <v>3.7197175636402291E-2</v>
      </c>
      <c r="AF15" s="179">
        <f ca="1">V15^2*IF(ISBLANK(Design!$B$42),Constants!$C$6,Design!$B$42)/1000*(1+(AI15-25)*(Constants!$C$36/100))</f>
        <v>3.1177955777508372E-3</v>
      </c>
      <c r="AG15" s="179">
        <f>0.5*Snubber!$B$16/1000000000000*$W$2^2*Design!$B$33*1000000</f>
        <v>1.0097999999999999E-2</v>
      </c>
      <c r="AH15" s="180">
        <f ca="1">$A15+AE15*Design!$B$19</f>
        <v>87.120239011274933</v>
      </c>
      <c r="AI15" s="180">
        <f ca="1">AD15*Design!$C$12+$A15</f>
        <v>87.879957022985963</v>
      </c>
      <c r="AJ15" s="180">
        <f ca="1">Constants!$D$22+Constants!$D$22*Constants!$C$23/100*(AI15-25)</f>
        <v>175.30396561838876</v>
      </c>
      <c r="AK15" s="179">
        <f ca="1">(1-Constants!$C$20/1000000000*Design!$B$33*1000000) * ($W$2+W15-V15*AJ15/1000) - (W15+V15*Design!$B$42/1000)</f>
        <v>11.504800830058064</v>
      </c>
      <c r="AL15" s="179">
        <f ca="1">IF(AK15&gt;Design!$C$29,Design!$C$29,AK15)</f>
        <v>4.9990521327014221</v>
      </c>
      <c r="AM15" s="179">
        <f t="shared" ref="AM15:AM18" ca="1" si="48">SUM(AD15:AG15)</f>
        <v>0.13511758953726957</v>
      </c>
      <c r="AN15" s="179">
        <f t="shared" ref="AN15:AN18" ca="1" si="49">AL15*V15</f>
        <v>1.2497630331753555</v>
      </c>
      <c r="AO15" s="456">
        <f t="shared" ref="AO15:AO18" ca="1" si="50">100*AN15/(AN15+AM15)</f>
        <v>90.243376409397001</v>
      </c>
      <c r="AP15" s="463">
        <v>0.25</v>
      </c>
      <c r="AQ15" s="464">
        <f ca="1">FORECAST(AP15, OFFSET(Design!$C$15:$C$17,MATCH(AP15,Design!$B$15:$B$17,1)-1,0,2), OFFSET(Design!$B$15:$B$17,MATCH(AP15,Design!$B$15:$B$17,1)-1,0,2))+(BB15-25)*Design!$B$18/1000</f>
        <v>0.2613753148358704</v>
      </c>
      <c r="AR15" s="193">
        <f ca="1">IF(100*(Design!$C$29+AQ15+AP15*IF(ISBLANK(Design!$B$42),Constants!$C$6,Design!$B$42)/1000*(1+Constants!$C$36/100*(BC15-25)))/($AQ$2+AQ15-AP15*BD15/1000)&gt;Design!$C$36,Design!$C$36,100*(Design!$C$29+AQ15+AP15*IF(ISBLANK(Design!$B$42),Constants!$C$6,Design!$B$42)/1000*(1+Constants!$C$36/100*(BC15-25)))/($AQ$2+AQ15-AP15*BD15/1000))</f>
        <v>32.514223186648152</v>
      </c>
      <c r="AS15" s="192">
        <f ca="1">($AQ$2-AP15*IF(ISBLANK(Design!$B$42),Constants!$C$6,Design!$B$42)/1000*(1+Constants!$C$36/100*(BC15-25))-Design!$C$29) / (IF(ISBLANK(Design!$B$41),Design!$B$39,Design!$B$41)/1000000) * AR15/100/(IF(ISBLANK(Design!$B$33),Design!$B$32,Design!$B$33)*1000000)</f>
        <v>0.84065980500528958</v>
      </c>
      <c r="AT15" s="192">
        <f>$AQ$2*Constants!$C$21/1000+IF(ISBLANK(Design!$B$33),Design!$B$32,Design!$B$33)*1000000*Constants!$D$25/1000000000*($AQ$2-Constants!$C$24)</f>
        <v>7.1374999999999994E-2</v>
      </c>
      <c r="AU15" s="192">
        <f>$AQ$2*AP15*($AQ$2/(Constants!$C$26*1000000000)*IF(ISBLANK(Design!$B$33),Design!$B$32,Design!$B$33)*1000000/2+$AQ$2/(Constants!$C$27*1000000000)*IF(ISBLANK(Design!$B$33),Design!$B$32,Design!$B$33)*1000000/2)</f>
        <v>2.7200000000000002E-2</v>
      </c>
      <c r="AV15" s="192">
        <f t="shared" ref="AV15:AV18" ca="1" si="51">IF($D$78,1,AR15/100*(AP15^2+AS15^2/12)*BD15/1000)</f>
        <v>6.9529745294848594E-3</v>
      </c>
      <c r="AW15" s="192">
        <f>Constants!$D$25/1000000000*Constants!$C$24*IF(ISBLANK(Design!$B$33),Design!$B$32,Design!$B$33)*1000000</f>
        <v>1.0624999999999999E-2</v>
      </c>
      <c r="AX15" s="192">
        <f t="shared" ref="AX15:AX18" ca="1" si="52">SUM(AT15:AW15)</f>
        <v>0.11615297452948485</v>
      </c>
      <c r="AY15" s="192">
        <f t="shared" ref="AY15:AY18" ca="1" si="53">AP15*AQ15*(1-AR15/100)</f>
        <v>4.4097790403832805E-2</v>
      </c>
      <c r="AZ15" s="192">
        <f ca="1">AP15^2*IF(ISBLANK(Design!$B$42),Constants!$C$6,Design!$B$42)/1000*(1+(BC15-25)*(Constants!$C$36/100))</f>
        <v>3.1283009011415742E-3</v>
      </c>
      <c r="BA15" s="192">
        <f>0.5*Snubber!$B$16/1000000000000*$AQ$2^2*Design!$B$33*1000000</f>
        <v>1.7951999999999999E-2</v>
      </c>
      <c r="BB15" s="193">
        <f ca="1">$A15+AY15*Design!$B$19</f>
        <v>87.513574053018473</v>
      </c>
      <c r="BC15" s="193">
        <f ca="1">AX15*Design!$C$12+$A15</f>
        <v>88.949201134002479</v>
      </c>
      <c r="BD15" s="193">
        <f ca="1">Constants!$D$22+Constants!$D$22*Constants!$C$23/100*(BC15-25)</f>
        <v>176.15936090720197</v>
      </c>
      <c r="BE15" s="192">
        <f ca="1">(1-Constants!$C$20/1000000000*Design!$B$33*1000000) * ($AQ$2+AQ15-AP15*BD15/1000) - (AQ15+AP15*Design!$B$42/1000)</f>
        <v>15.360108915752946</v>
      </c>
      <c r="BF15" s="192">
        <f ca="1">IF(BE15&gt;Design!$C$29,Design!$C$29,BE15)</f>
        <v>4.9990521327014221</v>
      </c>
      <c r="BG15" s="192">
        <f t="shared" ref="BG15:BG18" ca="1" si="54">SUM(AX15:BA15)</f>
        <v>0.18133106583445924</v>
      </c>
      <c r="BH15" s="192">
        <f t="shared" ref="BH15:BH18" ca="1" si="55">BF15*AP15</f>
        <v>1.2497630331753555</v>
      </c>
      <c r="BI15" s="465">
        <f t="shared" ref="BI15:BI18" ca="1" si="56">100*BH15/(BH15+BG15)</f>
        <v>87.329200367751938</v>
      </c>
    </row>
    <row r="16" spans="1:61" ht="12.75" customHeight="1">
      <c r="A16" s="112">
        <f>Design!$D$13</f>
        <v>85</v>
      </c>
      <c r="B16" s="448">
        <f>B15+0.25</f>
        <v>0.5</v>
      </c>
      <c r="C16" s="449">
        <f ca="1">FORECAST(B16, OFFSET(Design!$C$15:$C$17,MATCH(B16,Design!$B$15:$B$17,1)-1,0,2), OFFSET(Design!$B$15:$B$17,MATCH(B16,Design!$B$15:$B$17,1)-1,0,2))+(N16-25)*Design!$B$18/1000</f>
        <v>0.28051485298658768</v>
      </c>
      <c r="D16" s="166">
        <f ca="1">IF(100*(Design!$C$29+C16+B16*IF(ISBLANK(Design!$B$42),Constants!$C$6,Design!$B$42)/1000*(1+Constants!$C$36/100*(O16-25)))/($C$2+C16-B16*P16/1000)&gt;Design!$C$36,Design!$C$36,100*(Design!$C$29+C16+B16*IF(ISBLANK(Design!$B$42),Constants!$C$6,Design!$B$42)/1000*(1+Constants!$C$36/100*(O16-25)))/($C$2+C16-B16*P16/1000))</f>
        <v>64.74552195674184</v>
      </c>
      <c r="E16" s="165">
        <f ca="1">IF(($C$2-B16*IF(ISBLANK(Design!$B$42),Constants!$C$6,Design!$B$42)/1000*(1+Constants!$C$36/100*(O16-25))-Design!$C$29) / (IF(ISBLANK(Design!$B$41),Design!$B$39,Design!$B$41)/1000000) * D16/100/(IF(ISBLANK(Design!$B$33),Design!$B$32,Design!$B$33)*1000000)&lt;0,0,($C$2-B16*IF(ISBLANK(Design!$B$42),Constants!$C$6,Design!$B$42)/1000*(1+Constants!$C$36/100*(O16-25))-Design!$C$29) / (IF(ISBLANK(Design!$B$41),Design!$B$39,Design!$B$41)/1000000) * D16/100/(IF(ISBLANK(Design!$B$33),Design!$B$32,Design!$B$33)*1000000))</f>
        <v>0.45337174649094414</v>
      </c>
      <c r="F16" s="165">
        <f>$C$2*Constants!$C$21/1000+IF(ISBLANK(Design!$B$33),Design!$B$32,Design!$B$33)*1000000*Constants!$D$25/1000000000*($C$2-Constants!$C$24)</f>
        <v>3.0374999999999999E-2</v>
      </c>
      <c r="G16" s="165">
        <f>$C$2*B16*($C$2/(Constants!$C$26*1000000000)*IF(ISBLANK(Design!$B$33),Design!$B$32,Design!$B$33)*1000000/2+$C$2/(Constants!$C$27*1000000000)*IF(ISBLANK(Design!$B$33),Design!$B$32,Design!$B$33)*1000000/2)</f>
        <v>1.3600000000000001E-2</v>
      </c>
      <c r="H16" s="165">
        <f t="shared" ca="1" si="39"/>
        <v>3.0320529768238954E-2</v>
      </c>
      <c r="I16" s="165">
        <f>Constants!$D$25/1000000000*Constants!$C$24*IF(ISBLANK(Design!$B$33),Design!$B$32,Design!$B$33)*1000000</f>
        <v>1.0624999999999999E-2</v>
      </c>
      <c r="J16" s="165">
        <f t="shared" ca="1" si="40"/>
        <v>8.4920529768238953E-2</v>
      </c>
      <c r="K16" s="165">
        <f t="shared" ca="1" si="41"/>
        <v>4.9447023627117233E-2</v>
      </c>
      <c r="L16" s="165">
        <f ca="1">B16^2*IF(ISBLANK(Design!$B$42),Constants!$C$6,Design!$B$42)/1000*(1+(O16-25)*(Constants!$C$36/100))</f>
        <v>1.2471470811876322E-2</v>
      </c>
      <c r="M16" s="165">
        <f>0.5*Snubber!$B$16/1000000000000*$C$2^2*Design!$B$33*1000000</f>
        <v>4.4879999999999998E-3</v>
      </c>
      <c r="N16" s="166">
        <f ca="1">$A16+K16*Design!$B$19</f>
        <v>87.818480346745687</v>
      </c>
      <c r="O16" s="166">
        <f ca="1">J16*Design!$C$12+A16</f>
        <v>87.887298012120127</v>
      </c>
      <c r="P16" s="166">
        <f ca="1">Constants!$D$22+Constants!$D$22*Constants!$C$23/100*(O16-25)</f>
        <v>175.30983840969611</v>
      </c>
      <c r="Q16" s="165">
        <f ca="1">(1-Constants!$C$20/1000000000*Design!$B$33*1000000) * ($C$2+C16-B16*P16/1000) - (C16+B16*Design!$B$42/1000)</f>
        <v>7.5963780156872875</v>
      </c>
      <c r="R16" s="165">
        <f ca="1">IF(Q16&gt;Design!$C$29,Design!$C$29,Q16)</f>
        <v>4.9990521327014221</v>
      </c>
      <c r="S16" s="165">
        <f t="shared" ca="1" si="42"/>
        <v>0.15132702420723251</v>
      </c>
      <c r="T16" s="165">
        <f t="shared" ca="1" si="43"/>
        <v>2.4995260663507111</v>
      </c>
      <c r="U16" s="450">
        <f t="shared" ca="1" si="44"/>
        <v>94.291383979510471</v>
      </c>
      <c r="V16" s="457">
        <f>V15+0.25</f>
        <v>0.5</v>
      </c>
      <c r="W16" s="458">
        <f ca="1">FORECAST(V16, OFFSET(Design!$C$15:$C$17,MATCH(V16,Design!$B$15:$B$17,1)-1,0,2), OFFSET(Design!$B$15:$B$17,MATCH(V16,Design!$B$15:$B$17,1)-1,0,2))+(AH16-25)*Design!$B$18/1000</f>
        <v>0.27884321193254125</v>
      </c>
      <c r="X16" s="184">
        <f ca="1">IF(100*(Design!$C$29+W16+V16*IF(ISBLANK(Design!$B$42),Constants!$C$6,Design!$B$42)/1000*(1+Constants!$C$36/100*(AI16-25)))/($W$2+W16-V16*AJ16/1000)&gt;Design!$C$36,Design!$C$36,100*(Design!$C$29+W16+V16*IF(ISBLANK(Design!$B$42),Constants!$C$6,Design!$B$42)/1000*(1+Constants!$C$36/100*(AI16-25)))/($W$2+W16-V16*AJ16/1000))</f>
        <v>43.499388694406079</v>
      </c>
      <c r="Y16" s="183">
        <f ca="1">($W$2-V16*IF(ISBLANK(Design!$B$42),Constants!$C$6,Design!$B$42)/1000*(1+Constants!$C$36/100*(AI16-25))-Design!$C$29) / (IF(ISBLANK(Design!$B$41),Design!$B$39,Design!$B$41)/1000000) * X16/100/(IF(ISBLANK(Design!$B$33),Design!$B$32,Design!$B$33)*1000000)</f>
        <v>0.71399649521487618</v>
      </c>
      <c r="Z16" s="183">
        <f>$W$2*Constants!$C$21/1000+IF(ISBLANK(Design!$B$33),Design!$B$32,Design!$B$33)*1000000*Constants!$D$25/1000000000*($W$2-Constants!$C$24)</f>
        <v>5.0874999999999997E-2</v>
      </c>
      <c r="AA16" s="183">
        <f>$W$2*V16*($W$2/(Constants!$C$26*1000000000)*IF(ISBLANK(Design!$B$33),Design!$B$32,Design!$B$33)*1000000/2+$W$2/(Constants!$C$27*1000000000)*IF(ISBLANK(Design!$B$33),Design!$B$32,Design!$B$33)*1000000/2)</f>
        <v>3.0600000000000002E-2</v>
      </c>
      <c r="AB16" s="183">
        <f t="shared" ca="1" si="45"/>
        <v>2.2406730056645795E-2</v>
      </c>
      <c r="AC16" s="183">
        <f>Constants!$D$25/1000000000*Constants!$C$24*IF(ISBLANK(Design!$B$33),Design!$B$32,Design!$B$33)*1000000</f>
        <v>1.0624999999999999E-2</v>
      </c>
      <c r="AD16" s="183">
        <f t="shared" ca="1" si="46"/>
        <v>0.11450673005664579</v>
      </c>
      <c r="AE16" s="183">
        <f t="shared" ca="1" si="47"/>
        <v>7.87740596630193E-2</v>
      </c>
      <c r="AF16" s="183">
        <f ca="1">V16^2*IF(ISBLANK(Design!$B$42),Constants!$C$6,Design!$B$42)/1000*(1+(AI16-25)*(Constants!$C$36/100))</f>
        <v>1.2511003892701692E-2</v>
      </c>
      <c r="AG16" s="183">
        <f>0.5*Snubber!$B$16/1000000000000*$W$2^2*Design!$B$33*1000000</f>
        <v>1.0097999999999999E-2</v>
      </c>
      <c r="AH16" s="184">
        <f ca="1">$A16+AE16*Design!$B$19</f>
        <v>89.490121400792106</v>
      </c>
      <c r="AI16" s="184">
        <f ca="1">AD16*Design!$C$12+$A16</f>
        <v>88.893228821925959</v>
      </c>
      <c r="AJ16" s="184">
        <f ca="1">Constants!$D$22+Constants!$D$22*Constants!$C$23/100*(AI16-25)</f>
        <v>176.11458305754076</v>
      </c>
      <c r="AK16" s="183">
        <f ca="1">(1-Constants!$C$20/1000000000*Design!$B$33*1000000) * ($W$2+W16-V16*AJ16/1000) - (W16+V16*Design!$B$42/1000)</f>
        <v>11.451550567096644</v>
      </c>
      <c r="AL16" s="183">
        <f ca="1">IF(AK16&gt;Design!$C$29,Design!$C$29,AK16)</f>
        <v>4.9990521327014221</v>
      </c>
      <c r="AM16" s="183">
        <f t="shared" ca="1" si="48"/>
        <v>0.21588979361236676</v>
      </c>
      <c r="AN16" s="183">
        <f t="shared" ca="1" si="49"/>
        <v>2.4995260663507111</v>
      </c>
      <c r="AO16" s="459">
        <f t="shared" ca="1" si="50"/>
        <v>92.049475853937807</v>
      </c>
      <c r="AP16" s="466">
        <f>AP15+0.25</f>
        <v>0.5</v>
      </c>
      <c r="AQ16" s="467">
        <f ca="1">FORECAST(AP16, OFFSET(Design!$C$15:$C$17,MATCH(AP16,Design!$B$15:$B$17,1)-1,0,2), OFFSET(Design!$B$15:$B$17,MATCH(AP16,Design!$B$15:$B$17,1)-1,0,2))+(BB16-25)*Design!$B$18/1000</f>
        <v>0.27800509424854608</v>
      </c>
      <c r="AR16" s="196">
        <f ca="1">IF(100*(Design!$C$29+AQ16+AP16*IF(ISBLANK(Design!$B$42),Constants!$C$6,Design!$B$42)/1000*(1+Constants!$C$36/100*(BC16-25)))/($AQ$2+AQ16-AP16*BD16/1000)&gt;Design!$C$36,Design!$C$36,100*(Design!$C$29+AQ16+AP16*IF(ISBLANK(Design!$B$42),Constants!$C$6,Design!$B$42)/1000*(1+Constants!$C$36/100*(BC16-25)))/($AQ$2+AQ16-AP16*BD16/1000))</f>
        <v>32.750959882118877</v>
      </c>
      <c r="AS16" s="195">
        <f ca="1">($AQ$2-AP16*IF(ISBLANK(Design!$B$42),Constants!$C$6,Design!$B$42)/1000*(1+Constants!$C$36/100*(BC16-25))-Design!$C$29) / (IF(ISBLANK(Design!$B$41),Design!$B$39,Design!$B$41)/1000000) * AR16/100/(IF(ISBLANK(Design!$B$33),Design!$B$32,Design!$B$33)*1000000)</f>
        <v>0.84580851449114502</v>
      </c>
      <c r="AT16" s="195">
        <f>$AQ$2*Constants!$C$21/1000+IF(ISBLANK(Design!$B$33),Design!$B$32,Design!$B$33)*1000000*Constants!$D$25/1000000000*($AQ$2-Constants!$C$24)</f>
        <v>7.1374999999999994E-2</v>
      </c>
      <c r="AU16" s="195">
        <f>$AQ$2*AP16*($AQ$2/(Constants!$C$26*1000000000)*IF(ISBLANK(Design!$B$33),Design!$B$32,Design!$B$33)*1000000/2+$AQ$2/(Constants!$C$27*1000000000)*IF(ISBLANK(Design!$B$33),Design!$B$32,Design!$B$33)*1000000/2)</f>
        <v>5.4400000000000004E-2</v>
      </c>
      <c r="AV16" s="195">
        <f t="shared" ca="1" si="51"/>
        <v>1.7968352429005626E-2</v>
      </c>
      <c r="AW16" s="195">
        <f>Constants!$D$25/1000000000*Constants!$C$24*IF(ISBLANK(Design!$B$33),Design!$B$32,Design!$B$33)*1000000</f>
        <v>1.0624999999999999E-2</v>
      </c>
      <c r="AX16" s="195">
        <f t="shared" ca="1" si="52"/>
        <v>0.15436835242900562</v>
      </c>
      <c r="AY16" s="195">
        <f t="shared" ca="1" si="53"/>
        <v>9.3477878680478993E-2</v>
      </c>
      <c r="AZ16" s="195">
        <f ca="1">AP16^2*IF(ISBLANK(Design!$B$42),Constants!$C$6,Design!$B$42)/1000*(1+(BC16-25)*(Constants!$C$36/100))</f>
        <v>1.2564266992515638E-2</v>
      </c>
      <c r="BA16" s="195">
        <f>0.5*Snubber!$B$16/1000000000000*$AQ$2^2*Design!$B$33*1000000</f>
        <v>1.7951999999999999E-2</v>
      </c>
      <c r="BB16" s="196">
        <f ca="1">$A16+AY16*Design!$B$19</f>
        <v>90.328239084787299</v>
      </c>
      <c r="BC16" s="196">
        <f ca="1">AX16*Design!$C$12+$A16</f>
        <v>90.248523982586192</v>
      </c>
      <c r="BD16" s="196">
        <f ca="1">Constants!$D$22+Constants!$D$22*Constants!$C$23/100*(BC16-25)</f>
        <v>177.19881918606896</v>
      </c>
      <c r="BE16" s="195">
        <f ca="1">(1-Constants!$C$20/1000000000*Design!$B$33*1000000) * ($AQ$2+AQ16-AP16*BD16/1000) - (AQ16+AP16*Design!$B$42/1000)</f>
        <v>15.306558310048786</v>
      </c>
      <c r="BF16" s="195">
        <f ca="1">IF(BE16&gt;Design!$C$29,Design!$C$29,BE16)</f>
        <v>4.9990521327014221</v>
      </c>
      <c r="BG16" s="195">
        <f t="shared" ca="1" si="54"/>
        <v>0.27836249810200026</v>
      </c>
      <c r="BH16" s="195">
        <f t="shared" ca="1" si="55"/>
        <v>2.4995260663507111</v>
      </c>
      <c r="BI16" s="468">
        <f t="shared" ca="1" si="56"/>
        <v>89.979349723956915</v>
      </c>
    </row>
    <row r="17" spans="1:61" ht="12.75" customHeight="1">
      <c r="A17" s="112">
        <f>Design!$D$13</f>
        <v>85</v>
      </c>
      <c r="B17" s="448">
        <f t="shared" ref="B17:B24" si="57">B16+0.25</f>
        <v>0.75</v>
      </c>
      <c r="C17" s="449">
        <f ca="1">FORECAST(B17, OFFSET(Design!$C$15:$C$17,MATCH(B17,Design!$B$15:$B$17,1)-1,0,2), OFFSET(Design!$B$15:$B$17,MATCH(B17,Design!$B$15:$B$17,1)-1,0,2))+(N17-25)*Design!$B$18/1000</f>
        <v>0.2983559596862464</v>
      </c>
      <c r="D17" s="166">
        <f ca="1">IF(100*(Design!$C$29+C17+B17*IF(ISBLANK(Design!$B$42),Constants!$C$6,Design!$B$42)/1000*(1+Constants!$C$36/100*(O17-25)))/($C$2+C17-B17*P17/1000)&gt;Design!$C$36,Design!$C$36,100*(Design!$C$29+C17+B17*IF(ISBLANK(Design!$B$42),Constants!$C$6,Design!$B$42)/1000*(1+Constants!$C$36/100*(O17-25)))/($C$2+C17-B17*P17/1000))</f>
        <v>65.331900381294545</v>
      </c>
      <c r="E17" s="165">
        <f ca="1">IF(($C$2-B17*IF(ISBLANK(Design!$B$42),Constants!$C$6,Design!$B$42)/1000*(1+Constants!$C$36/100*(O17-25))-Design!$C$29) / (IF(ISBLANK(Design!$B$41),Design!$B$39,Design!$B$41)/1000000) * D17/100/(IF(ISBLANK(Design!$B$33),Design!$B$32,Design!$B$33)*1000000)&lt;0,0,($C$2-B17*IF(ISBLANK(Design!$B$42),Constants!$C$6,Design!$B$42)/1000*(1+Constants!$C$36/100*(O17-25))-Design!$C$29) / (IF(ISBLANK(Design!$B$41),Design!$B$39,Design!$B$41)/1000000) * D17/100/(IF(ISBLANK(Design!$B$33),Design!$B$32,Design!$B$33)*1000000))</f>
        <v>0.45553393976607032</v>
      </c>
      <c r="F17" s="165">
        <f>$C$2*Constants!$C$21/1000+IF(ISBLANK(Design!$B$33),Design!$B$32,Design!$B$33)*1000000*Constants!$D$25/1000000000*($C$2-Constants!$C$24)</f>
        <v>3.0374999999999999E-2</v>
      </c>
      <c r="G17" s="165">
        <f>$C$2*B17*($C$2/(Constants!$C$26*1000000000)*IF(ISBLANK(Design!$B$33),Design!$B$32,Design!$B$33)*1000000/2+$C$2/(Constants!$C$27*1000000000)*IF(ISBLANK(Design!$B$33),Design!$B$32,Design!$B$33)*1000000/2)</f>
        <v>2.0400000000000001E-2</v>
      </c>
      <c r="H17" s="165">
        <f t="shared" ca="1" si="39"/>
        <v>6.6851977085550601E-2</v>
      </c>
      <c r="I17" s="165">
        <f>Constants!$D$25/1000000000*Constants!$C$24*IF(ISBLANK(Design!$B$33),Design!$B$32,Design!$B$33)*1000000</f>
        <v>1.0624999999999999E-2</v>
      </c>
      <c r="J17" s="165">
        <f t="shared" ca="1" si="40"/>
        <v>0.12825197708555061</v>
      </c>
      <c r="K17" s="165">
        <f t="shared" ca="1" si="41"/>
        <v>7.7575755991779433E-2</v>
      </c>
      <c r="L17" s="165">
        <f ca="1">B17^2*IF(ISBLANK(Design!$B$42),Constants!$C$6,Design!$B$42)/1000*(1+(O17-25)*(Constants!$C$36/100))</f>
        <v>2.819108315650885E-2</v>
      </c>
      <c r="M17" s="165">
        <f>0.5*Snubber!$B$16/1000000000000*$C$2^2*Design!$B$33*1000000</f>
        <v>4.4879999999999998E-3</v>
      </c>
      <c r="N17" s="166">
        <f ca="1">$A17+K17*Design!$B$19</f>
        <v>89.421818091531435</v>
      </c>
      <c r="O17" s="166">
        <f ca="1">J17*Design!$C$12+A17</f>
        <v>89.36056722090872</v>
      </c>
      <c r="P17" s="166">
        <f ca="1">Constants!$D$22+Constants!$D$22*Constants!$C$23/100*(O17-25)</f>
        <v>176.48845377672697</v>
      </c>
      <c r="Q17" s="165">
        <f ca="1">(1-Constants!$C$20/1000000000*Design!$B$33*1000000) * ($C$2+C17-B17*P17/1000) - (C17+B17*Design!$B$42/1000)</f>
        <v>7.5426372846683023</v>
      </c>
      <c r="R17" s="165">
        <f ca="1">IF(Q17&gt;Design!$C$29,Design!$C$29,Q17)</f>
        <v>4.9990521327014221</v>
      </c>
      <c r="S17" s="165">
        <f t="shared" ca="1" si="42"/>
        <v>0.23850681623383888</v>
      </c>
      <c r="T17" s="165">
        <f t="shared" ca="1" si="43"/>
        <v>3.7492890995260666</v>
      </c>
      <c r="U17" s="450">
        <f t="shared" ca="1" si="44"/>
        <v>94.019081686421018</v>
      </c>
      <c r="V17" s="457">
        <f t="shared" ref="V17:V24" si="58">V16+0.25</f>
        <v>0.75</v>
      </c>
      <c r="W17" s="458">
        <f ca="1">FORECAST(V17, OFFSET(Design!$C$15:$C$17,MATCH(V17,Design!$B$15:$B$17,1)-1,0,2), OFFSET(Design!$B$15:$B$17,MATCH(V17,Design!$B$15:$B$17,1)-1,0,2))+(AH17-25)*Design!$B$18/1000</f>
        <v>0.29567926433867031</v>
      </c>
      <c r="X17" s="184">
        <f ca="1">IF(100*(Design!$C$29+W17+V17*IF(ISBLANK(Design!$B$42),Constants!$C$6,Design!$B$42)/1000*(1+Constants!$C$36/100*(AI17-25)))/($W$2+W17-V17*AJ17/1000)&gt;Design!$C$36,Design!$C$36,100*(Design!$C$29+W17+V17*IF(ISBLANK(Design!$B$42),Constants!$C$6,Design!$B$42)/1000*(1+Constants!$C$36/100*(AI17-25)))/($W$2+W17-V17*AJ17/1000))</f>
        <v>43.842156682103791</v>
      </c>
      <c r="Y17" s="183">
        <f ca="1">($W$2-V17*IF(ISBLANK(Design!$B$42),Constants!$C$6,Design!$B$42)/1000*(1+Constants!$C$36/100*(AI17-25))-Design!$C$29) / (IF(ISBLANK(Design!$B$41),Design!$B$39,Design!$B$41)/1000000) * X17/100/(IF(ISBLANK(Design!$B$33),Design!$B$32,Design!$B$33)*1000000)</f>
        <v>0.71831554584978696</v>
      </c>
      <c r="Z17" s="183">
        <f>$W$2*Constants!$C$21/1000+IF(ISBLANK(Design!$B$33),Design!$B$32,Design!$B$33)*1000000*Constants!$D$25/1000000000*($W$2-Constants!$C$24)</f>
        <v>5.0874999999999997E-2</v>
      </c>
      <c r="AA17" s="183">
        <f>$W$2*V17*($W$2/(Constants!$C$26*1000000000)*IF(ISBLANK(Design!$B$33),Design!$B$32,Design!$B$33)*1000000/2+$W$2/(Constants!$C$27*1000000000)*IF(ISBLANK(Design!$B$33),Design!$B$32,Design!$B$33)*1000000/2)</f>
        <v>4.5900000000000003E-2</v>
      </c>
      <c r="AB17" s="183">
        <f t="shared" ca="1" si="45"/>
        <v>4.7040325412805957E-2</v>
      </c>
      <c r="AC17" s="183">
        <f>Constants!$D$25/1000000000*Constants!$C$24*IF(ISBLANK(Design!$B$33),Design!$B$32,Design!$B$33)*1000000</f>
        <v>1.0624999999999999E-2</v>
      </c>
      <c r="AD17" s="183">
        <f t="shared" ca="1" si="46"/>
        <v>0.15444032541280595</v>
      </c>
      <c r="AE17" s="183">
        <f t="shared" ca="1" si="47"/>
        <v>0.124535323493114</v>
      </c>
      <c r="AF17" s="183">
        <f ca="1">V17^2*IF(ISBLANK(Design!$B$42),Constants!$C$6,Design!$B$42)/1000*(1+(AI17-25)*(Constants!$C$36/100))</f>
        <v>2.8269817116337331E-2</v>
      </c>
      <c r="AG17" s="183">
        <f>0.5*Snubber!$B$16/1000000000000*$W$2^2*Design!$B$33*1000000</f>
        <v>1.0097999999999999E-2</v>
      </c>
      <c r="AH17" s="184">
        <f ca="1">$A17+AE17*Design!$B$19</f>
        <v>92.098513439107492</v>
      </c>
      <c r="AI17" s="184">
        <f ca="1">AD17*Design!$C$12+$A17</f>
        <v>90.250971064035397</v>
      </c>
      <c r="AJ17" s="184">
        <f ca="1">Constants!$D$22+Constants!$D$22*Constants!$C$23/100*(AI17-25)</f>
        <v>177.20077685122831</v>
      </c>
      <c r="AK17" s="183">
        <f ca="1">(1-Constants!$C$20/1000000000*Design!$B$33*1000000) * ($W$2+W17-V17*AJ17/1000) - (W17+V17*Design!$B$42/1000)</f>
        <v>11.397719037485157</v>
      </c>
      <c r="AL17" s="183">
        <f ca="1">IF(AK17&gt;Design!$C$29,Design!$C$29,AK17)</f>
        <v>4.9990521327014221</v>
      </c>
      <c r="AM17" s="183">
        <f t="shared" ca="1" si="48"/>
        <v>0.31734346602225733</v>
      </c>
      <c r="AN17" s="183">
        <f t="shared" ca="1" si="49"/>
        <v>3.7492890995260666</v>
      </c>
      <c r="AO17" s="459">
        <f t="shared" ca="1" si="50"/>
        <v>92.196406709799007</v>
      </c>
      <c r="AP17" s="466">
        <f t="shared" ref="AP17:AP24" si="59">AP16+0.25</f>
        <v>0.75</v>
      </c>
      <c r="AQ17" s="467">
        <f ca="1">FORECAST(AP17, OFFSET(Design!$C$15:$C$17,MATCH(AP17,Design!$B$15:$B$17,1)-1,0,2), OFFSET(Design!$B$15:$B$17,MATCH(AP17,Design!$B$15:$B$17,1)-1,0,2))+(BB17-25)*Design!$B$18/1000</f>
        <v>0.29434566325736167</v>
      </c>
      <c r="AR17" s="196">
        <f ca="1">IF(100*(Design!$C$29+AQ17+AP17*IF(ISBLANK(Design!$B$42),Constants!$C$6,Design!$B$42)/1000*(1+Constants!$C$36/100*(BC17-25)))/($AQ$2+AQ17-AP17*BD17/1000)&gt;Design!$C$36,Design!$C$36,100*(Design!$C$29+AQ17+AP17*IF(ISBLANK(Design!$B$42),Constants!$C$6,Design!$B$42)/1000*(1+Constants!$C$36/100*(BC17-25)))/($AQ$2+AQ17-AP17*BD17/1000))</f>
        <v>32.989518942035119</v>
      </c>
      <c r="AS17" s="195">
        <f ca="1">($AQ$2-AP17*IF(ISBLANK(Design!$B$42),Constants!$C$6,Design!$B$42)/1000*(1+Constants!$C$36/100*(BC17-25))-Design!$C$29) / (IF(ISBLANK(Design!$B$41),Design!$B$39,Design!$B$41)/1000000) * AR17/100/(IF(ISBLANK(Design!$B$33),Design!$B$32,Design!$B$33)*1000000)</f>
        <v>0.850979861287393</v>
      </c>
      <c r="AT17" s="195">
        <f>$AQ$2*Constants!$C$21/1000+IF(ISBLANK(Design!$B$33),Design!$B$32,Design!$B$33)*1000000*Constants!$D$25/1000000000*($AQ$2-Constants!$C$24)</f>
        <v>7.1374999999999994E-2</v>
      </c>
      <c r="AU17" s="195">
        <f>$AQ$2*AP17*($AQ$2/(Constants!$C$26*1000000000)*IF(ISBLANK(Design!$B$33),Design!$B$32,Design!$B$33)*1000000/2+$AQ$2/(Constants!$C$27*1000000000)*IF(ISBLANK(Design!$B$33),Design!$B$32,Design!$B$33)*1000000/2)</f>
        <v>8.1600000000000006E-2</v>
      </c>
      <c r="AV17" s="195">
        <f t="shared" ca="1" si="51"/>
        <v>3.6666323249312384E-2</v>
      </c>
      <c r="AW17" s="195">
        <f>Constants!$D$25/1000000000*Constants!$C$24*IF(ISBLANK(Design!$B$33),Design!$B$32,Design!$B$33)*1000000</f>
        <v>1.0624999999999999E-2</v>
      </c>
      <c r="AX17" s="195">
        <f t="shared" ca="1" si="52"/>
        <v>0.20026632324931237</v>
      </c>
      <c r="AY17" s="195">
        <f t="shared" ca="1" si="53"/>
        <v>0.14793183369151156</v>
      </c>
      <c r="AZ17" s="195">
        <f ca="1">AP17^2*IF(ISBLANK(Design!$B$42),Constants!$C$6,Design!$B$42)/1000*(1+(BC17-25)*(Constants!$C$36/100))</f>
        <v>2.8407590687532895E-2</v>
      </c>
      <c r="BA17" s="195">
        <f>0.5*Snubber!$B$16/1000000000000*$AQ$2^2*Design!$B$33*1000000</f>
        <v>1.7951999999999999E-2</v>
      </c>
      <c r="BB17" s="196">
        <f ca="1">$A17+AY17*Design!$B$19</f>
        <v>93.432114520416164</v>
      </c>
      <c r="BC17" s="196">
        <f ca="1">AX17*Design!$C$12+$A17</f>
        <v>91.809054990476625</v>
      </c>
      <c r="BD17" s="196">
        <f ca="1">Constants!$D$22+Constants!$D$22*Constants!$C$23/100*(BC17-25)</f>
        <v>178.44724399238129</v>
      </c>
      <c r="BE17" s="195">
        <f ca="1">(1-Constants!$C$20/1000000000*Design!$B$33*1000000) * ($AQ$2+AQ17-AP17*BD17/1000) - (AQ17+AP17*Design!$B$42/1000)</f>
        <v>15.252366134937461</v>
      </c>
      <c r="BF17" s="195">
        <f ca="1">IF(BE17&gt;Design!$C$29,Design!$C$29,BE17)</f>
        <v>4.9990521327014221</v>
      </c>
      <c r="BG17" s="195">
        <f t="shared" ca="1" si="54"/>
        <v>0.39455774762835683</v>
      </c>
      <c r="BH17" s="195">
        <f t="shared" ca="1" si="55"/>
        <v>3.7492890995260666</v>
      </c>
      <c r="BI17" s="468">
        <f t="shared" ca="1" si="56"/>
        <v>90.478466937085315</v>
      </c>
    </row>
    <row r="18" spans="1:61" ht="12.75" customHeight="1">
      <c r="A18" s="112">
        <f>Design!$D$13</f>
        <v>85</v>
      </c>
      <c r="B18" s="448">
        <f t="shared" si="57"/>
        <v>1</v>
      </c>
      <c r="C18" s="449">
        <f ca="1">FORECAST(B18, OFFSET(Design!$C$15:$C$17,MATCH(B18,Design!$B$15:$B$17,1)-1,0,2), OFFSET(Design!$B$15:$B$17,MATCH(B18,Design!$B$15:$B$17,1)-1,0,2))+(N18-25)*Design!$B$18/1000</f>
        <v>0.3160843424909654</v>
      </c>
      <c r="D18" s="166">
        <f ca="1">IF(100*(Design!$C$29+C18+B18*IF(ISBLANK(Design!$B$42),Constants!$C$6,Design!$B$42)/1000*(1+Constants!$C$36/100*(O18-25)))/($C$2+C18-B18*P18/1000)&gt;Design!$C$36,Design!$C$36,100*(Design!$C$29+C18+B18*IF(ISBLANK(Design!$B$42),Constants!$C$6,Design!$B$42)/1000*(1+Constants!$C$36/100*(O18-25)))/($C$2+C18-B18*P18/1000))</f>
        <v>65.932478749261804</v>
      </c>
      <c r="E18" s="165">
        <f ca="1">IF(($C$2-B18*IF(ISBLANK(Design!$B$42),Constants!$C$6,Design!$B$42)/1000*(1+Constants!$C$36/100*(O18-25))-Design!$C$29) / (IF(ISBLANK(Design!$B$41),Design!$B$39,Design!$B$41)/1000000) * D18/100/(IF(ISBLANK(Design!$B$33),Design!$B$32,Design!$B$33)*1000000)&lt;0,0,($C$2-B18*IF(ISBLANK(Design!$B$42),Constants!$C$6,Design!$B$42)/1000*(1+Constants!$C$36/100*(O18-25))-Design!$C$29) / (IF(ISBLANK(Design!$B$41),Design!$B$39,Design!$B$41)/1000000) * D18/100/(IF(ISBLANK(Design!$B$33),Design!$B$32,Design!$B$33)*1000000))</f>
        <v>0.45772851719440388</v>
      </c>
      <c r="F18" s="165">
        <f>$C$2*Constants!$C$21/1000+IF(ISBLANK(Design!$B$33),Design!$B$32,Design!$B$33)*1000000*Constants!$D$25/1000000000*($C$2-Constants!$C$24)</f>
        <v>3.0374999999999999E-2</v>
      </c>
      <c r="G18" s="165">
        <f>$C$2*B18*($C$2/(Constants!$C$26*1000000000)*IF(ISBLANK(Design!$B$33),Design!$B$32,Design!$B$33)*1000000/2+$C$2/(Constants!$C$27*1000000000)*IF(ISBLANK(Design!$B$33),Design!$B$32,Design!$B$33)*1000000/2)</f>
        <v>2.7200000000000002E-2</v>
      </c>
      <c r="H18" s="165">
        <f t="shared" ca="1" si="39"/>
        <v>0.11947922333958927</v>
      </c>
      <c r="I18" s="165">
        <f>Constants!$D$25/1000000000*Constants!$C$24*IF(ISBLANK(Design!$B$33),Design!$B$32,Design!$B$33)*1000000</f>
        <v>1.0624999999999999E-2</v>
      </c>
      <c r="J18" s="165">
        <f t="shared" ca="1" si="40"/>
        <v>0.18767922333958925</v>
      </c>
      <c r="K18" s="165">
        <f t="shared" ca="1" si="41"/>
        <v>0.10768210054836574</v>
      </c>
      <c r="L18" s="165">
        <f ca="1">B18^2*IF(ISBLANK(Design!$B$42),Constants!$C$6,Design!$B$42)/1000*(1+(O18-25)*(Constants!$C$36/100))</f>
        <v>5.0435107912905439E-2</v>
      </c>
      <c r="M18" s="165">
        <f>0.5*Snubber!$B$16/1000000000000*$C$2^2*Design!$B$33*1000000</f>
        <v>4.4879999999999998E-3</v>
      </c>
      <c r="N18" s="166">
        <f ca="1">$A18+K18*Design!$B$19</f>
        <v>91.137879731256845</v>
      </c>
      <c r="O18" s="166">
        <f ca="1">J18*Design!$C$12+A18</f>
        <v>91.381093593546041</v>
      </c>
      <c r="P18" s="166">
        <f ca="1">Constants!$D$22+Constants!$D$22*Constants!$C$23/100*(O18-25)</f>
        <v>178.10487487483684</v>
      </c>
      <c r="Q18" s="165">
        <f ca="1">(1-Constants!$C$20/1000000000*Design!$B$33*1000000) * ($C$2+C18-B18*P18/1000) - (C18+B18*Design!$B$42/1000)</f>
        <v>7.4879106168575307</v>
      </c>
      <c r="R18" s="165">
        <f ca="1">IF(Q18&gt;Design!$C$29,Design!$C$29,Q18)</f>
        <v>4.9990521327014221</v>
      </c>
      <c r="S18" s="165">
        <f t="shared" ca="1" si="42"/>
        <v>0.35028443180086044</v>
      </c>
      <c r="T18" s="165">
        <f t="shared" ca="1" si="43"/>
        <v>4.9990521327014221</v>
      </c>
      <c r="U18" s="450">
        <f t="shared" ca="1" si="44"/>
        <v>93.451815424639449</v>
      </c>
      <c r="V18" s="457">
        <f t="shared" si="58"/>
        <v>1</v>
      </c>
      <c r="W18" s="458">
        <f ca="1">FORECAST(V18, OFFSET(Design!$C$15:$C$17,MATCH(V18,Design!$B$15:$B$17,1)-1,0,2), OFFSET(Design!$B$15:$B$17,MATCH(V18,Design!$B$15:$B$17,1)-1,0,2))+(AH18-25)*Design!$B$18/1000</f>
        <v>0.31228778916582778</v>
      </c>
      <c r="X18" s="184">
        <f ca="1">IF(100*(Design!$C$29+W18+V18*IF(ISBLANK(Design!$B$42),Constants!$C$6,Design!$B$42)/1000*(1+Constants!$C$36/100*(AI18-25)))/($W$2+W18-V18*AJ18/1000)&gt;Design!$C$36,Design!$C$36,100*(Design!$C$29+W18+V18*IF(ISBLANK(Design!$B$42),Constants!$C$6,Design!$B$42)/1000*(1+Constants!$C$36/100*(AI18-25)))/($W$2+W18-V18*AJ18/1000))</f>
        <v>44.189844982237773</v>
      </c>
      <c r="Y18" s="183">
        <f ca="1">($W$2-V18*IF(ISBLANK(Design!$B$42),Constants!$C$6,Design!$B$42)/1000*(1+Constants!$C$36/100*(AI18-25))-Design!$C$29) / (IF(ISBLANK(Design!$B$41),Design!$B$39,Design!$B$41)/1000000) * X18/100/(IF(ISBLANK(Design!$B$33),Design!$B$32,Design!$B$33)*1000000)</f>
        <v>0.72267759823230271</v>
      </c>
      <c r="Z18" s="183">
        <f>$W$2*Constants!$C$21/1000+IF(ISBLANK(Design!$B$33),Design!$B$32,Design!$B$33)*1000000*Constants!$D$25/1000000000*($W$2-Constants!$C$24)</f>
        <v>5.0874999999999997E-2</v>
      </c>
      <c r="AA18" s="183">
        <f>$W$2*V18*($W$2/(Constants!$C$26*1000000000)*IF(ISBLANK(Design!$B$33),Design!$B$32,Design!$B$33)*1000000/2+$W$2/(Constants!$C$27*1000000000)*IF(ISBLANK(Design!$B$33),Design!$B$32,Design!$B$33)*1000000/2)</f>
        <v>6.1200000000000004E-2</v>
      </c>
      <c r="AB18" s="183">
        <f t="shared" ca="1" si="45"/>
        <v>8.2347473845522073E-2</v>
      </c>
      <c r="AC18" s="183">
        <f>Constants!$D$25/1000000000*Constants!$C$24*IF(ISBLANK(Design!$B$33),Design!$B$32,Design!$B$33)*1000000</f>
        <v>1.0624999999999999E-2</v>
      </c>
      <c r="AD18" s="183">
        <f t="shared" ca="1" si="46"/>
        <v>0.20504747384552208</v>
      </c>
      <c r="AE18" s="183">
        <f t="shared" ca="1" si="47"/>
        <v>0.17428829923499098</v>
      </c>
      <c r="AF18" s="183">
        <f ca="1">V18^2*IF(ISBLANK(Design!$B$42),Constants!$C$6,Design!$B$42)/1000*(1+(AI18-25)*(Constants!$C$36/100))</f>
        <v>5.0527937738209551E-2</v>
      </c>
      <c r="AG18" s="183">
        <f>0.5*Snubber!$B$16/1000000000000*$W$2^2*Design!$B$33*1000000</f>
        <v>1.0097999999999999E-2</v>
      </c>
      <c r="AH18" s="184">
        <f ca="1">$A18+AE18*Design!$B$19</f>
        <v>94.934433056394482</v>
      </c>
      <c r="AI18" s="184">
        <f ca="1">AD18*Design!$C$12+$A18</f>
        <v>91.971614110747751</v>
      </c>
      <c r="AJ18" s="184">
        <f ca="1">Constants!$D$22+Constants!$D$22*Constants!$C$23/100*(AI18-25)</f>
        <v>178.57729128859819</v>
      </c>
      <c r="AK18" s="183">
        <f ca="1">(1-Constants!$C$20/1000000000*Design!$B$33*1000000) * ($W$2+W18-V18*AJ18/1000) - (W18+V18*Design!$B$42/1000)</f>
        <v>11.343092416975587</v>
      </c>
      <c r="AL18" s="183">
        <f ca="1">IF(AK18&gt;Design!$C$29,Design!$C$29,AK18)</f>
        <v>4.9990521327014221</v>
      </c>
      <c r="AM18" s="183">
        <f t="shared" ca="1" si="48"/>
        <v>0.4399617108187226</v>
      </c>
      <c r="AN18" s="183">
        <f t="shared" ca="1" si="49"/>
        <v>4.9990521327014221</v>
      </c>
      <c r="AO18" s="459">
        <f t="shared" ca="1" si="50"/>
        <v>91.9110021875955</v>
      </c>
      <c r="AP18" s="466">
        <f t="shared" si="59"/>
        <v>1</v>
      </c>
      <c r="AQ18" s="467">
        <f ca="1">FORECAST(AP18, OFFSET(Design!$C$15:$C$17,MATCH(AP18,Design!$B$15:$B$17,1)-1,0,2), OFFSET(Design!$B$15:$B$17,MATCH(AP18,Design!$B$15:$B$17,1)-1,0,2))+(BB18-25)*Design!$B$18/1000</f>
        <v>0.31040851286612703</v>
      </c>
      <c r="AR18" s="196">
        <f ca="1">IF(100*(Design!$C$29+AQ18+AP18*IF(ISBLANK(Design!$B$42),Constants!$C$6,Design!$B$42)/1000*(1+Constants!$C$36/100*(BC18-25)))/($AQ$2+AQ18-AP18*BD18/1000)&gt;Design!$C$36,Design!$C$36,100*(Design!$C$29+AQ18+AP18*IF(ISBLANK(Design!$B$42),Constants!$C$6,Design!$B$42)/1000*(1+Constants!$C$36/100*(BC18-25)))/($AQ$2+AQ18-AP18*BD18/1000))</f>
        <v>33.230549328313629</v>
      </c>
      <c r="AS18" s="195">
        <f ca="1">($AQ$2-AP18*IF(ISBLANK(Design!$B$42),Constants!$C$6,Design!$B$42)/1000*(1+Constants!$C$36/100*(BC18-25))-Design!$C$29) / (IF(ISBLANK(Design!$B$41),Design!$B$39,Design!$B$41)/1000000) * AR18/100/(IF(ISBLANK(Design!$B$33),Design!$B$32,Design!$B$33)*1000000)</f>
        <v>0.85618760629948587</v>
      </c>
      <c r="AT18" s="195">
        <f>$AQ$2*Constants!$C$21/1000+IF(ISBLANK(Design!$B$33),Design!$B$32,Design!$B$33)*1000000*Constants!$D$25/1000000000*($AQ$2-Constants!$C$24)</f>
        <v>7.1374999999999994E-2</v>
      </c>
      <c r="AU18" s="195">
        <f>$AQ$2*AP18*($AQ$2/(Constants!$C$26*1000000000)*IF(ISBLANK(Design!$B$33),Design!$B$32,Design!$B$33)*1000000/2+$AQ$2/(Constants!$C$27*1000000000)*IF(ISBLANK(Design!$B$33),Design!$B$32,Design!$B$33)*1000000/2)</f>
        <v>0.10880000000000001</v>
      </c>
      <c r="AV18" s="195">
        <f t="shared" ca="1" si="51"/>
        <v>6.3439108538628691E-2</v>
      </c>
      <c r="AW18" s="195">
        <f>Constants!$D$25/1000000000*Constants!$C$24*IF(ISBLANK(Design!$B$33),Design!$B$32,Design!$B$33)*1000000</f>
        <v>1.0624999999999999E-2</v>
      </c>
      <c r="AX18" s="195">
        <f t="shared" ca="1" si="52"/>
        <v>0.25423910853862869</v>
      </c>
      <c r="AY18" s="195">
        <f t="shared" ca="1" si="53"/>
        <v>0.20725805887886392</v>
      </c>
      <c r="AZ18" s="195">
        <f ca="1">AP18^2*IF(ISBLANK(Design!$B$42),Constants!$C$6,Design!$B$42)/1000*(1+(BC18-25)*(Constants!$C$36/100))</f>
        <v>5.0790857187317268E-2</v>
      </c>
      <c r="BA18" s="195">
        <f>0.5*Snubber!$B$16/1000000000000*$AQ$2^2*Design!$B$33*1000000</f>
        <v>1.7951999999999999E-2</v>
      </c>
      <c r="BB18" s="196">
        <f ca="1">$A18+AY18*Design!$B$19</f>
        <v>96.813709356095245</v>
      </c>
      <c r="BC18" s="196">
        <f ca="1">AX18*Design!$C$12+$A18</f>
        <v>93.644129690313378</v>
      </c>
      <c r="BD18" s="196">
        <f ca="1">Constants!$D$22+Constants!$D$22*Constants!$C$23/100*(BC18-25)</f>
        <v>179.91530375225071</v>
      </c>
      <c r="BE18" s="195">
        <f ca="1">(1-Constants!$C$20/1000000000*Design!$B$33*1000000) * ($AQ$2+AQ18-AP18*BD18/1000) - (AQ18+AP18*Design!$B$42/1000)</f>
        <v>15.197370629068512</v>
      </c>
      <c r="BF18" s="195">
        <f ca="1">IF(BE18&gt;Design!$C$29,Design!$C$29,BE18)</f>
        <v>4.9990521327014221</v>
      </c>
      <c r="BG18" s="195">
        <f t="shared" ca="1" si="54"/>
        <v>0.53024002460480979</v>
      </c>
      <c r="BH18" s="195">
        <f t="shared" ca="1" si="55"/>
        <v>4.9990521327014221</v>
      </c>
      <c r="BI18" s="468">
        <f t="shared" ca="1" si="56"/>
        <v>90.410345311484988</v>
      </c>
    </row>
    <row r="19" spans="1:61" ht="12.75" customHeight="1">
      <c r="A19" s="112">
        <f>Design!$D$13</f>
        <v>85</v>
      </c>
      <c r="B19" s="448">
        <f t="shared" si="57"/>
        <v>1.25</v>
      </c>
      <c r="C19" s="449">
        <f ca="1">FORECAST(B19, OFFSET(Design!$C$15:$C$17,MATCH(B19,Design!$B$15:$B$17,1)-1,0,2), OFFSET(Design!$B$15:$B$17,MATCH(B19,Design!$B$15:$B$17,1)-1,0,2))+(N19-25)*Design!$B$18/1000</f>
        <v>0.33371362537760113</v>
      </c>
      <c r="D19" s="166">
        <f ca="1">IF(100*(Design!$C$29+C19+B19*IF(ISBLANK(Design!$B$42),Constants!$C$6,Design!$B$42)/1000*(1+Constants!$C$36/100*(O19-25)))/($C$2+C19-B19*P19/1000)&gt;Design!$C$36,Design!$C$36,100*(Design!$C$29+C19+B19*IF(ISBLANK(Design!$B$42),Constants!$C$6,Design!$B$42)/1000*(1+Constants!$C$36/100*(O19-25)))/($C$2+C19-B19*P19/1000))</f>
        <v>66.551670762338674</v>
      </c>
      <c r="E19" s="165">
        <f ca="1">IF(($C$2-B19*IF(ISBLANK(Design!$B$42),Constants!$C$6,Design!$B$42)/1000*(1+Constants!$C$36/100*(O19-25))-Design!$C$29) / (IF(ISBLANK(Design!$B$41),Design!$B$39,Design!$B$41)/1000000) * D19/100/(IF(ISBLANK(Design!$B$33),Design!$B$32,Design!$B$33)*1000000)&lt;0,0,($C$2-B19*IF(ISBLANK(Design!$B$42),Constants!$C$6,Design!$B$42)/1000*(1+Constants!$C$36/100*(O19-25))-Design!$C$29) / (IF(ISBLANK(Design!$B$41),Design!$B$39,Design!$B$41)/1000000) * D19/100/(IF(ISBLANK(Design!$B$33),Design!$B$32,Design!$B$33)*1000000))</f>
        <v>0.45997238769964971</v>
      </c>
      <c r="F19" s="165">
        <f>$C$2*Constants!$C$21/1000+IF(ISBLANK(Design!$B$33),Design!$B$32,Design!$B$33)*1000000*Constants!$D$25/1000000000*($C$2-Constants!$C$24)</f>
        <v>3.0374999999999999E-2</v>
      </c>
      <c r="G19" s="165">
        <f>$C$2*B19*($C$2/(Constants!$C$26*1000000000)*IF(ISBLANK(Design!$B$33),Design!$B$32,Design!$B$33)*1000000/2+$C$2/(Constants!$C$27*1000000000)*IF(ISBLANK(Design!$B$33),Design!$B$32,Design!$B$33)*1000000/2)</f>
        <v>3.4000000000000002E-2</v>
      </c>
      <c r="H19" s="165">
        <f t="shared" ref="H19:H24" ca="1" si="60">IF($D$78,1,D19/100*(B19^2+E19^2/12)*P19/1000)</f>
        <v>0.18949289911478062</v>
      </c>
      <c r="I19" s="165">
        <f>Constants!$D$25/1000000000*Constants!$C$24*IF(ISBLANK(Design!$B$33),Design!$B$32,Design!$B$33)*1000000</f>
        <v>1.0624999999999999E-2</v>
      </c>
      <c r="J19" s="165">
        <f t="shared" ref="J19:J24" ca="1" si="61">SUM(F19:I19)</f>
        <v>0.26449289911478063</v>
      </c>
      <c r="K19" s="165">
        <f t="shared" ref="K19:K24" ca="1" si="62">B19*C19*(1-D19/100)</f>
        <v>0.13952704015904469</v>
      </c>
      <c r="L19" s="165">
        <f ca="1">B19^2*IF(ISBLANK(Design!$B$42),Constants!$C$6,Design!$B$42)/1000*(1+(O19-25)*(Constants!$C$36/100))</f>
        <v>7.944634632373232E-2</v>
      </c>
      <c r="M19" s="165">
        <f>0.5*Snubber!$B$16/1000000000000*$C$2^2*Design!$B$33*1000000</f>
        <v>4.4879999999999998E-3</v>
      </c>
      <c r="N19" s="166">
        <f ca="1">$A19+K19*Design!$B$19</f>
        <v>92.953041289065553</v>
      </c>
      <c r="O19" s="166">
        <f ca="1">J19*Design!$C$12+A19</f>
        <v>93.992758569902549</v>
      </c>
      <c r="P19" s="166">
        <f ca="1">Constants!$D$22+Constants!$D$22*Constants!$C$23/100*(O19-25)</f>
        <v>180.19420685592203</v>
      </c>
      <c r="Q19" s="165">
        <f ca="1">(1-Constants!$C$20/1000000000*Design!$B$33*1000000) * ($C$2+C19-B19*P19/1000) - (C19+B19*Design!$B$42/1000)</f>
        <v>7.4318387313666703</v>
      </c>
      <c r="R19" s="165">
        <f ca="1">IF(Q19&gt;Design!$C$29,Design!$C$29,Q19)</f>
        <v>4.9990521327014221</v>
      </c>
      <c r="S19" s="165">
        <f t="shared" ref="S19:S24" ca="1" si="63">SUM(J19:M19)</f>
        <v>0.4879542855975576</v>
      </c>
      <c r="T19" s="165">
        <f t="shared" ref="T19:T24" ca="1" si="64">R19*B19</f>
        <v>6.2488151658767777</v>
      </c>
      <c r="U19" s="450">
        <f t="shared" ref="U19:U24" ca="1" si="65">100*T19/(T19+S19)</f>
        <v>92.756850459076205</v>
      </c>
      <c r="V19" s="457">
        <f t="shared" si="58"/>
        <v>1.25</v>
      </c>
      <c r="W19" s="458">
        <f ca="1">FORECAST(V19, OFFSET(Design!$C$15:$C$17,MATCH(V19,Design!$B$15:$B$17,1)-1,0,2), OFFSET(Design!$B$15:$B$17,MATCH(V19,Design!$B$15:$B$17,1)-1,0,2))+(AH19-25)*Design!$B$18/1000</f>
        <v>0.32867972020203023</v>
      </c>
      <c r="X19" s="184">
        <f ca="1">IF(100*(Design!$C$29+W19+V19*IF(ISBLANK(Design!$B$42),Constants!$C$6,Design!$B$42)/1000*(1+Constants!$C$36/100*(AI19-25)))/($W$2+W19-V19*AJ19/1000)&gt;Design!$C$36,Design!$C$36,100*(Design!$C$29+W19+V19*IF(ISBLANK(Design!$B$42),Constants!$C$6,Design!$B$42)/1000*(1+Constants!$C$36/100*(AI19-25)))/($W$2+W19-V19*AJ19/1000))</f>
        <v>44.543906534615353</v>
      </c>
      <c r="Y19" s="183">
        <f ca="1">($W$2-V19*IF(ISBLANK(Design!$B$42),Constants!$C$6,Design!$B$42)/1000*(1+Constants!$C$36/100*(AI19-25))-Design!$C$29) / (IF(ISBLANK(Design!$B$41),Design!$B$39,Design!$B$41)/1000000) * X19/100/(IF(ISBLANK(Design!$B$33),Design!$B$32,Design!$B$33)*1000000)</f>
        <v>0.72710056676558255</v>
      </c>
      <c r="Z19" s="183">
        <f>$W$2*Constants!$C$21/1000+IF(ISBLANK(Design!$B$33),Design!$B$32,Design!$B$33)*1000000*Constants!$D$25/1000000000*($W$2-Constants!$C$24)</f>
        <v>5.0874999999999997E-2</v>
      </c>
      <c r="AA19" s="183">
        <f>$W$2*V19*($W$2/(Constants!$C$26*1000000000)*IF(ISBLANK(Design!$B$33),Design!$B$32,Design!$B$33)*1000000/2+$W$2/(Constants!$C$27*1000000000)*IF(ISBLANK(Design!$B$33),Design!$B$32,Design!$B$33)*1000000/2)</f>
        <v>7.6500000000000012E-2</v>
      </c>
      <c r="AB19" s="183">
        <f t="shared" ref="AB19:AB24" ca="1" si="66">IF($D$78,1,X19/100*(V19^2+Y19^2/12)*AJ19/1000)</f>
        <v>0.12899990374283624</v>
      </c>
      <c r="AC19" s="183">
        <f>Constants!$D$25/1000000000*Constants!$C$24*IF(ISBLANK(Design!$B$33),Design!$B$32,Design!$B$33)*1000000</f>
        <v>1.0624999999999999E-2</v>
      </c>
      <c r="AD19" s="183">
        <f t="shared" ref="AD19:AD24" ca="1" si="67">SUM(Z19:AC19)</f>
        <v>0.26699990374283622</v>
      </c>
      <c r="AE19" s="183">
        <f t="shared" ref="AE19:AE24" ca="1" si="68">V19*W19*(1-X19/100)</f>
        <v>0.22784116604625329</v>
      </c>
      <c r="AF19" s="183">
        <f ca="1">V19^2*IF(ISBLANK(Design!$B$42),Constants!$C$6,Design!$B$42)/1000*(1+(AI19-25)*(Constants!$C$36/100))</f>
        <v>7.9467282946132367E-2</v>
      </c>
      <c r="AG19" s="183">
        <f>0.5*Snubber!$B$16/1000000000000*$W$2^2*Design!$B$33*1000000</f>
        <v>1.0097999999999999E-2</v>
      </c>
      <c r="AH19" s="184">
        <f ca="1">$A19+AE19*Design!$B$19</f>
        <v>97.986946464636432</v>
      </c>
      <c r="AI19" s="184">
        <f ca="1">AD19*Design!$C$12+$A19</f>
        <v>94.077996727256433</v>
      </c>
      <c r="AJ19" s="184">
        <f ca="1">Constants!$D$22+Constants!$D$22*Constants!$C$23/100*(AI19-25)</f>
        <v>180.26239738180516</v>
      </c>
      <c r="AK19" s="183">
        <f ca="1">(1-Constants!$C$20/1000000000*Design!$B$33*1000000) * ($W$2+W19-V19*AJ19/1000) - (W19+V19*Design!$B$42/1000)</f>
        <v>11.287438422262218</v>
      </c>
      <c r="AL19" s="183">
        <f ca="1">IF(AK19&gt;Design!$C$29,Design!$C$29,AK19)</f>
        <v>4.9990521327014221</v>
      </c>
      <c r="AM19" s="183">
        <f t="shared" ref="AM19:AM24" ca="1" si="69">SUM(AD19:AG19)</f>
        <v>0.5844063527352219</v>
      </c>
      <c r="AN19" s="183">
        <f t="shared" ref="AN19:AN24" ca="1" si="70">AL19*V19</f>
        <v>6.2488151658767777</v>
      </c>
      <c r="AO19" s="459">
        <f t="shared" ref="AO19:AO24" ca="1" si="71">100*AN19/(AN19+AM19)</f>
        <v>91.447571966700565</v>
      </c>
      <c r="AP19" s="466">
        <f t="shared" si="59"/>
        <v>1.25</v>
      </c>
      <c r="AQ19" s="467">
        <f ca="1">FORECAST(AP19, OFFSET(Design!$C$15:$C$17,MATCH(AP19,Design!$B$15:$B$17,1)-1,0,2), OFFSET(Design!$B$15:$B$17,MATCH(AP19,Design!$B$15:$B$17,1)-1,0,2))+(BB19-25)*Design!$B$18/1000</f>
        <v>0.32620480814426217</v>
      </c>
      <c r="AR19" s="196">
        <f ca="1">IF(100*(Design!$C$29+AQ19+AP19*IF(ISBLANK(Design!$B$42),Constants!$C$6,Design!$B$42)/1000*(1+Constants!$C$36/100*(BC19-25)))/($AQ$2+AQ19-AP19*BD19/1000)&gt;Design!$C$36,Design!$C$36,100*(Design!$C$29+AQ19+AP19*IF(ISBLANK(Design!$B$42),Constants!$C$6,Design!$B$42)/1000*(1+Constants!$C$36/100*(BC19-25)))/($AQ$2+AQ19-AP19*BD19/1000))</f>
        <v>33.474757193230623</v>
      </c>
      <c r="AS19" s="195">
        <f ca="1">($AQ$2-AP19*IF(ISBLANK(Design!$B$42),Constants!$C$6,Design!$B$42)/1000*(1+Constants!$C$36/100*(BC19-25))-Design!$C$29) / (IF(ISBLANK(Design!$B$41),Design!$B$39,Design!$B$41)/1000000) * AR19/100/(IF(ISBLANK(Design!$B$33),Design!$B$32,Design!$B$33)*1000000)</f>
        <v>0.86144661988102711</v>
      </c>
      <c r="AT19" s="195">
        <f>$AQ$2*Constants!$C$21/1000+IF(ISBLANK(Design!$B$33),Design!$B$32,Design!$B$33)*1000000*Constants!$D$25/1000000000*($AQ$2-Constants!$C$24)</f>
        <v>7.1374999999999994E-2</v>
      </c>
      <c r="AU19" s="195">
        <f>$AQ$2*AP19*($AQ$2/(Constants!$C$26*1000000000)*IF(ISBLANK(Design!$B$33),Design!$B$32,Design!$B$33)*1000000/2+$AQ$2/(Constants!$C$27*1000000000)*IF(ISBLANK(Design!$B$33),Design!$B$32,Design!$B$33)*1000000/2)</f>
        <v>0.13600000000000001</v>
      </c>
      <c r="AV19" s="195">
        <f t="shared" ref="AV19:AV24" ca="1" si="72">IF($D$78,1,AR19/100*(AP19^2+AS19^2/12)*BD19/1000)</f>
        <v>9.8752457802971039E-2</v>
      </c>
      <c r="AW19" s="195">
        <f>Constants!$D$25/1000000000*Constants!$C$24*IF(ISBLANK(Design!$B$33),Design!$B$32,Design!$B$33)*1000000</f>
        <v>1.0624999999999999E-2</v>
      </c>
      <c r="AX19" s="195">
        <f t="shared" ref="AX19:AX24" ca="1" si="73">SUM(AT19:AW19)</f>
        <v>0.31675245780297101</v>
      </c>
      <c r="AY19" s="195">
        <f t="shared" ref="AY19:AY24" ca="1" si="74">AP19*AQ19*(1-AR19/100)</f>
        <v>0.27126067583165825</v>
      </c>
      <c r="AZ19" s="195">
        <f ca="1">AP19^2*IF(ISBLANK(Design!$B$42),Constants!$C$6,Design!$B$42)/1000*(1+(BC19-25)*(Constants!$C$36/100))</f>
        <v>7.9882778963227069E-2</v>
      </c>
      <c r="BA19" s="195">
        <f>0.5*Snubber!$B$16/1000000000000*$AQ$2^2*Design!$B$33*1000000</f>
        <v>1.7951999999999999E-2</v>
      </c>
      <c r="BB19" s="196">
        <f ca="1">$A19+AY19*Design!$B$19</f>
        <v>100.46185852240453</v>
      </c>
      <c r="BC19" s="196">
        <f ca="1">AX19*Design!$C$12+$A19</f>
        <v>95.769583565301019</v>
      </c>
      <c r="BD19" s="196">
        <f ca="1">Constants!$D$22+Constants!$D$22*Constants!$C$23/100*(BC19-25)</f>
        <v>181.61566685224082</v>
      </c>
      <c r="BE19" s="195">
        <f ca="1">(1-Constants!$C$20/1000000000*Design!$B$33*1000000) * ($AQ$2+AQ19-AP19*BD19/1000) - (AQ19+AP19*Design!$B$42/1000)</f>
        <v>15.141397350196783</v>
      </c>
      <c r="BF19" s="195">
        <f ca="1">IF(BE19&gt;Design!$C$29,Design!$C$29,BE19)</f>
        <v>4.9990521327014221</v>
      </c>
      <c r="BG19" s="195">
        <f t="shared" ref="BG19:BG24" ca="1" si="75">SUM(AX19:BA19)</f>
        <v>0.68584791259785627</v>
      </c>
      <c r="BH19" s="195">
        <f t="shared" ref="BH19:BH24" ca="1" si="76">BF19*AP19</f>
        <v>6.2488151658767777</v>
      </c>
      <c r="BI19" s="468">
        <f t="shared" ref="BI19:BI24" ca="1" si="77">100*BH19/(BH19+BG19)</f>
        <v>90.10985963071883</v>
      </c>
    </row>
    <row r="20" spans="1:61" ht="12.75" customHeight="1">
      <c r="A20" s="112">
        <f>Design!$D$13</f>
        <v>85</v>
      </c>
      <c r="B20" s="448">
        <f t="shared" si="57"/>
        <v>1.5</v>
      </c>
      <c r="C20" s="449">
        <f ca="1">FORECAST(B20, OFFSET(Design!$C$15:$C$17,MATCH(B20,Design!$B$15:$B$17,1)-1,0,2), OFFSET(Design!$B$15:$B$17,MATCH(B20,Design!$B$15:$B$17,1)-1,0,2))+(N20-25)*Design!$B$18/1000</f>
        <v>0.35125879704663115</v>
      </c>
      <c r="D20" s="166">
        <f ca="1">IF(100*(Design!$C$29+C20+B20*IF(ISBLANK(Design!$B$42),Constants!$C$6,Design!$B$42)/1000*(1+Constants!$C$36/100*(O20-25)))/($C$2+C20-B20*P20/1000)&gt;Design!$C$36,Design!$C$36,100*(Design!$C$29+C20+B20*IF(ISBLANK(Design!$B$42),Constants!$C$6,Design!$B$42)/1000*(1+Constants!$C$36/100*(O20-25)))/($C$2+C20-B20*P20/1000))</f>
        <v>67.194631305159206</v>
      </c>
      <c r="E20" s="165">
        <f ca="1">IF(($C$2-B20*IF(ISBLANK(Design!$B$42),Constants!$C$6,Design!$B$42)/1000*(1+Constants!$C$36/100*(O20-25))-Design!$C$29) / (IF(ISBLANK(Design!$B$41),Design!$B$39,Design!$B$41)/1000000) * D20/100/(IF(ISBLANK(Design!$B$33),Design!$B$32,Design!$B$33)*1000000)&lt;0,0,($C$2-B20*IF(ISBLANK(Design!$B$42),Constants!$C$6,Design!$B$42)/1000*(1+Constants!$C$36/100*(O20-25))-Design!$C$29) / (IF(ISBLANK(Design!$B$41),Design!$B$39,Design!$B$41)/1000000) * D20/100/(IF(ISBLANK(Design!$B$33),Design!$B$32,Design!$B$33)*1000000))</f>
        <v>0.46228495637012634</v>
      </c>
      <c r="F20" s="165">
        <f>$C$2*Constants!$C$21/1000+IF(ISBLANK(Design!$B$33),Design!$B$32,Design!$B$33)*1000000*Constants!$D$25/1000000000*($C$2-Constants!$C$24)</f>
        <v>3.0374999999999999E-2</v>
      </c>
      <c r="G20" s="165">
        <f>$C$2*B20*($C$2/(Constants!$C$26*1000000000)*IF(ISBLANK(Design!$B$33),Design!$B$32,Design!$B$33)*1000000/2+$C$2/(Constants!$C$27*1000000000)*IF(ISBLANK(Design!$B$33),Design!$B$32,Design!$B$33)*1000000/2)</f>
        <v>4.0800000000000003E-2</v>
      </c>
      <c r="H20" s="165">
        <f t="shared" ca="1" si="60"/>
        <v>0.27856183008445123</v>
      </c>
      <c r="I20" s="165">
        <f>Constants!$D$25/1000000000*Constants!$C$24*IF(ISBLANK(Design!$B$33),Design!$B$32,Design!$B$33)*1000000</f>
        <v>1.0624999999999999E-2</v>
      </c>
      <c r="J20" s="165">
        <f t="shared" ca="1" si="61"/>
        <v>0.36036183008445122</v>
      </c>
      <c r="K20" s="165">
        <f t="shared" ca="1" si="62"/>
        <v>0.17284761516631486</v>
      </c>
      <c r="L20" s="165">
        <f ca="1">B20^2*IF(ISBLANK(Design!$B$42),Constants!$C$6,Design!$B$42)/1000*(1+(O20-25)*(Constants!$C$36/100))</f>
        <v>0.11555563929622958</v>
      </c>
      <c r="M20" s="165">
        <f>0.5*Snubber!$B$16/1000000000000*$C$2^2*Design!$B$33*1000000</f>
        <v>4.4879999999999998E-3</v>
      </c>
      <c r="N20" s="166">
        <f ca="1">$A20+K20*Design!$B$19</f>
        <v>94.852314064479941</v>
      </c>
      <c r="O20" s="166">
        <f ca="1">J20*Design!$C$12+A20</f>
        <v>97.252302222871336</v>
      </c>
      <c r="P20" s="166">
        <f ca="1">Constants!$D$22+Constants!$D$22*Constants!$C$23/100*(O20-25)</f>
        <v>182.80184177829707</v>
      </c>
      <c r="Q20" s="165">
        <f ca="1">(1-Constants!$C$20/1000000000*Design!$B$33*1000000) * ($C$2+C20-B20*P20/1000) - (C20+B20*Design!$B$42/1000)</f>
        <v>7.3740135880906053</v>
      </c>
      <c r="R20" s="165">
        <f ca="1">IF(Q20&gt;Design!$C$29,Design!$C$29,Q20)</f>
        <v>4.9990521327014221</v>
      </c>
      <c r="S20" s="165">
        <f t="shared" ca="1" si="63"/>
        <v>0.65325308454699571</v>
      </c>
      <c r="T20" s="165">
        <f t="shared" ca="1" si="64"/>
        <v>7.4985781990521332</v>
      </c>
      <c r="U20" s="450">
        <f t="shared" ca="1" si="65"/>
        <v>91.986425358663979</v>
      </c>
      <c r="V20" s="457">
        <f t="shared" si="58"/>
        <v>1.5</v>
      </c>
      <c r="W20" s="458">
        <f ca="1">FORECAST(V20, OFFSET(Design!$C$15:$C$17,MATCH(V20,Design!$B$15:$B$17,1)-1,0,2), OFFSET(Design!$B$15:$B$17,MATCH(V20,Design!$B$15:$B$17,1)-1,0,2))+(AH20-25)*Design!$B$18/1000</f>
        <v>0.34486605919297492</v>
      </c>
      <c r="X20" s="184">
        <f ca="1">IF(100*(Design!$C$29+W20+V20*IF(ISBLANK(Design!$B$42),Constants!$C$6,Design!$B$42)/1000*(1+Constants!$C$36/100*(AI20-25)))/($W$2+W20-V20*AJ20/1000)&gt;Design!$C$36,Design!$C$36,100*(Design!$C$29+W20+V20*IF(ISBLANK(Design!$B$42),Constants!$C$6,Design!$B$42)/1000*(1+Constants!$C$36/100*(AI20-25)))/($W$2+W20-V20*AJ20/1000))</f>
        <v>44.905970835667141</v>
      </c>
      <c r="Y20" s="183">
        <f ca="1">($W$2-V20*IF(ISBLANK(Design!$B$42),Constants!$C$6,Design!$B$42)/1000*(1+Constants!$C$36/100*(AI20-25))-Design!$C$29) / (IF(ISBLANK(Design!$B$41),Design!$B$39,Design!$B$41)/1000000) * X20/100/(IF(ISBLANK(Design!$B$33),Design!$B$32,Design!$B$33)*1000000)</f>
        <v>0.7316043809436249</v>
      </c>
      <c r="Z20" s="183">
        <f>$W$2*Constants!$C$21/1000+IF(ISBLANK(Design!$B$33),Design!$B$32,Design!$B$33)*1000000*Constants!$D$25/1000000000*($W$2-Constants!$C$24)</f>
        <v>5.0874999999999997E-2</v>
      </c>
      <c r="AA20" s="183">
        <f>$W$2*V20*($W$2/(Constants!$C$26*1000000000)*IF(ISBLANK(Design!$B$33),Design!$B$32,Design!$B$33)*1000000/2+$W$2/(Constants!$C$27*1000000000)*IF(ISBLANK(Design!$B$33),Design!$B$32,Design!$B$33)*1000000/2)</f>
        <v>9.1800000000000007E-2</v>
      </c>
      <c r="AB20" s="183">
        <f t="shared" ca="1" si="66"/>
        <v>0.18782236379694989</v>
      </c>
      <c r="AC20" s="183">
        <f>Constants!$D$25/1000000000*Constants!$C$24*IF(ISBLANK(Design!$B$33),Design!$B$32,Design!$B$33)*1000000</f>
        <v>1.0624999999999999E-2</v>
      </c>
      <c r="AD20" s="183">
        <f t="shared" ca="1" si="67"/>
        <v>0.34112236379694988</v>
      </c>
      <c r="AE20" s="183">
        <f t="shared" ca="1" si="68"/>
        <v>0.28500091084449453</v>
      </c>
      <c r="AF20" s="183">
        <f ca="1">V20^2*IF(ISBLANK(Design!$B$42),Constants!$C$6,Design!$B$42)/1000*(1+(AI20-25)*(Constants!$C$36/100))</f>
        <v>0.11532426932254936</v>
      </c>
      <c r="AG20" s="183">
        <f>0.5*Snubber!$B$16/1000000000000*$W$2^2*Design!$B$33*1000000</f>
        <v>1.0097999999999999E-2</v>
      </c>
      <c r="AH20" s="184">
        <f ca="1">$A20+AE20*Design!$B$19</f>
        <v>101.24505191813618</v>
      </c>
      <c r="AI20" s="184">
        <f ca="1">AD20*Design!$C$12+$A20</f>
        <v>96.598160369096291</v>
      </c>
      <c r="AJ20" s="184">
        <f ca="1">Constants!$D$22+Constants!$D$22*Constants!$C$23/100*(AI20-25)</f>
        <v>182.27852829527703</v>
      </c>
      <c r="AK20" s="183">
        <f ca="1">(1-Constants!$C$20/1000000000*Design!$B$33*1000000) * ($W$2+W20-V20*AJ20/1000) - (W20+V20*Design!$B$42/1000)</f>
        <v>11.23050113892074</v>
      </c>
      <c r="AL20" s="183">
        <f ca="1">IF(AK20&gt;Design!$C$29,Design!$C$29,AK20)</f>
        <v>4.9990521327014221</v>
      </c>
      <c r="AM20" s="183">
        <f t="shared" ca="1" si="69"/>
        <v>0.75154554396399387</v>
      </c>
      <c r="AN20" s="183">
        <f t="shared" ca="1" si="70"/>
        <v>7.4985781990521332</v>
      </c>
      <c r="AO20" s="459">
        <f t="shared" ca="1" si="71"/>
        <v>90.890493677744047</v>
      </c>
      <c r="AP20" s="466">
        <f t="shared" si="59"/>
        <v>1.5</v>
      </c>
      <c r="AQ20" s="467">
        <f ca="1">FORECAST(AP20, OFFSET(Design!$C$15:$C$17,MATCH(AP20,Design!$B$15:$B$17,1)-1,0,2), OFFSET(Design!$B$15:$B$17,MATCH(AP20,Design!$B$15:$B$17,1)-1,0,2))+(BB20-25)*Design!$B$18/1000</f>
        <v>0.34174545401245726</v>
      </c>
      <c r="AR20" s="196">
        <f ca="1">IF(100*(Design!$C$29+AQ20+AP20*IF(ISBLANK(Design!$B$42),Constants!$C$6,Design!$B$42)/1000*(1+Constants!$C$36/100*(BC20-25)))/($AQ$2+AQ20-AP20*BD20/1000)&gt;Design!$C$36,Design!$C$36,100*(Design!$C$29+AQ20+AP20*IF(ISBLANK(Design!$B$42),Constants!$C$6,Design!$B$42)/1000*(1+Constants!$C$36/100*(BC20-25)))/($AQ$2+AQ20-AP20*BD20/1000))</f>
        <v>33.722918395780241</v>
      </c>
      <c r="AS20" s="195">
        <f ca="1">($AQ$2-AP20*IF(ISBLANK(Design!$B$42),Constants!$C$6,Design!$B$42)/1000*(1+Constants!$C$36/100*(BC20-25))-Design!$C$29) / (IF(ISBLANK(Design!$B$41),Design!$B$39,Design!$B$41)/1000000) * AR20/100/(IF(ISBLANK(Design!$B$33),Design!$B$32,Design!$B$33)*1000000)</f>
        <v>0.86677313576028048</v>
      </c>
      <c r="AT20" s="195">
        <f>$AQ$2*Constants!$C$21/1000+IF(ISBLANK(Design!$B$33),Design!$B$32,Design!$B$33)*1000000*Constants!$D$25/1000000000*($AQ$2-Constants!$C$24)</f>
        <v>7.1374999999999994E-2</v>
      </c>
      <c r="AU20" s="195">
        <f>$AQ$2*AP20*($AQ$2/(Constants!$C$26*1000000000)*IF(ISBLANK(Design!$B$33),Design!$B$32,Design!$B$33)*1000000/2+$AQ$2/(Constants!$C$27*1000000000)*IF(ISBLANK(Design!$B$33),Design!$B$32,Design!$B$33)*1000000/2)</f>
        <v>0.16320000000000001</v>
      </c>
      <c r="AV20" s="195">
        <f t="shared" ca="1" si="72"/>
        <v>0.14315715578010785</v>
      </c>
      <c r="AW20" s="195">
        <f>Constants!$D$25/1000000000*Constants!$C$24*IF(ISBLANK(Design!$B$33),Design!$B$32,Design!$B$33)*1000000</f>
        <v>1.0624999999999999E-2</v>
      </c>
      <c r="AX20" s="195">
        <f t="shared" ca="1" si="73"/>
        <v>0.38835715578010788</v>
      </c>
      <c r="AY20" s="195">
        <f t="shared" ca="1" si="74"/>
        <v>0.33974837015182141</v>
      </c>
      <c r="AZ20" s="195">
        <f ca="1">AP20^2*IF(ISBLANK(Design!$B$42),Constants!$C$6,Design!$B$42)/1000*(1+(BC20-25)*(Constants!$C$36/100))</f>
        <v>0.11589230548398043</v>
      </c>
      <c r="BA20" s="195">
        <f>0.5*Snubber!$B$16/1000000000000*$AQ$2^2*Design!$B$33*1000000</f>
        <v>1.7951999999999999E-2</v>
      </c>
      <c r="BB20" s="196">
        <f ca="1">$A20+AY20*Design!$B$19</f>
        <v>104.36565709865383</v>
      </c>
      <c r="BC20" s="196">
        <f ca="1">AX20*Design!$C$12+$A20</f>
        <v>98.204143296523668</v>
      </c>
      <c r="BD20" s="196">
        <f ca="1">Constants!$D$22+Constants!$D$22*Constants!$C$23/100*(BC20-25)</f>
        <v>183.56331463721892</v>
      </c>
      <c r="BE20" s="195">
        <f ca="1">(1-Constants!$C$20/1000000000*Design!$B$33*1000000) * ($AQ$2+AQ20-AP20*BD20/1000) - (AQ20+AP20*Design!$B$42/1000)</f>
        <v>15.084256310629875</v>
      </c>
      <c r="BF20" s="195">
        <f ca="1">IF(BE20&gt;Design!$C$29,Design!$C$29,BE20)</f>
        <v>4.9990521327014221</v>
      </c>
      <c r="BG20" s="195">
        <f t="shared" ca="1" si="75"/>
        <v>0.86194983141590975</v>
      </c>
      <c r="BH20" s="195">
        <f t="shared" ca="1" si="76"/>
        <v>7.4985781990521332</v>
      </c>
      <c r="BI20" s="468">
        <f t="shared" ca="1" si="77"/>
        <v>89.690246497891891</v>
      </c>
    </row>
    <row r="21" spans="1:61" ht="12.75" customHeight="1">
      <c r="A21" s="112">
        <f>Design!$D$13</f>
        <v>85</v>
      </c>
      <c r="B21" s="448">
        <f t="shared" si="57"/>
        <v>1.75</v>
      </c>
      <c r="C21" s="449">
        <f ca="1">FORECAST(B21, OFFSET(Design!$C$15:$C$17,MATCH(B21,Design!$B$15:$B$17,1)-1,0,2), OFFSET(Design!$B$15:$B$17,MATCH(B21,Design!$B$15:$B$17,1)-1,0,2))+(N21-25)*Design!$B$18/1000</f>
        <v>0.36873674492431507</v>
      </c>
      <c r="D21" s="166">
        <f ca="1">IF(100*(Design!$C$29+C21+B21*IF(ISBLANK(Design!$B$42),Constants!$C$6,Design!$B$42)/1000*(1+Constants!$C$36/100*(O21-25)))/($C$2+C21-B21*P21/1000)&gt;Design!$C$36,Design!$C$36,100*(Design!$C$29+C21+B21*IF(ISBLANK(Design!$B$42),Constants!$C$6,Design!$B$42)/1000*(1+Constants!$C$36/100*(O21-25)))/($C$2+C21-B21*P21/1000))</f>
        <v>67.867504734444793</v>
      </c>
      <c r="E21" s="165">
        <f ca="1">IF(($C$2-B21*IF(ISBLANK(Design!$B$42),Constants!$C$6,Design!$B$42)/1000*(1+Constants!$C$36/100*(O21-25))-Design!$C$29) / (IF(ISBLANK(Design!$B$41),Design!$B$39,Design!$B$41)/1000000) * D21/100/(IF(ISBLANK(Design!$B$33),Design!$B$32,Design!$B$33)*1000000)&lt;0,0,($C$2-B21*IF(ISBLANK(Design!$B$42),Constants!$C$6,Design!$B$42)/1000*(1+Constants!$C$36/100*(O21-25))-Design!$C$29) / (IF(ISBLANK(Design!$B$41),Design!$B$39,Design!$B$41)/1000000) * D21/100/(IF(ISBLANK(Design!$B$33),Design!$B$32,Design!$B$33)*1000000))</f>
        <v>0.46468900395445867</v>
      </c>
      <c r="F21" s="165">
        <f>$C$2*Constants!$C$21/1000+IF(ISBLANK(Design!$B$33),Design!$B$32,Design!$B$33)*1000000*Constants!$D$25/1000000000*($C$2-Constants!$C$24)</f>
        <v>3.0374999999999999E-2</v>
      </c>
      <c r="G21" s="165">
        <f>$C$2*B21*($C$2/(Constants!$C$26*1000000000)*IF(ISBLANK(Design!$B$33),Design!$B$32,Design!$B$33)*1000000/2+$C$2/(Constants!$C$27*1000000000)*IF(ISBLANK(Design!$B$33),Design!$B$32,Design!$B$33)*1000000/2)</f>
        <v>4.7600000000000003E-2</v>
      </c>
      <c r="H21" s="165">
        <f t="shared" ca="1" si="60"/>
        <v>0.38883289972306423</v>
      </c>
      <c r="I21" s="165">
        <f>Constants!$D$25/1000000000*Constants!$C$24*IF(ISBLANK(Design!$B$33),Design!$B$32,Design!$B$33)*1000000</f>
        <v>1.0624999999999999E-2</v>
      </c>
      <c r="J21" s="165">
        <f t="shared" ca="1" si="61"/>
        <v>0.47743289972306424</v>
      </c>
      <c r="K21" s="165">
        <f t="shared" ca="1" si="62"/>
        <v>0.20734755493404383</v>
      </c>
      <c r="L21" s="165">
        <f ca="1">B21^2*IF(ISBLANK(Design!$B$42),Constants!$C$6,Design!$B$42)/1000*(1+(O21-25)*(Constants!$C$36/100))</f>
        <v>0.15920033654747201</v>
      </c>
      <c r="M21" s="165">
        <f>0.5*Snubber!$B$16/1000000000000*$C$2^2*Design!$B$33*1000000</f>
        <v>4.4879999999999998E-3</v>
      </c>
      <c r="N21" s="166">
        <f ca="1">$A21+K21*Design!$B$19</f>
        <v>96.818810631240495</v>
      </c>
      <c r="O21" s="166">
        <f ca="1">J21*Design!$C$12+A21</f>
        <v>101.23271859058418</v>
      </c>
      <c r="P21" s="166">
        <f ca="1">Constants!$D$22+Constants!$D$22*Constants!$C$23/100*(O21-25)</f>
        <v>185.98617487246736</v>
      </c>
      <c r="Q21" s="165">
        <f ca="1">(1-Constants!$C$20/1000000000*Design!$B$33*1000000) * ($C$2+C21-B21*P21/1000) - (C21+B21*Design!$B$42/1000)</f>
        <v>7.3139613925555098</v>
      </c>
      <c r="R21" s="165">
        <f ca="1">IF(Q21&gt;Design!$C$29,Design!$C$29,Q21)</f>
        <v>4.9990521327014221</v>
      </c>
      <c r="S21" s="165">
        <f t="shared" ca="1" si="63"/>
        <v>0.84846879120458019</v>
      </c>
      <c r="T21" s="165">
        <f t="shared" ca="1" si="64"/>
        <v>8.7483412322274887</v>
      </c>
      <c r="U21" s="450">
        <f t="shared" ca="1" si="65"/>
        <v>91.158845604602845</v>
      </c>
      <c r="V21" s="457">
        <f t="shared" si="58"/>
        <v>1.75</v>
      </c>
      <c r="W21" s="458">
        <f ca="1">FORECAST(V21, OFFSET(Design!$C$15:$C$17,MATCH(V21,Design!$B$15:$B$17,1)-1,0,2), OFFSET(Design!$B$15:$B$17,MATCH(V21,Design!$B$15:$B$17,1)-1,0,2))+(AH21-25)*Design!$B$18/1000</f>
        <v>0.36085801094367886</v>
      </c>
      <c r="X21" s="184">
        <f ca="1">IF(100*(Design!$C$29+W21+V21*IF(ISBLANK(Design!$B$42),Constants!$C$6,Design!$B$42)/1000*(1+Constants!$C$36/100*(AI21-25)))/($W$2+W21-V21*AJ21/1000)&gt;Design!$C$36,Design!$C$36,100*(Design!$C$29+W21+V21*IF(ISBLANK(Design!$B$42),Constants!$C$6,Design!$B$42)/1000*(1+Constants!$C$36/100*(AI21-25)))/($W$2+W21-V21*AJ21/1000))</f>
        <v>45.277889660906624</v>
      </c>
      <c r="Y21" s="183">
        <f ca="1">($W$2-V21*IF(ISBLANK(Design!$B$42),Constants!$C$6,Design!$B$42)/1000*(1+Constants!$C$36/100*(AI21-25))-Design!$C$29) / (IF(ISBLANK(Design!$B$41),Design!$B$39,Design!$B$41)/1000000) * X21/100/(IF(ISBLANK(Design!$B$33),Design!$B$32,Design!$B$33)*1000000)</f>
        <v>0.73621152451879246</v>
      </c>
      <c r="Z21" s="183">
        <f>$W$2*Constants!$C$21/1000+IF(ISBLANK(Design!$B$33),Design!$B$32,Design!$B$33)*1000000*Constants!$D$25/1000000000*($W$2-Constants!$C$24)</f>
        <v>5.0874999999999997E-2</v>
      </c>
      <c r="AA21" s="183">
        <f>$W$2*V21*($W$2/(Constants!$C$26*1000000000)*IF(ISBLANK(Design!$B$33),Design!$B$32,Design!$B$33)*1000000/2+$W$2/(Constants!$C$27*1000000000)*IF(ISBLANK(Design!$B$33),Design!$B$32,Design!$B$33)*1000000/2)</f>
        <v>0.1071</v>
      </c>
      <c r="AB21" s="183">
        <f t="shared" ca="1" si="66"/>
        <v>0.25982282324781347</v>
      </c>
      <c r="AC21" s="183">
        <f>Constants!$D$25/1000000000*Constants!$C$24*IF(ISBLANK(Design!$B$33),Design!$B$32,Design!$B$33)*1000000</f>
        <v>1.0624999999999999E-2</v>
      </c>
      <c r="AD21" s="183">
        <f t="shared" ca="1" si="67"/>
        <v>0.42842282324781344</v>
      </c>
      <c r="AE21" s="183">
        <f t="shared" ca="1" si="68"/>
        <v>0.34557095810310084</v>
      </c>
      <c r="AF21" s="183">
        <f ca="1">V21^2*IF(ISBLANK(Design!$B$42),Constants!$C$6,Design!$B$42)/1000*(1+(AI21-25)*(Constants!$C$36/100))</f>
        <v>0.15839811756119068</v>
      </c>
      <c r="AG21" s="183">
        <f>0.5*Snubber!$B$16/1000000000000*$W$2^2*Design!$B$33*1000000</f>
        <v>1.0097999999999999E-2</v>
      </c>
      <c r="AH21" s="184">
        <f ca="1">$A21+AE21*Design!$B$19</f>
        <v>104.69754461187675</v>
      </c>
      <c r="AI21" s="184">
        <f ca="1">AD21*Design!$C$12+$A21</f>
        <v>99.566375990425655</v>
      </c>
      <c r="AJ21" s="184">
        <f ca="1">Constants!$D$22+Constants!$D$22*Constants!$C$23/100*(AI21-25)</f>
        <v>184.65310079234052</v>
      </c>
      <c r="AK21" s="183">
        <f ca="1">(1-Constants!$C$20/1000000000*Design!$B$33*1000000) * ($W$2+W21-V21*AJ21/1000) - (W21+V21*Design!$B$42/1000)</f>
        <v>11.171994616183779</v>
      </c>
      <c r="AL21" s="183">
        <f ca="1">IF(AK21&gt;Design!$C$29,Design!$C$29,AK21)</f>
        <v>4.9990521327014221</v>
      </c>
      <c r="AM21" s="183">
        <f t="shared" ca="1" si="69"/>
        <v>0.94248989891210511</v>
      </c>
      <c r="AN21" s="183">
        <f t="shared" ca="1" si="70"/>
        <v>8.7483412322274887</v>
      </c>
      <c r="AO21" s="459">
        <f t="shared" ca="1" si="71"/>
        <v>90.27441623780237</v>
      </c>
      <c r="AP21" s="466">
        <f t="shared" si="59"/>
        <v>1.75</v>
      </c>
      <c r="AQ21" s="467">
        <f ca="1">FORECAST(AP21, OFFSET(Design!$C$15:$C$17,MATCH(AP21,Design!$B$15:$B$17,1)-1,0,2), OFFSET(Design!$B$15:$B$17,MATCH(AP21,Design!$B$15:$B$17,1)-1,0,2))+(BB21-25)*Design!$B$18/1000</f>
        <v>0.35704116504922329</v>
      </c>
      <c r="AR21" s="196">
        <f ca="1">IF(100*(Design!$C$29+AQ21+AP21*IF(ISBLANK(Design!$B$42),Constants!$C$6,Design!$B$42)/1000*(1+Constants!$C$36/100*(BC21-25)))/($AQ$2+AQ21-AP21*BD21/1000)&gt;Design!$C$36,Design!$C$36,100*(Design!$C$29+AQ21+AP21*IF(ISBLANK(Design!$B$42),Constants!$C$6,Design!$B$42)/1000*(1+Constants!$C$36/100*(BC21-25)))/($AQ$2+AQ21-AP21*BD21/1000))</f>
        <v>33.975893752693636</v>
      </c>
      <c r="AS21" s="195">
        <f ca="1">($AQ$2-AP21*IF(ISBLANK(Design!$B$42),Constants!$C$6,Design!$B$42)/1000*(1+Constants!$C$36/100*(BC21-25))-Design!$C$29) / (IF(ISBLANK(Design!$B$41),Design!$B$39,Design!$B$41)/1000000) * AR21/100/(IF(ISBLANK(Design!$B$33),Design!$B$32,Design!$B$33)*1000000)</f>
        <v>0.87218505925930789</v>
      </c>
      <c r="AT21" s="195">
        <f>$AQ$2*Constants!$C$21/1000+IF(ISBLANK(Design!$B$33),Design!$B$32,Design!$B$33)*1000000*Constants!$D$25/1000000000*($AQ$2-Constants!$C$24)</f>
        <v>7.1374999999999994E-2</v>
      </c>
      <c r="AU21" s="195">
        <f>$AQ$2*AP21*($AQ$2/(Constants!$C$26*1000000000)*IF(ISBLANK(Design!$B$33),Design!$B$32,Design!$B$33)*1000000/2+$AQ$2/(Constants!$C$27*1000000000)*IF(ISBLANK(Design!$B$33),Design!$B$32,Design!$B$33)*1000000/2)</f>
        <v>0.19040000000000001</v>
      </c>
      <c r="AV21" s="195">
        <f t="shared" ca="1" si="72"/>
        <v>0.19730329319450929</v>
      </c>
      <c r="AW21" s="195">
        <f>Constants!$D$25/1000000000*Constants!$C$24*IF(ISBLANK(Design!$B$33),Design!$B$32,Design!$B$33)*1000000</f>
        <v>1.0624999999999999E-2</v>
      </c>
      <c r="AX21" s="195">
        <f t="shared" ca="1" si="73"/>
        <v>0.46970329319450926</v>
      </c>
      <c r="AY21" s="195">
        <f t="shared" ca="1" si="74"/>
        <v>0.41253316677775942</v>
      </c>
      <c r="AZ21" s="195">
        <f ca="1">AP21^2*IF(ISBLANK(Design!$B$42),Constants!$C$6,Design!$B$42)/1000*(1+(BC21-25)*(Constants!$C$36/100))</f>
        <v>0.15907381486948965</v>
      </c>
      <c r="BA21" s="195">
        <f>0.5*Snubber!$B$16/1000000000000*$AQ$2^2*Design!$B$33*1000000</f>
        <v>1.7951999999999999E-2</v>
      </c>
      <c r="BB21" s="196">
        <f ca="1">$A21+AY21*Design!$B$19</f>
        <v>108.51439050633229</v>
      </c>
      <c r="BC21" s="196">
        <f ca="1">AX21*Design!$C$12+$A21</f>
        <v>100.96991196861332</v>
      </c>
      <c r="BD21" s="196">
        <f ca="1">Constants!$D$22+Constants!$D$22*Constants!$C$23/100*(BC21-25)</f>
        <v>185.77592957489065</v>
      </c>
      <c r="BE21" s="195">
        <f ca="1">(1-Constants!$C$20/1000000000*Design!$B$33*1000000) * ($AQ$2+AQ21-AP21*BD21/1000) - (AQ21+AP21*Design!$B$42/1000)</f>
        <v>15.025738533204354</v>
      </c>
      <c r="BF21" s="195">
        <f ca="1">IF(BE21&gt;Design!$C$29,Design!$C$29,BE21)</f>
        <v>4.9990521327014221</v>
      </c>
      <c r="BG21" s="195">
        <f t="shared" ca="1" si="75"/>
        <v>1.0592622748417584</v>
      </c>
      <c r="BH21" s="195">
        <f t="shared" ca="1" si="76"/>
        <v>8.7483412322274887</v>
      </c>
      <c r="BI21" s="468">
        <f t="shared" ca="1" si="77"/>
        <v>89.199580977368726</v>
      </c>
    </row>
    <row r="22" spans="1:61" ht="12.75" customHeight="1">
      <c r="A22" s="112">
        <f>Design!$D$13</f>
        <v>85</v>
      </c>
      <c r="B22" s="448">
        <f t="shared" si="57"/>
        <v>2</v>
      </c>
      <c r="C22" s="449">
        <f ca="1">FORECAST(B22, OFFSET(Design!$C$15:$C$17,MATCH(B22,Design!$B$15:$B$17,1)-1,0,2), OFFSET(Design!$B$15:$B$17,MATCH(B22,Design!$B$15:$B$17,1)-1,0,2))+(N22-25)*Design!$B$18/1000</f>
        <v>0.38616698053260318</v>
      </c>
      <c r="D22" s="166">
        <f ca="1">IF(100*(Design!$C$29+C22+B22*IF(ISBLANK(Design!$B$42),Constants!$C$6,Design!$B$42)/1000*(1+Constants!$C$36/100*(O22-25)))/($C$2+C22-B22*P22/1000)&gt;Design!$C$36,Design!$C$36,100*(Design!$C$29+C22+B22*IF(ISBLANK(Design!$B$42),Constants!$C$6,Design!$B$42)/1000*(1+Constants!$C$36/100*(O22-25)))/($C$2+C22-B22*P22/1000))</f>
        <v>68.577770201263405</v>
      </c>
      <c r="E22" s="165">
        <f ca="1">IF(($C$2-B22*IF(ISBLANK(Design!$B$42),Constants!$C$6,Design!$B$42)/1000*(1+Constants!$C$36/100*(O22-25))-Design!$C$29) / (IF(ISBLANK(Design!$B$41),Design!$B$39,Design!$B$41)/1000000) * D22/100/(IF(ISBLANK(Design!$B$33),Design!$B$32,Design!$B$33)*1000000)&lt;0,0,($C$2-B22*IF(ISBLANK(Design!$B$42),Constants!$C$6,Design!$B$42)/1000*(1+Constants!$C$36/100*(O22-25))-Design!$C$29) / (IF(ISBLANK(Design!$B$41),Design!$B$39,Design!$B$41)/1000000) * D22/100/(IF(ISBLANK(Design!$B$33),Design!$B$32,Design!$B$33)*1000000))</f>
        <v>0.46721190112932121</v>
      </c>
      <c r="F22" s="165">
        <f>$C$2*Constants!$C$21/1000+IF(ISBLANK(Design!$B$33),Design!$B$32,Design!$B$33)*1000000*Constants!$D$25/1000000000*($C$2-Constants!$C$24)</f>
        <v>3.0374999999999999E-2</v>
      </c>
      <c r="G22" s="165">
        <f>$C$2*B22*($C$2/(Constants!$C$26*1000000000)*IF(ISBLANK(Design!$B$33),Design!$B$32,Design!$B$33)*1000000/2+$C$2/(Constants!$C$27*1000000000)*IF(ISBLANK(Design!$B$33),Design!$B$32,Design!$B$33)*1000000/2)</f>
        <v>5.4400000000000004E-2</v>
      </c>
      <c r="H22" s="165">
        <f t="shared" ca="1" si="60"/>
        <v>0.523071955952088</v>
      </c>
      <c r="I22" s="165">
        <f>Constants!$D$25/1000000000*Constants!$C$24*IF(ISBLANK(Design!$B$33),Design!$B$32,Design!$B$33)*1000000</f>
        <v>1.0624999999999999E-2</v>
      </c>
      <c r="J22" s="165">
        <f t="shared" ca="1" si="61"/>
        <v>0.61847195595208804</v>
      </c>
      <c r="K22" s="165">
        <f t="shared" ca="1" si="62"/>
        <v>0.24268455205959391</v>
      </c>
      <c r="L22" s="165">
        <f ca="1">B22^2*IF(ISBLANK(Design!$B$42),Constants!$C$6,Design!$B$42)/1000*(1+(O22-25)*(Constants!$C$36/100))</f>
        <v>0.21095043564069088</v>
      </c>
      <c r="M22" s="165">
        <f>0.5*Snubber!$B$16/1000000000000*$C$2^2*Design!$B$33*1000000</f>
        <v>4.4879999999999998E-3</v>
      </c>
      <c r="N22" s="166">
        <f ca="1">$A22+K22*Design!$B$19</f>
        <v>98.833019467396852</v>
      </c>
      <c r="O22" s="166">
        <f ca="1">J22*Design!$C$12+A22</f>
        <v>106.028046502371</v>
      </c>
      <c r="P22" s="166">
        <f ca="1">Constants!$D$22+Constants!$D$22*Constants!$C$23/100*(O22-25)</f>
        <v>189.8224372018968</v>
      </c>
      <c r="Q22" s="165">
        <f ca="1">(1-Constants!$C$20/1000000000*Design!$B$33*1000000) * ($C$2+C22-B22*P22/1000) - (C22+B22*Design!$B$42/1000)</f>
        <v>7.2511195145123049</v>
      </c>
      <c r="R22" s="165">
        <f ca="1">IF(Q22&gt;Design!$C$29,Design!$C$29,Q22)</f>
        <v>4.9990521327014221</v>
      </c>
      <c r="S22" s="165">
        <f t="shared" ca="1" si="63"/>
        <v>1.076594943652373</v>
      </c>
      <c r="T22" s="165">
        <f t="shared" ca="1" si="64"/>
        <v>9.9981042654028442</v>
      </c>
      <c r="U22" s="450">
        <f t="shared" ca="1" si="65"/>
        <v>90.2787884047262</v>
      </c>
      <c r="V22" s="457">
        <f t="shared" si="58"/>
        <v>2</v>
      </c>
      <c r="W22" s="458">
        <f ca="1">FORECAST(V22, OFFSET(Design!$C$15:$C$17,MATCH(V22,Design!$B$15:$B$17,1)-1,0,2), OFFSET(Design!$B$15:$B$17,MATCH(V22,Design!$B$15:$B$17,1)-1,0,2))+(AH22-25)*Design!$B$18/1000</f>
        <v>0.37666714544057561</v>
      </c>
      <c r="X22" s="184">
        <f ca="1">IF(100*(Design!$C$29+W22+V22*IF(ISBLANK(Design!$B$42),Constants!$C$6,Design!$B$42)/1000*(1+Constants!$C$36/100*(AI22-25)))/($W$2+W22-V22*AJ22/1000)&gt;Design!$C$36,Design!$C$36,100*(Design!$C$29+W22+V22*IF(ISBLANK(Design!$B$42),Constants!$C$6,Design!$B$42)/1000*(1+Constants!$C$36/100*(AI22-25)))/($W$2+W22-V22*AJ22/1000))</f>
        <v>45.661795758011358</v>
      </c>
      <c r="Y22" s="183">
        <f ca="1">($W$2-V22*IF(ISBLANK(Design!$B$42),Constants!$C$6,Design!$B$42)/1000*(1+Constants!$C$36/100*(AI22-25))-Design!$C$29) / (IF(ISBLANK(Design!$B$41),Design!$B$39,Design!$B$41)/1000000) * X22/100/(IF(ISBLANK(Design!$B$33),Design!$B$32,Design!$B$33)*1000000)</f>
        <v>0.74094772501701844</v>
      </c>
      <c r="Z22" s="183">
        <f>$W$2*Constants!$C$21/1000+IF(ISBLANK(Design!$B$33),Design!$B$32,Design!$B$33)*1000000*Constants!$D$25/1000000000*($W$2-Constants!$C$24)</f>
        <v>5.0874999999999997E-2</v>
      </c>
      <c r="AA22" s="183">
        <f>$W$2*V22*($W$2/(Constants!$C$26*1000000000)*IF(ISBLANK(Design!$B$33),Design!$B$32,Design!$B$33)*1000000/2+$W$2/(Constants!$C$27*1000000000)*IF(ISBLANK(Design!$B$33),Design!$B$32,Design!$B$33)*1000000/2)</f>
        <v>0.12240000000000001</v>
      </c>
      <c r="AB22" s="183">
        <f t="shared" ca="1" si="66"/>
        <v>0.34623186695252944</v>
      </c>
      <c r="AC22" s="183">
        <f>Constants!$D$25/1000000000*Constants!$C$24*IF(ISBLANK(Design!$B$33),Design!$B$32,Design!$B$33)*1000000</f>
        <v>1.0624999999999999E-2</v>
      </c>
      <c r="AD22" s="183">
        <f t="shared" ca="1" si="67"/>
        <v>0.53013186695252945</v>
      </c>
      <c r="AE22" s="183">
        <f t="shared" ca="1" si="68"/>
        <v>0.40934832560393675</v>
      </c>
      <c r="AF22" s="183">
        <f ca="1">V22^2*IF(ISBLANK(Design!$B$42),Constants!$C$6,Design!$B$42)/1000*(1+(AI22-25)*(Constants!$C$36/100))</f>
        <v>0.20906179520995152</v>
      </c>
      <c r="AG22" s="183">
        <f>0.5*Snubber!$B$16/1000000000000*$W$2^2*Design!$B$33*1000000</f>
        <v>1.0097999999999999E-2</v>
      </c>
      <c r="AH22" s="184">
        <f ca="1">$A22+AE22*Design!$B$19</f>
        <v>108.33285455942439</v>
      </c>
      <c r="AI22" s="184">
        <f ca="1">AD22*Design!$C$12+$A22</f>
        <v>103.024483476386</v>
      </c>
      <c r="AJ22" s="184">
        <f ca="1">Constants!$D$22+Constants!$D$22*Constants!$C$23/100*(AI22-25)</f>
        <v>187.41958678110879</v>
      </c>
      <c r="AK22" s="183">
        <f ca="1">(1-Constants!$C$20/1000000000*Design!$B$33*1000000) * ($W$2+W22-V22*AJ22/1000) - (W22+V22*Design!$B$42/1000)</f>
        <v>11.111594790953678</v>
      </c>
      <c r="AL22" s="183">
        <f ca="1">IF(AK22&gt;Design!$C$29,Design!$C$29,AK22)</f>
        <v>4.9990521327014221</v>
      </c>
      <c r="AM22" s="183">
        <f t="shared" ca="1" si="69"/>
        <v>1.1586399877664177</v>
      </c>
      <c r="AN22" s="183">
        <f t="shared" ca="1" si="70"/>
        <v>9.9981042654028442</v>
      </c>
      <c r="AO22" s="459">
        <f t="shared" ca="1" si="71"/>
        <v>89.6148915716403</v>
      </c>
      <c r="AP22" s="466">
        <f t="shared" si="59"/>
        <v>2</v>
      </c>
      <c r="AQ22" s="467">
        <f ca="1">FORECAST(AP22, OFFSET(Design!$C$15:$C$17,MATCH(AP22,Design!$B$15:$B$17,1)-1,0,2), OFFSET(Design!$B$15:$B$17,MATCH(AP22,Design!$B$15:$B$17,1)-1,0,2))+(BB22-25)*Design!$B$18/1000</f>
        <v>0.37210254164839396</v>
      </c>
      <c r="AR22" s="196">
        <f ca="1">IF(100*(Design!$C$29+AQ22+AP22*IF(ISBLANK(Design!$B$42),Constants!$C$6,Design!$B$42)/1000*(1+Constants!$C$36/100*(BC22-25)))/($AQ$2+AQ22-AP22*BD22/1000)&gt;Design!$C$36,Design!$C$36,100*(Design!$C$29+AQ22+AP22*IF(ISBLANK(Design!$B$42),Constants!$C$6,Design!$B$42)/1000*(1+Constants!$C$36/100*(BC22-25)))/($AQ$2+AQ22-AP22*BD22/1000))</f>
        <v>34.23464783125614</v>
      </c>
      <c r="AS22" s="195">
        <f ca="1">($AQ$2-AP22*IF(ISBLANK(Design!$B$42),Constants!$C$6,Design!$B$42)/1000*(1+Constants!$C$36/100*(BC22-25))-Design!$C$29) / (IF(ISBLANK(Design!$B$41),Design!$B$39,Design!$B$41)/1000000) * AR22/100/(IF(ISBLANK(Design!$B$33),Design!$B$32,Design!$B$33)*1000000)</f>
        <v>0.877702345895091</v>
      </c>
      <c r="AT22" s="195">
        <f>$AQ$2*Constants!$C$21/1000+IF(ISBLANK(Design!$B$33),Design!$B$32,Design!$B$33)*1000000*Constants!$D$25/1000000000*($AQ$2-Constants!$C$24)</f>
        <v>7.1374999999999994E-2</v>
      </c>
      <c r="AU22" s="195">
        <f>$AQ$2*AP22*($AQ$2/(Constants!$C$26*1000000000)*IF(ISBLANK(Design!$B$33),Design!$B$32,Design!$B$33)*1000000/2+$AQ$2/(Constants!$C$27*1000000000)*IF(ISBLANK(Design!$B$33),Design!$B$32,Design!$B$33)*1000000/2)</f>
        <v>0.21760000000000002</v>
      </c>
      <c r="AV22" s="195">
        <f t="shared" ca="1" si="72"/>
        <v>0.26195809221596605</v>
      </c>
      <c r="AW22" s="195">
        <f>Constants!$D$25/1000000000*Constants!$C$24*IF(ISBLANK(Design!$B$33),Design!$B$32,Design!$B$33)*1000000</f>
        <v>1.0624999999999999E-2</v>
      </c>
      <c r="AX22" s="195">
        <f t="shared" ca="1" si="73"/>
        <v>0.56155809221596609</v>
      </c>
      <c r="AY22" s="195">
        <f t="shared" ca="1" si="74"/>
        <v>0.48942909388782618</v>
      </c>
      <c r="AZ22" s="195">
        <f ca="1">AP22^2*IF(ISBLANK(Design!$B$42),Constants!$C$6,Design!$B$42)/1000*(1+(BC22-25)*(Constants!$C$36/100))</f>
        <v>0.20973366276510358</v>
      </c>
      <c r="BA22" s="195">
        <f>0.5*Snubber!$B$16/1000000000000*$AQ$2^2*Design!$B$33*1000000</f>
        <v>1.7951999999999999E-2</v>
      </c>
      <c r="BB22" s="196">
        <f ca="1">$A22+AY22*Design!$B$19</f>
        <v>112.89745835160609</v>
      </c>
      <c r="BC22" s="196">
        <f ca="1">AX22*Design!$C$12+$A22</f>
        <v>104.09297513534284</v>
      </c>
      <c r="BD22" s="196">
        <f ca="1">Constants!$D$22+Constants!$D$22*Constants!$C$23/100*(BC22-25)</f>
        <v>188.27438010827427</v>
      </c>
      <c r="BE22" s="195">
        <f ca="1">(1-Constants!$C$20/1000000000*Design!$B$33*1000000) * ($AQ$2+AQ22-AP22*BD22/1000) - (AQ22+AP22*Design!$B$42/1000)</f>
        <v>14.965611859429227</v>
      </c>
      <c r="BF22" s="195">
        <f ca="1">IF(BE22&gt;Design!$C$29,Design!$C$29,BE22)</f>
        <v>4.9990521327014221</v>
      </c>
      <c r="BG22" s="195">
        <f t="shared" ca="1" si="75"/>
        <v>1.2786728488688959</v>
      </c>
      <c r="BH22" s="195">
        <f t="shared" ca="1" si="76"/>
        <v>9.9981042654028442</v>
      </c>
      <c r="BI22" s="468">
        <f t="shared" ca="1" si="77"/>
        <v>88.661008052995712</v>
      </c>
    </row>
    <row r="23" spans="1:61" ht="12.75" customHeight="1">
      <c r="A23" s="112">
        <f>Design!$D$13</f>
        <v>85</v>
      </c>
      <c r="B23" s="448">
        <f t="shared" si="57"/>
        <v>2.25</v>
      </c>
      <c r="C23" s="449">
        <f ca="1">FORECAST(B23, OFFSET(Design!$C$15:$C$17,MATCH(B23,Design!$B$15:$B$17,1)-1,0,2), OFFSET(Design!$B$15:$B$17,MATCH(B23,Design!$B$15:$B$17,1)-1,0,2))+(N23-25)*Design!$B$18/1000</f>
        <v>0.39085365980406139</v>
      </c>
      <c r="D23" s="166">
        <f ca="1">IF(100*(Design!$C$29+C23+B23*IF(ISBLANK(Design!$B$42),Constants!$C$6,Design!$B$42)/1000*(1+Constants!$C$36/100*(O23-25)))/($C$2+C23-B23*P23/1000)&gt;Design!$C$36,Design!$C$36,100*(Design!$C$29+C23+B23*IF(ISBLANK(Design!$B$42),Constants!$C$6,Design!$B$42)/1000*(1+Constants!$C$36/100*(O23-25)))/($C$2+C23-B23*P23/1000))</f>
        <v>69.285323748580495</v>
      </c>
      <c r="E23" s="165">
        <f ca="1">IF(($C$2-B23*IF(ISBLANK(Design!$B$42),Constants!$C$6,Design!$B$42)/1000*(1+Constants!$C$36/100*(O23-25))-Design!$C$29) / (IF(ISBLANK(Design!$B$41),Design!$B$39,Design!$B$41)/1000000) * D23/100/(IF(ISBLANK(Design!$B$33),Design!$B$32,Design!$B$33)*1000000)&lt;0,0,($C$2-B23*IF(ISBLANK(Design!$B$42),Constants!$C$6,Design!$B$42)/1000*(1+Constants!$C$36/100*(O23-25))-Design!$C$29) / (IF(ISBLANK(Design!$B$41),Design!$B$39,Design!$B$41)/1000000) * D23/100/(IF(ISBLANK(Design!$B$33),Design!$B$32,Design!$B$33)*1000000))</f>
        <v>0.4695535346094879</v>
      </c>
      <c r="F23" s="165">
        <f>$C$2*Constants!$C$21/1000+IF(ISBLANK(Design!$B$33),Design!$B$32,Design!$B$33)*1000000*Constants!$D$25/1000000000*($C$2-Constants!$C$24)</f>
        <v>3.0374999999999999E-2</v>
      </c>
      <c r="G23" s="165">
        <f>$C$2*B23*($C$2/(Constants!$C$26*1000000000)*IF(ISBLANK(Design!$B$33),Design!$B$32,Design!$B$33)*1000000/2+$C$2/(Constants!$C$27*1000000000)*IF(ISBLANK(Design!$B$33),Design!$B$32,Design!$B$33)*1000000/2)</f>
        <v>6.1200000000000004E-2</v>
      </c>
      <c r="H23" s="165">
        <f t="shared" ca="1" si="60"/>
        <v>0.68432310200396618</v>
      </c>
      <c r="I23" s="165">
        <f>Constants!$D$25/1000000000*Constants!$C$24*IF(ISBLANK(Design!$B$33),Design!$B$32,Design!$B$33)*1000000</f>
        <v>1.0624999999999999E-2</v>
      </c>
      <c r="J23" s="165">
        <f t="shared" ca="1" si="61"/>
        <v>0.78652310200396613</v>
      </c>
      <c r="K23" s="165">
        <f t="shared" ca="1" si="62"/>
        <v>0.27011123150769456</v>
      </c>
      <c r="L23" s="165">
        <f ca="1">B23^2*IF(ISBLANK(Design!$B$42),Constants!$C$6,Design!$B$42)/1000*(1+(O23-25)*(Constants!$C$36/100))</f>
        <v>0.27153128142017841</v>
      </c>
      <c r="M23" s="165">
        <f>0.5*Snubber!$B$16/1000000000000*$C$2^2*Design!$B$33*1000000</f>
        <v>4.4879999999999998E-3</v>
      </c>
      <c r="N23" s="166">
        <f ca="1">$A23+K23*Design!$B$19</f>
        <v>100.39634019593859</v>
      </c>
      <c r="O23" s="166">
        <f ca="1">J23*Design!$C$12+A23</f>
        <v>111.74178546813485</v>
      </c>
      <c r="P23" s="166">
        <f ca="1">Constants!$D$22+Constants!$D$22*Constants!$C$23/100*(O23-25)</f>
        <v>194.39342837450789</v>
      </c>
      <c r="Q23" s="165">
        <f ca="1">(1-Constants!$C$20/1000000000*Design!$B$33*1000000) * ($C$2+C23-B23*P23/1000) - (C23+B23*Design!$B$42/1000)</f>
        <v>7.1852957385470013</v>
      </c>
      <c r="R23" s="165">
        <f ca="1">IF(Q23&gt;Design!$C$29,Design!$C$29,Q23)</f>
        <v>4.9990521327014221</v>
      </c>
      <c r="S23" s="165">
        <f t="shared" ca="1" si="63"/>
        <v>1.3326536149318393</v>
      </c>
      <c r="T23" s="165">
        <f t="shared" ca="1" si="64"/>
        <v>11.2478672985782</v>
      </c>
      <c r="U23" s="450">
        <f t="shared" ca="1" si="65"/>
        <v>89.407007674056459</v>
      </c>
      <c r="V23" s="457">
        <f t="shared" si="58"/>
        <v>2.25</v>
      </c>
      <c r="W23" s="458">
        <f ca="1">FORECAST(V23, OFFSET(Design!$C$15:$C$17,MATCH(V23,Design!$B$15:$B$17,1)-1,0,2), OFFSET(Design!$B$15:$B$17,MATCH(V23,Design!$B$15:$B$17,1)-1,0,2))+(AH23-25)*Design!$B$18/1000</f>
        <v>0.37993933160686533</v>
      </c>
      <c r="X23" s="184">
        <f ca="1">IF(100*(Design!$C$29+W23+V23*IF(ISBLANK(Design!$B$42),Constants!$C$6,Design!$B$42)/1000*(1+Constants!$C$36/100*(AI23-25)))/($W$2+W23-V23*AJ23/1000)&gt;Design!$C$36,Design!$C$36,100*(Design!$C$29+W23+V23*IF(ISBLANK(Design!$B$42),Constants!$C$6,Design!$B$42)/1000*(1+Constants!$C$36/100*(AI23-25)))/($W$2+W23-V23*AJ23/1000))</f>
        <v>46.004166084847171</v>
      </c>
      <c r="Y23" s="183">
        <f ca="1">($W$2-V23*IF(ISBLANK(Design!$B$42),Constants!$C$6,Design!$B$42)/1000*(1+Constants!$C$36/100*(AI23-25))-Design!$C$29) / (IF(ISBLANK(Design!$B$41),Design!$B$39,Design!$B$41)/1000000) * X23/100/(IF(ISBLANK(Design!$B$33),Design!$B$32,Design!$B$33)*1000000)</f>
        <v>0.74493661064072014</v>
      </c>
      <c r="Z23" s="183">
        <f>$W$2*Constants!$C$21/1000+IF(ISBLANK(Design!$B$33),Design!$B$32,Design!$B$33)*1000000*Constants!$D$25/1000000000*($W$2-Constants!$C$24)</f>
        <v>5.0874999999999997E-2</v>
      </c>
      <c r="AA23" s="183">
        <f>$W$2*V23*($W$2/(Constants!$C$26*1000000000)*IF(ISBLANK(Design!$B$33),Design!$B$32,Design!$B$33)*1000000/2+$W$2/(Constants!$C$27*1000000000)*IF(ISBLANK(Design!$B$33),Design!$B$32,Design!$B$33)*1000000/2)</f>
        <v>0.13770000000000002</v>
      </c>
      <c r="AB23" s="183">
        <f t="shared" ca="1" si="66"/>
        <v>0.447961379943766</v>
      </c>
      <c r="AC23" s="183">
        <f>Constants!$D$25/1000000000*Constants!$C$24*IF(ISBLANK(Design!$B$33),Design!$B$32,Design!$B$33)*1000000</f>
        <v>1.0624999999999999E-2</v>
      </c>
      <c r="AD23" s="183">
        <f t="shared" ca="1" si="67"/>
        <v>0.64716137994376599</v>
      </c>
      <c r="AE23" s="183">
        <f t="shared" ca="1" si="68"/>
        <v>0.46159067356376576</v>
      </c>
      <c r="AF23" s="183">
        <f ca="1">V23^2*IF(ISBLANK(Design!$B$42),Constants!$C$6,Design!$B$42)/1000*(1+(AI23-25)*(Constants!$C$36/100))</f>
        <v>0.26776042497658742</v>
      </c>
      <c r="AG23" s="183">
        <f>0.5*Snubber!$B$16/1000000000000*$W$2^2*Design!$B$33*1000000</f>
        <v>1.0097999999999999E-2</v>
      </c>
      <c r="AH23" s="184">
        <f ca="1">$A23+AE23*Design!$B$19</f>
        <v>111.31066839313465</v>
      </c>
      <c r="AI23" s="184">
        <f ca="1">AD23*Design!$C$12+$A23</f>
        <v>107.00348691808804</v>
      </c>
      <c r="AJ23" s="184">
        <f ca="1">Constants!$D$22+Constants!$D$22*Constants!$C$23/100*(AI23-25)</f>
        <v>190.60278953447045</v>
      </c>
      <c r="AK23" s="183">
        <f ca="1">(1-Constants!$C$20/1000000000*Design!$B$33*1000000) * ($W$2+W23-V23*AJ23/1000) - (W23+V23*Design!$B$42/1000)</f>
        <v>11.049410848179994</v>
      </c>
      <c r="AL23" s="183">
        <f ca="1">IF(AK23&gt;Design!$C$29,Design!$C$29,AK23)</f>
        <v>4.9990521327014221</v>
      </c>
      <c r="AM23" s="183">
        <f t="shared" ca="1" si="69"/>
        <v>1.3866104784841191</v>
      </c>
      <c r="AN23" s="183">
        <f t="shared" ca="1" si="70"/>
        <v>11.2478672985782</v>
      </c>
      <c r="AO23" s="459">
        <f t="shared" ca="1" si="71"/>
        <v>89.025185662984128</v>
      </c>
      <c r="AP23" s="466">
        <f t="shared" si="59"/>
        <v>2.25</v>
      </c>
      <c r="AQ23" s="467">
        <f ca="1">FORECAST(AP23, OFFSET(Design!$C$15:$C$17,MATCH(AP23,Design!$B$15:$B$17,1)-1,0,2), OFFSET(Design!$B$15:$B$17,MATCH(AP23,Design!$B$15:$B$17,1)-1,0,2))+(BB23-25)*Design!$B$18/1000</f>
        <v>0.37474593876652501</v>
      </c>
      <c r="AR23" s="196">
        <f ca="1">IF(100*(Design!$C$29+AQ23+AP23*IF(ISBLANK(Design!$B$42),Constants!$C$6,Design!$B$42)/1000*(1+Constants!$C$36/100*(BC23-25)))/($AQ$2+AQ23-AP23*BD23/1000)&gt;Design!$C$36,Design!$C$36,100*(Design!$C$29+AQ23+AP23*IF(ISBLANK(Design!$B$42),Constants!$C$6,Design!$B$42)/1000*(1+Constants!$C$36/100*(BC23-25)))/($AQ$2+AQ23-AP23*BD23/1000))</f>
        <v>34.450069710140674</v>
      </c>
      <c r="AS23" s="195">
        <f ca="1">($AQ$2-AP23*IF(ISBLANK(Design!$B$42),Constants!$C$6,Design!$B$42)/1000*(1+Constants!$C$36/100*(BC23-25))-Design!$C$29) / (IF(ISBLANK(Design!$B$41),Design!$B$39,Design!$B$41)/1000000) * AR23/100/(IF(ISBLANK(Design!$B$33),Design!$B$32,Design!$B$33)*1000000)</f>
        <v>0.88206259582795221</v>
      </c>
      <c r="AT23" s="195">
        <f>$AQ$2*Constants!$C$21/1000+IF(ISBLANK(Design!$B$33),Design!$B$32,Design!$B$33)*1000000*Constants!$D$25/1000000000*($AQ$2-Constants!$C$24)</f>
        <v>7.1374999999999994E-2</v>
      </c>
      <c r="AU23" s="195">
        <f>$AQ$2*AP23*($AQ$2/(Constants!$C$26*1000000000)*IF(ISBLANK(Design!$B$33),Design!$B$32,Design!$B$33)*1000000/2+$AQ$2/(Constants!$C$27*1000000000)*IF(ISBLANK(Design!$B$33),Design!$B$32,Design!$B$33)*1000000/2)</f>
        <v>0.24480000000000002</v>
      </c>
      <c r="AV23" s="195">
        <f t="shared" ca="1" si="72"/>
        <v>0.3374985819083397</v>
      </c>
      <c r="AW23" s="195">
        <f>Constants!$D$25/1000000000*Constants!$C$24*IF(ISBLANK(Design!$B$33),Design!$B$32,Design!$B$33)*1000000</f>
        <v>1.0624999999999999E-2</v>
      </c>
      <c r="AX23" s="195">
        <f t="shared" ca="1" si="73"/>
        <v>0.66429858190833968</v>
      </c>
      <c r="AY23" s="195">
        <f t="shared" ca="1" si="74"/>
        <v>0.55270282865745612</v>
      </c>
      <c r="AZ23" s="195">
        <f ca="1">AP23^2*IF(ISBLANK(Design!$B$42),Constants!$C$6,Design!$B$42)/1000*(1+(BC23-25)*(Constants!$C$36/100))</f>
        <v>0.268224124244205</v>
      </c>
      <c r="BA23" s="195">
        <f>0.5*Snubber!$B$16/1000000000000*$AQ$2^2*Design!$B$33*1000000</f>
        <v>1.7951999999999999E-2</v>
      </c>
      <c r="BB23" s="196">
        <f ca="1">$A23+AY23*Design!$B$19</f>
        <v>116.504061233475</v>
      </c>
      <c r="BC23" s="196">
        <f ca="1">AX23*Design!$C$12+$A23</f>
        <v>107.58615178488355</v>
      </c>
      <c r="BD23" s="196">
        <f ca="1">Constants!$D$22+Constants!$D$22*Constants!$C$23/100*(BC23-25)</f>
        <v>191.06892142790684</v>
      </c>
      <c r="BE23" s="195">
        <f ca="1">(1-Constants!$C$20/1000000000*Design!$B$33*1000000) * ($AQ$2+AQ23-AP23*BD23/1000) - (AQ23+AP23*Design!$B$42/1000)</f>
        <v>14.904087550519083</v>
      </c>
      <c r="BF23" s="195">
        <f ca="1">IF(BE23&gt;Design!$C$29,Design!$C$29,BE23)</f>
        <v>4.9990521327014221</v>
      </c>
      <c r="BG23" s="195">
        <f t="shared" ca="1" si="75"/>
        <v>1.5031775348100007</v>
      </c>
      <c r="BH23" s="195">
        <f t="shared" ca="1" si="76"/>
        <v>11.2478672985782</v>
      </c>
      <c r="BI23" s="468">
        <f t="shared" ca="1" si="77"/>
        <v>88.211338329907065</v>
      </c>
    </row>
    <row r="24" spans="1:61" ht="12.75" customHeight="1" thickBot="1">
      <c r="A24" s="121">
        <f>Design!$D$13</f>
        <v>85</v>
      </c>
      <c r="B24" s="451">
        <f t="shared" si="57"/>
        <v>2.5</v>
      </c>
      <c r="C24" s="452">
        <f ca="1">FORECAST(B24, OFFSET(Design!$C$15:$C$17,MATCH(B24,Design!$B$15:$B$17,1)-1,0,2), OFFSET(Design!$B$15:$B$17,MATCH(B24,Design!$B$15:$B$17,1)-1,0,2))+(N24-25)*Design!$B$18/1000</f>
        <v>0.39561740520176097</v>
      </c>
      <c r="D24" s="168">
        <f ca="1">IF(100*(Design!$C$29+C24+B24*IF(ISBLANK(Design!$B$42),Constants!$C$6,Design!$B$42)/1000*(1+Constants!$C$36/100*(O24-25)))/($C$2+C24-B24*P24/1000)&gt;Design!$C$36,Design!$C$36,100*(Design!$C$29+C24+B24*IF(ISBLANK(Design!$B$42),Constants!$C$6,Design!$B$42)/1000*(1+Constants!$C$36/100*(O24-25)))/($C$2+C24-B24*P24/1000))</f>
        <v>70.053302027774549</v>
      </c>
      <c r="E24" s="167">
        <f ca="1">IF(($C$2-B24*IF(ISBLANK(Design!$B$42),Constants!$C$6,Design!$B$42)/1000*(1+Constants!$C$36/100*(O24-25))-Design!$C$29) / (IF(ISBLANK(Design!$B$41),Design!$B$39,Design!$B$41)/1000000) * D24/100/(IF(ISBLANK(Design!$B$33),Design!$B$32,Design!$B$33)*1000000)&lt;0,0,($C$2-B24*IF(ISBLANK(Design!$B$42),Constants!$C$6,Design!$B$42)/1000*(1+Constants!$C$36/100*(O24-25))-Design!$C$29) / (IF(ISBLANK(Design!$B$41),Design!$B$39,Design!$B$41)/1000000) * D24/100/(IF(ISBLANK(Design!$B$33),Design!$B$32,Design!$B$33)*1000000))</f>
        <v>0.47210745463058762</v>
      </c>
      <c r="F24" s="167">
        <f>$C$2*Constants!$C$21/1000+IF(ISBLANK(Design!$B$33),Design!$B$32,Design!$B$33)*1000000*Constants!$D$25/1000000000*($C$2-Constants!$C$24)</f>
        <v>3.0374999999999999E-2</v>
      </c>
      <c r="G24" s="167">
        <f>$C$2*B24*($C$2/(Constants!$C$26*1000000000)*IF(ISBLANK(Design!$B$33),Design!$B$32,Design!$B$33)*1000000/2+$C$2/(Constants!$C$27*1000000000)*IF(ISBLANK(Design!$B$33),Design!$B$32,Design!$B$33)*1000000/2)</f>
        <v>6.8000000000000005E-2</v>
      </c>
      <c r="H24" s="167">
        <f t="shared" ca="1" si="60"/>
        <v>0.87753901297167891</v>
      </c>
      <c r="I24" s="167">
        <f>Constants!$D$25/1000000000*Constants!$C$24*IF(ISBLANK(Design!$B$33),Design!$B$32,Design!$B$33)*1000000</f>
        <v>1.0624999999999999E-2</v>
      </c>
      <c r="J24" s="167">
        <f t="shared" ca="1" si="61"/>
        <v>0.9865390129716789</v>
      </c>
      <c r="K24" s="167">
        <f t="shared" ca="1" si="62"/>
        <v>0.29618587365331678</v>
      </c>
      <c r="L24" s="167">
        <f ca="1">B24^2*IF(ISBLANK(Design!$B$42),Constants!$C$6,Design!$B$42)/1000*(1+(O24-25)*(Constants!$C$36/100))</f>
        <v>0.34190533572831894</v>
      </c>
      <c r="M24" s="167">
        <f>0.5*Snubber!$B$16/1000000000000*$C$2^2*Design!$B$33*1000000</f>
        <v>4.4879999999999998E-3</v>
      </c>
      <c r="N24" s="168">
        <f ca="1">$A24+K24*Design!$B$19</f>
        <v>101.88259479823905</v>
      </c>
      <c r="O24" s="168">
        <f ca="1">J24*Design!$C$12+A24</f>
        <v>118.54232644103709</v>
      </c>
      <c r="P24" s="168">
        <f ca="1">Constants!$D$22+Constants!$D$22*Constants!$C$23/100*(O24-25)</f>
        <v>199.83386115282968</v>
      </c>
      <c r="Q24" s="167">
        <f ca="1">(1-Constants!$C$20/1000000000*Design!$B$33*1000000) * ($C$2+C24-B24*P24/1000) - (C24+B24*Design!$B$42/1000)</f>
        <v>7.1151711639403779</v>
      </c>
      <c r="R24" s="167">
        <f ca="1">IF(Q24&gt;Design!$C$29,Design!$C$29,Q24)</f>
        <v>4.9990521327014221</v>
      </c>
      <c r="S24" s="167">
        <f t="shared" ca="1" si="63"/>
        <v>1.6291182223533147</v>
      </c>
      <c r="T24" s="167">
        <f t="shared" ca="1" si="64"/>
        <v>12.497630331753555</v>
      </c>
      <c r="U24" s="453">
        <f t="shared" ca="1" si="65"/>
        <v>88.467847246564716</v>
      </c>
      <c r="V24" s="460">
        <f t="shared" si="58"/>
        <v>2.5</v>
      </c>
      <c r="W24" s="461">
        <f ca="1">FORECAST(V24, OFFSET(Design!$C$15:$C$17,MATCH(V24,Design!$B$15:$B$17,1)-1,0,2), OFFSET(Design!$B$15:$B$17,MATCH(V24,Design!$B$15:$B$17,1)-1,0,2))+(AH24-25)*Design!$B$18/1000</f>
        <v>0.38321114697911546</v>
      </c>
      <c r="X24" s="188">
        <f ca="1">IF(100*(Design!$C$29+W24+V24*IF(ISBLANK(Design!$B$42),Constants!$C$6,Design!$B$42)/1000*(1+Constants!$C$36/100*(AI24-25)))/($W$2+W24-V24*AJ24/1000)&gt;Design!$C$36,Design!$C$36,100*(Design!$C$29+W24+V24*IF(ISBLANK(Design!$B$42),Constants!$C$6,Design!$B$42)/1000*(1+Constants!$C$36/100*(AI24-25)))/($W$2+W24-V24*AJ24/1000))</f>
        <v>46.364866394641773</v>
      </c>
      <c r="Y24" s="187">
        <f ca="1">($W$2-V24*IF(ISBLANK(Design!$B$42),Constants!$C$6,Design!$B$42)/1000*(1+Constants!$C$36/100*(AI24-25))-Design!$C$29) / (IF(ISBLANK(Design!$B$41),Design!$B$39,Design!$B$41)/1000000) * X24/100/(IF(ISBLANK(Design!$B$33),Design!$B$32,Design!$B$33)*1000000)</f>
        <v>0.74913880933622201</v>
      </c>
      <c r="Z24" s="187">
        <f>$W$2*Constants!$C$21/1000+IF(ISBLANK(Design!$B$33),Design!$B$32,Design!$B$33)*1000000*Constants!$D$25/1000000000*($W$2-Constants!$C$24)</f>
        <v>5.0874999999999997E-2</v>
      </c>
      <c r="AA24" s="187">
        <f>$W$2*V24*($W$2/(Constants!$C$26*1000000000)*IF(ISBLANK(Design!$B$33),Design!$B$32,Design!$B$33)*1000000/2+$W$2/(Constants!$C$27*1000000000)*IF(ISBLANK(Design!$B$33),Design!$B$32,Design!$B$33)*1000000/2)</f>
        <v>0.15300000000000002</v>
      </c>
      <c r="AB24" s="187">
        <f t="shared" ca="1" si="66"/>
        <v>0.56714160193796759</v>
      </c>
      <c r="AC24" s="187">
        <f>Constants!$D$25/1000000000*Constants!$C$24*IF(ISBLANK(Design!$B$33),Design!$B$32,Design!$B$33)*1000000</f>
        <v>1.0624999999999999E-2</v>
      </c>
      <c r="AD24" s="187">
        <f t="shared" ca="1" si="67"/>
        <v>0.78164160193796761</v>
      </c>
      <c r="AE24" s="187">
        <f t="shared" ca="1" si="68"/>
        <v>0.51383952668218569</v>
      </c>
      <c r="AF24" s="187">
        <f ca="1">V24^2*IF(ISBLANK(Design!$B$42),Constants!$C$6,Design!$B$42)/1000*(1+(AI24-25)*(Constants!$C$36/100))</f>
        <v>0.33506073771273781</v>
      </c>
      <c r="AG24" s="187">
        <f>0.5*Snubber!$B$16/1000000000000*$W$2^2*Design!$B$33*1000000</f>
        <v>1.0097999999999999E-2</v>
      </c>
      <c r="AH24" s="188">
        <f ca="1">$A24+AE24*Design!$B$19</f>
        <v>114.28885302088459</v>
      </c>
      <c r="AI24" s="188">
        <f ca="1">AD24*Design!$C$12+$A24</f>
        <v>111.5758144658909</v>
      </c>
      <c r="AJ24" s="188">
        <f ca="1">Constants!$D$22+Constants!$D$22*Constants!$C$23/100*(AI24-25)</f>
        <v>194.26065157271273</v>
      </c>
      <c r="AK24" s="187">
        <f ca="1">(1-Constants!$C$20/1000000000*Design!$B$33*1000000) * ($W$2+W24-V24*AJ24/1000) - (W24+V24*Design!$B$42/1000)</f>
        <v>10.984549033478759</v>
      </c>
      <c r="AL24" s="187">
        <f ca="1">IF(AK24&gt;Design!$C$29,Design!$C$29,AK24)</f>
        <v>4.9990521327014221</v>
      </c>
      <c r="AM24" s="187">
        <f t="shared" ca="1" si="69"/>
        <v>1.6406398663328912</v>
      </c>
      <c r="AN24" s="187">
        <f t="shared" ca="1" si="70"/>
        <v>12.497630331753555</v>
      </c>
      <c r="AO24" s="462">
        <f t="shared" ca="1" si="71"/>
        <v>88.395752497678643</v>
      </c>
      <c r="AP24" s="469">
        <f t="shared" si="59"/>
        <v>2.5</v>
      </c>
      <c r="AQ24" s="470">
        <f ca="1">FORECAST(AP24, OFFSET(Design!$C$15:$C$17,MATCH(AP24,Design!$B$15:$B$17,1)-1,0,2), OFFSET(Design!$B$15:$B$17,MATCH(AP24,Design!$B$15:$B$17,1)-1,0,2))+(BB24-25)*Design!$B$18/1000</f>
        <v>0.37737092906303937</v>
      </c>
      <c r="AR24" s="199">
        <f ca="1">IF(100*(Design!$C$29+AQ24+AP24*IF(ISBLANK(Design!$B$42),Constants!$C$6,Design!$B$42)/1000*(1+Constants!$C$36/100*(BC24-25)))/($AQ$2+AQ24-AP24*BD24/1000)&gt;Design!$C$36,Design!$C$36,100*(Design!$C$29+AQ24+AP24*IF(ISBLANK(Design!$B$42),Constants!$C$6,Design!$B$42)/1000*(1+Constants!$C$36/100*(BC24-25)))/($AQ$2+AQ24-AP24*BD24/1000))</f>
        <v>34.674407310355861</v>
      </c>
      <c r="AS24" s="198">
        <f ca="1">($AQ$2-AP24*IF(ISBLANK(Design!$B$42),Constants!$C$6,Design!$B$42)/1000*(1+Constants!$C$36/100*(BC24-25))-Design!$C$29) / (IF(ISBLANK(Design!$B$41),Design!$B$39,Design!$B$41)/1000000) * AR24/100/(IF(ISBLANK(Design!$B$33),Design!$B$32,Design!$B$33)*1000000)</f>
        <v>0.88660055610706834</v>
      </c>
      <c r="AT24" s="198">
        <f>$AQ$2*Constants!$C$21/1000+IF(ISBLANK(Design!$B$33),Design!$B$32,Design!$B$33)*1000000*Constants!$D$25/1000000000*($AQ$2-Constants!$C$24)</f>
        <v>7.1374999999999994E-2</v>
      </c>
      <c r="AU24" s="198">
        <f>$AQ$2*AP24*($AQ$2/(Constants!$C$26*1000000000)*IF(ISBLANK(Design!$B$33),Design!$B$32,Design!$B$33)*1000000/2+$AQ$2/(Constants!$C$27*1000000000)*IF(ISBLANK(Design!$B$33),Design!$B$32,Design!$B$33)*1000000/2)</f>
        <v>0.27200000000000002</v>
      </c>
      <c r="AV24" s="198">
        <f t="shared" ca="1" si="72"/>
        <v>0.42526269875785344</v>
      </c>
      <c r="AW24" s="198">
        <f>Constants!$D$25/1000000000*Constants!$C$24*IF(ISBLANK(Design!$B$33),Design!$B$32,Design!$B$33)*1000000</f>
        <v>1.0624999999999999E-2</v>
      </c>
      <c r="AX24" s="198">
        <f t="shared" ca="1" si="73"/>
        <v>0.77926269875785337</v>
      </c>
      <c r="AY24" s="198">
        <f t="shared" ca="1" si="74"/>
        <v>0.6162994901221176</v>
      </c>
      <c r="AZ24" s="198">
        <f ca="1">AP24^2*IF(ISBLANK(Design!$B$42),Constants!$C$6,Design!$B$42)/1000*(1+(BC24-25)*(Constants!$C$36/100))</f>
        <v>0.3349812704520061</v>
      </c>
      <c r="BA24" s="198">
        <f>0.5*Snubber!$B$16/1000000000000*$AQ$2^2*Design!$B$33*1000000</f>
        <v>1.7951999999999999E-2</v>
      </c>
      <c r="BB24" s="199">
        <f ca="1">$A24+AY24*Design!$B$19</f>
        <v>120.1290709369607</v>
      </c>
      <c r="BC24" s="199">
        <f ca="1">AX24*Design!$C$12+$A24</f>
        <v>111.49493175776701</v>
      </c>
      <c r="BD24" s="199">
        <f ca="1">Constants!$D$22+Constants!$D$22*Constants!$C$23/100*(BC24-25)</f>
        <v>194.19594540621361</v>
      </c>
      <c r="BE24" s="198">
        <f ca="1">(1-Constants!$C$20/1000000000*Design!$B$33*1000000) * ($AQ$2+AQ24-AP24*BD24/1000) - (AQ24+AP24*Design!$B$42/1000)</f>
        <v>14.840415932991565</v>
      </c>
      <c r="BF24" s="198">
        <f ca="1">IF(BE24&gt;Design!$C$29,Design!$C$29,BE24)</f>
        <v>4.9990521327014221</v>
      </c>
      <c r="BG24" s="198">
        <f t="shared" ca="1" si="75"/>
        <v>1.748495459331977</v>
      </c>
      <c r="BH24" s="198">
        <f t="shared" ca="1" si="76"/>
        <v>12.497630331753555</v>
      </c>
      <c r="BI24" s="471">
        <f t="shared" ca="1" si="77"/>
        <v>87.72651958172311</v>
      </c>
    </row>
    <row r="25" spans="1:61">
      <c r="A25" s="130"/>
      <c r="G25" s="151"/>
    </row>
    <row r="27" spans="1:61">
      <c r="G27" s="11"/>
    </row>
    <row r="75" spans="2:9" ht="15.75" thickBot="1"/>
    <row r="76" spans="2:9">
      <c r="B76" s="203" t="s">
        <v>199</v>
      </c>
      <c r="C76" s="148"/>
      <c r="D76" s="148"/>
      <c r="E76" s="148"/>
      <c r="F76" s="148"/>
      <c r="H76" s="239">
        <v>0</v>
      </c>
      <c r="I76" s="240">
        <v>155</v>
      </c>
    </row>
    <row r="77" spans="2:9" ht="15.75" thickBot="1">
      <c r="B77" s="201" t="s">
        <v>224</v>
      </c>
      <c r="C77" s="149"/>
      <c r="D77" s="149"/>
      <c r="E77" s="149"/>
      <c r="F77" s="152"/>
      <c r="H77" s="241">
        <v>3.5</v>
      </c>
      <c r="I77" s="242">
        <v>155</v>
      </c>
    </row>
    <row r="78" spans="2:9">
      <c r="B78" s="202" t="s">
        <v>200</v>
      </c>
      <c r="C78" s="150"/>
      <c r="D78" s="129">
        <v>0</v>
      </c>
      <c r="F78" s="11"/>
    </row>
  </sheetData>
  <sheetProtection password="83AF" sheet="1" objects="1" scenarios="1"/>
  <mergeCells count="1">
    <mergeCell ref="A1:BI1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U115"/>
  <sheetViews>
    <sheetView topLeftCell="A88" zoomScaleNormal="100" workbookViewId="0">
      <selection activeCell="AM78" sqref="AM78"/>
    </sheetView>
  </sheetViews>
  <sheetFormatPr defaultRowHeight="15"/>
  <cols>
    <col min="1" max="6" width="6.7109375" style="1" customWidth="1"/>
    <col min="7" max="16" width="6.7109375" style="155" customWidth="1"/>
    <col min="17" max="47" width="6.7109375" customWidth="1"/>
  </cols>
  <sheetData>
    <row r="1" spans="1:47" ht="24" customHeight="1" thickBot="1">
      <c r="A1" s="430" t="s">
        <v>169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30"/>
      <c r="AI1" s="430"/>
      <c r="AJ1" s="430"/>
      <c r="AK1" s="430"/>
      <c r="AL1" s="430"/>
      <c r="AM1" s="430"/>
      <c r="AN1" s="430"/>
      <c r="AO1" s="430"/>
      <c r="AP1" s="430"/>
      <c r="AQ1" s="430"/>
      <c r="AR1" s="430"/>
      <c r="AS1" s="430"/>
      <c r="AT1" s="430"/>
      <c r="AU1" s="430"/>
    </row>
    <row r="2" spans="1:47" s="228" customFormat="1" ht="18" customHeight="1">
      <c r="A2" s="238" t="s">
        <v>268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</row>
    <row r="3" spans="1:47" s="158" customFormat="1" thickBot="1">
      <c r="A3" s="210" t="s">
        <v>198</v>
      </c>
      <c r="B3" s="235" t="s">
        <v>108</v>
      </c>
      <c r="C3" s="208" t="s">
        <v>94</v>
      </c>
      <c r="D3" s="208" t="s">
        <v>223</v>
      </c>
      <c r="E3" s="200" t="s">
        <v>221</v>
      </c>
      <c r="F3" s="200" t="s">
        <v>222</v>
      </c>
      <c r="G3" s="200" t="s">
        <v>95</v>
      </c>
      <c r="H3" s="200" t="s">
        <v>96</v>
      </c>
      <c r="I3" s="200" t="s">
        <v>97</v>
      </c>
      <c r="J3" s="200" t="s">
        <v>186</v>
      </c>
      <c r="K3" s="200" t="s">
        <v>241</v>
      </c>
      <c r="L3" s="200" t="s">
        <v>243</v>
      </c>
      <c r="M3" s="200" t="s">
        <v>270</v>
      </c>
      <c r="N3" s="200" t="s">
        <v>271</v>
      </c>
      <c r="O3" s="200" t="s">
        <v>113</v>
      </c>
      <c r="P3" s="200" t="s">
        <v>235</v>
      </c>
      <c r="Q3" s="211" t="s">
        <v>234</v>
      </c>
      <c r="R3" s="208" t="s">
        <v>94</v>
      </c>
      <c r="S3" s="208" t="s">
        <v>223</v>
      </c>
      <c r="T3" s="200" t="s">
        <v>221</v>
      </c>
      <c r="U3" s="200" t="s">
        <v>222</v>
      </c>
      <c r="V3" s="200" t="s">
        <v>95</v>
      </c>
      <c r="W3" s="200" t="s">
        <v>96</v>
      </c>
      <c r="X3" s="200" t="s">
        <v>97</v>
      </c>
      <c r="Y3" s="200" t="s">
        <v>186</v>
      </c>
      <c r="Z3" s="200" t="s">
        <v>98</v>
      </c>
      <c r="AA3" s="200" t="s">
        <v>243</v>
      </c>
      <c r="AB3" s="200" t="s">
        <v>270</v>
      </c>
      <c r="AC3" s="200" t="s">
        <v>271</v>
      </c>
      <c r="AD3" s="200" t="s">
        <v>113</v>
      </c>
      <c r="AE3" s="200" t="s">
        <v>235</v>
      </c>
      <c r="AF3" s="211" t="s">
        <v>234</v>
      </c>
      <c r="AG3" s="208" t="s">
        <v>94</v>
      </c>
      <c r="AH3" s="208" t="s">
        <v>223</v>
      </c>
      <c r="AI3" s="200" t="s">
        <v>221</v>
      </c>
      <c r="AJ3" s="200" t="s">
        <v>222</v>
      </c>
      <c r="AK3" s="200" t="s">
        <v>95</v>
      </c>
      <c r="AL3" s="200" t="s">
        <v>96</v>
      </c>
      <c r="AM3" s="200" t="s">
        <v>97</v>
      </c>
      <c r="AN3" s="200" t="s">
        <v>186</v>
      </c>
      <c r="AO3" s="200" t="s">
        <v>98</v>
      </c>
      <c r="AP3" s="200" t="s">
        <v>243</v>
      </c>
      <c r="AQ3" s="200" t="s">
        <v>270</v>
      </c>
      <c r="AR3" s="200" t="s">
        <v>271</v>
      </c>
      <c r="AS3" s="200" t="s">
        <v>113</v>
      </c>
      <c r="AT3" s="200" t="s">
        <v>235</v>
      </c>
      <c r="AU3" s="211" t="s">
        <v>234</v>
      </c>
    </row>
    <row r="4" spans="1:47" s="120" customFormat="1" ht="12.75" customHeight="1">
      <c r="A4" s="159">
        <f>Design!$D$13</f>
        <v>85</v>
      </c>
      <c r="B4" s="160">
        <f t="shared" ref="B4:B43" si="0">$B5+$AU$88</f>
        <v>11.999999999999995</v>
      </c>
      <c r="C4" s="161">
        <f>Design!$D$7</f>
        <v>2.5</v>
      </c>
      <c r="D4" s="161">
        <f ca="1">FORECAST(C4, OFFSET(Design!$C$15:$C$17,MATCH(C4,Design!$B$15:$B$17,1)-1,0,2), OFFSET(Design!$B$15:$B$17,MATCH(C4,Design!$B$15:$B$17,1)-1,0,2))+(M4-25)*Design!$B$18/1000</f>
        <v>0.38321114697911546</v>
      </c>
      <c r="E4" s="172">
        <f ca="1">IF(100*(Design!$C$29+D4+C4*IF(ISBLANK(Design!$B$42),Constants!$C$6,Design!$B$42)/1000*(1+Constants!$C$36/100*(N4-25)))/($B4+D4-C4*O4/1000)&gt;Design!$C$36,Design!$C$36,100*(Design!$C$29+D4+C4*IF(ISBLANK(Design!$B$42),Constants!$C$6,Design!$B$42)/1000*(1+Constants!$C$36/100*(N4-25)))/($B4+D4-C4*O4/1000))</f>
        <v>46.364866394641794</v>
      </c>
      <c r="F4" s="162">
        <f ca="1">IF(($B4-C4*IF(ISBLANK(Design!$B$42),Constants!$C$6,Design!$B$42)/1000*(1+Constants!$C$36/100*(N4-25))-Design!$C$29)/(IF(ISBLANK(Design!$B$41),Design!$B$39,Design!$B$41)/1000000)*E4/100/(IF(ISBLANK(Design!$B$33),Design!$B$32,Design!$B$33)*1000000)&lt;0, 0, ($B4-C4*IF(ISBLANK(Design!$B$42),Constants!$C$6,Design!$B$42)/1000*(1+Constants!$C$36/100*(N4-25))-Design!$C$29)/(IF(ISBLANK(Design!$B$41),Design!$B$39,Design!$B$41)/1000000)*E4/100/(IF(ISBLANK(Design!$B$33),Design!$B$32,Design!$B$33)*1000000))</f>
        <v>0.74913880933622168</v>
      </c>
      <c r="G4" s="163">
        <f>B4*Constants!$C$21/1000+IF(ISBLANK(Design!$B$33),Design!$B$32,Design!$B$33)*1000000*Constants!$D$25/1000000000*(B4-Constants!$C$24)</f>
        <v>5.0874999999999976E-2</v>
      </c>
      <c r="H4" s="163">
        <f>B4*C4*(B4/(Constants!$C$26*1000000000)*IF(ISBLANK(Design!$B$33),Design!$B$32,Design!$B$33)*1000000/2+B4/(Constants!$C$27*1000000000)*IF(ISBLANK(Design!$B$33),Design!$B$32,Design!$B$33)*1000000/2)</f>
        <v>0.15299999999999986</v>
      </c>
      <c r="I4" s="163">
        <f t="shared" ref="I4:I44" ca="1" si="1">IF($D$115,1,E4/100*(C4^2+F4^2/12)*O4/1000)</f>
        <v>0.56714160193796781</v>
      </c>
      <c r="J4" s="163">
        <f>Constants!$D$25/1000000000*Constants!$C$24*IF(ISBLANK(Design!$B$33),Design!$B$32,Design!$B$33)*1000000</f>
        <v>1.0624999999999999E-2</v>
      </c>
      <c r="K4" s="163">
        <f ca="1">SUM(G4:J4)</f>
        <v>0.78164160193796761</v>
      </c>
      <c r="L4" s="163">
        <f ca="1">C4*D4*(1-E4/100)</f>
        <v>0.51383952668218547</v>
      </c>
      <c r="M4" s="164">
        <f ca="1">$A4+L4*Design!$B$19</f>
        <v>114.28885302088457</v>
      </c>
      <c r="N4" s="164">
        <f ca="1">K4*Design!$C$12+A4</f>
        <v>111.5758144658909</v>
      </c>
      <c r="O4" s="164">
        <f ca="1">Constants!$D$22+Constants!$D$22*Constants!$C$23/100*(N4-25)</f>
        <v>194.26065157271273</v>
      </c>
      <c r="P4" s="163">
        <f ca="1">(1-Constants!$C$20/1000000000*Design!$B$33*1000000) * ($B4+D4-C4*O4/1000) - (D4+C4*(1+($A4-25)*Constants!$C$36/100)*IF(ISBLANK(Design!$B$42),Constants!$C$6/1000,Design!$B$42/1000))</f>
        <v>10.960969033478754</v>
      </c>
      <c r="Q4" s="170">
        <f ca="1">IF(P4&gt;Design!$C$29,Design!$C$29,P4)</f>
        <v>4.9990521327014221</v>
      </c>
      <c r="R4" s="175">
        <f>2*Design!$D$7/3</f>
        <v>1.6666666666666667</v>
      </c>
      <c r="S4" s="176">
        <f ca="1">FORECAST(R4, OFFSET(Design!$C$15:$C$17,MATCH(R4,Design!$B$15:$B$17,1)-1,0,2), OFFSET(Design!$B$15:$B$17,MATCH(R4,Design!$B$15:$B$17,1)-1,0,2))+(AB4-25)*Design!$B$18/1000</f>
        <v>0.3555482542656192</v>
      </c>
      <c r="T4" s="177">
        <f ca="1">IF(100*(Design!$C$29+S4+R4*IF(ISBLANK(Design!$B$42),Constants!$C$6,Design!$B$42)/1000*(1+Constants!$C$36/100*(AC4-25)))/($B4+S4-R4*AD4/1000)&gt;Design!$C$36,Design!$C$36,100*(Design!$C$29+S4+R4*IF(ISBLANK(Design!$B$42),Constants!$C$6,Design!$B$42)/1000*(1+Constants!$C$36/100*(AC4-25)))/($B4+S4-R4*AD4/1000))</f>
        <v>45.152696652815351</v>
      </c>
      <c r="U4" s="178">
        <f ca="1">IF(($B4-R4*IF(ISBLANK(Design!$B$42),Constants!$C$6,Design!$B$42)/1000*(1+Constants!$C$36/100*(AC4-25))-Design!$C$29)/(Design!$B$41/1000000)*T4/100/(IF(ISBLANK(IF(ISBLANK(Design!$B$41),Design!$B$39,Design!$B$41)),Design!$B$32,Design!$B$33)*1000000)&lt;0,0,($B4-R4*IF(ISBLANK(Design!$B$42),Constants!$C$6,Design!$B$42)/1000*(1+Constants!$C$36/100*(AC4-25))-Design!$C$29)/(IF(ISBLANK(Design!$B$41),Design!$B$39,Design!$B$41)/1000000)*T4/100/(IF(ISBLANK(Design!$B$33),Design!$B$32,Design!$B$33)*1000000))</f>
        <v>0.73466281637621089</v>
      </c>
      <c r="V4" s="179">
        <f>$B4*Constants!$C$21/1000+IF(ISBLANK(Design!$B$33),Design!$B$32,Design!$B$33)*1000000*Constants!$D$25/1000000000*($B4-Constants!$C$24)</f>
        <v>5.0874999999999976E-2</v>
      </c>
      <c r="W4" s="179">
        <f>$B4*R4*($B4/(Constants!$C$26*1000000000)*IF(ISBLANK(Design!$B$33),Design!$B$32,Design!$B$33)*1000000/2+$B4/(Constants!$C$27*1000000000)*IF(ISBLANK(Design!$B$33),Design!$B$32,Design!$B$33)*1000000/2)</f>
        <v>0.10199999999999992</v>
      </c>
      <c r="X4" s="179">
        <f t="shared" ref="X4:X44" ca="1" si="2">IF($D$115,1,T4/100*(R4^2+U4^2/12)*AD4/1000)</f>
        <v>0.23428757386049018</v>
      </c>
      <c r="Y4" s="179">
        <f>Constants!$D$25/1000000000*Constants!$C$24*IF(ISBLANK(Design!$B$33),Design!$B$32,Design!$B$33)*1000000</f>
        <v>1.0624999999999999E-2</v>
      </c>
      <c r="Z4" s="179">
        <f ca="1">SUM(V4:Y4)</f>
        <v>0.39778757386049007</v>
      </c>
      <c r="AA4" s="179">
        <f ca="1">R4*S4*(1-T4/100)</f>
        <v>0.32501438260447263</v>
      </c>
      <c r="AB4" s="180">
        <f ca="1">$A4+AA4*Design!$B$19</f>
        <v>103.52581980845494</v>
      </c>
      <c r="AC4" s="180">
        <f ca="1">Z4*Design!$C$12+$A4</f>
        <v>98.524777511256659</v>
      </c>
      <c r="AD4" s="180">
        <f ca="1">Constants!$D$22+Constants!$D$22*Constants!$C$23/100*(AC4-25)</f>
        <v>183.81982200900532</v>
      </c>
      <c r="AE4" s="179">
        <f ca="1">(1-Constants!$C$20/1000000000*Design!$B$33*1000000) * ($B4+S4-R4*AD4/1000) - (S4+R4*(1+($A4-25)*Constants!$C$36/100)*IF(ISBLANK(Design!$B$42),Constants!$C$6/1000,Design!$B$42/1000))</f>
        <v>11.175970267749767</v>
      </c>
      <c r="AF4" s="178">
        <f ca="1">IF(AE4&gt;Design!$C$29,Design!$C$29,AE4)</f>
        <v>4.9990521327014221</v>
      </c>
      <c r="AG4" s="189">
        <f>Design!$D$7/3</f>
        <v>0.83333333333333337</v>
      </c>
      <c r="AH4" s="189">
        <f ca="1">FORECAST(AG4, OFFSET(Design!$C$15:$C$17,MATCH(AG4,Design!$B$15:$B$17,1)-1,0,2), OFFSET(Design!$B$15:$B$17,MATCH(AG4,Design!$B$15:$B$17,1)-1,0,2))+(AQ4-25)*Design!$B$18/1000</f>
        <v>0.30124018024023552</v>
      </c>
      <c r="AI4" s="190">
        <f ca="1">IF(100*(Design!$C$29+AH4+AG4*IF(ISBLANK(Design!$B$42),Constants!$C$6,Design!$B$42)/1000*(1+Constants!$C$36/100*(AR4-25)))/($B4+AH4-AG4*AS4/1000)&gt;Design!$C$36,Design!$C$36,100*(Design!$C$29+AH4+AG4*IF(ISBLANK(Design!$B$42),Constants!$C$6,Design!$B$42)/1000*(1+Constants!$C$36/100*(AR4-25)))/($B4+AH4-AG4*AS4/1000))</f>
        <v>43.957437531958874</v>
      </c>
      <c r="AJ4" s="191">
        <f ca="1">IF(($B4-AG4*IF(ISBLANK(Design!$B$42),Constants!$C$6,Design!$B$42)/1000*(1+Constants!$C$36/100*(AR4-25))-Design!$C$29)/(IF(ISBLANK(Design!$B$41),Design!$B$39,Design!$B$41)/1000000)*AI4/100/(IF(ISBLANK(Design!$B$33),Design!$B$32,Design!$B$33)*1000000)&lt;0,0,($B4-AG4*IF(ISBLANK(Design!$B$42),Constants!$C$6,Design!$B$42)/1000*(1+Constants!$C$36/100*(AR4-25))-Design!$C$29)/(IF(ISBLANK(Design!$B$41),Design!$B$39,Design!$B$41)/1000000)*AI4/100/(IF(ISBLANK(Design!$B$33),Design!$B$32,Design!$B$33)*1000000))</f>
        <v>0.71976393703612607</v>
      </c>
      <c r="AK4" s="192">
        <f>$B4*Constants!$C$21/1000+IF(ISBLANK(Design!$B$33),Design!$B$32,Design!$B$33)*1000000*Constants!$D$25/1000000000*($B4-Constants!$C$24)</f>
        <v>5.0874999999999976E-2</v>
      </c>
      <c r="AL4" s="192">
        <f>$B4*AG4*($B4/(Constants!$C$26*1000000000)*IF(ISBLANK(Design!$B$33),Design!$B$32,Design!$B$33)*1000000/2+$B4/(Constants!$C$27*1000000000)*IF(ISBLANK(Design!$B$33),Design!$B$32,Design!$B$33)*1000000/2)</f>
        <v>5.0999999999999962E-2</v>
      </c>
      <c r="AM4" s="192">
        <f t="shared" ref="AM4:AM44" ca="1" si="3">IF($D$115,1,AI4/100*(AG4^2+AJ4^2/12)*AS4/1000)</f>
        <v>5.7593120043141273E-2</v>
      </c>
      <c r="AN4" s="192">
        <f>Constants!$D$25/1000000000*Constants!$C$24*IF(ISBLANK(Design!$B$33),Design!$B$32,Design!$B$33)*1000000</f>
        <v>1.0624999999999999E-2</v>
      </c>
      <c r="AO4" s="192">
        <f ca="1">SUM(AK4:AN4)</f>
        <v>0.1700931200431412</v>
      </c>
      <c r="AP4" s="192">
        <f ca="1">AG4*AH4*(1-AI4/100)</f>
        <v>0.14068559682497805</v>
      </c>
      <c r="AQ4" s="193">
        <f ca="1">$A4+AP4*Design!$B$19</f>
        <v>93.019079019023749</v>
      </c>
      <c r="AR4" s="193">
        <f ca="1">AO4*Design!$C$12+$A4</f>
        <v>90.783166081466803</v>
      </c>
      <c r="AS4" s="193">
        <f ca="1">Constants!$D$22+Constants!$D$22*Constants!$C$23/100*(AR4-25)</f>
        <v>177.62653286517343</v>
      </c>
      <c r="AT4" s="192">
        <f ca="1">(1-Constants!$C$20/1000000000*Design!$B$33*1000000) * ($B4+AH4-AG4*AS4/1000) - (AH4+AG4*(1+($A4-25)*Constants!$C$36/100)*IF(ISBLANK(Design!$B$42),Constants!$C$6/1000,Design!$B$42/1000))</f>
        <v>11.3717495531843</v>
      </c>
      <c r="AU4" s="191">
        <f ca="1">IF(AT4&gt;Design!$C$29,Design!$C$29,AT4)</f>
        <v>4.9990521327014221</v>
      </c>
    </row>
    <row r="5" spans="1:47" s="120" customFormat="1" ht="12.75" customHeight="1">
      <c r="A5" s="112">
        <f>Design!$D$13</f>
        <v>85</v>
      </c>
      <c r="B5" s="113">
        <f t="shared" si="0"/>
        <v>11.784999999999995</v>
      </c>
      <c r="C5" s="114">
        <f>Design!$D$7</f>
        <v>2.5</v>
      </c>
      <c r="D5" s="114">
        <f ca="1">FORECAST(C5, OFFSET(Design!$C$15:$C$17,MATCH(C5,Design!$B$15:$B$17,1)-1,0,2), OFFSET(Design!$B$15:$B$17,MATCH(C5,Design!$B$15:$B$17,1)-1,0,2))+(M5-25)*Design!$B$18/1000</f>
        <v>0.38364633032811335</v>
      </c>
      <c r="E5" s="173">
        <f ca="1">IF(100*(Design!$C$29+D5+C5*IF(ISBLANK(Design!$B$42),Constants!$C$6,Design!$B$42)/1000*(1+Constants!$C$36/100*(N5-25)))/($B5+D5-C5*O5/1000)&gt;Design!$C$36,Design!$C$36,100*(Design!$C$29+D5+C5*IF(ISBLANK(Design!$B$42),Constants!$C$6,Design!$B$42)/1000*(1+Constants!$C$36/100*(N5-25)))/($B5+D5-C5*O5/1000))</f>
        <v>47.22173094654125</v>
      </c>
      <c r="F5" s="115">
        <f ca="1">IF(($B5-C5*IF(ISBLANK(Design!$B$42),Constants!$C$6,Design!$B$42)/1000*(1+Constants!$C$36/100*(N5-25))-Design!$C$29)/(IF(ISBLANK(Design!$B$41),Design!$B$39,Design!$B$41)/1000000)*E5/100/(IF(ISBLANK(Design!$B$33),Design!$B$32,Design!$B$33)*1000000)&lt;0, 0, ($B5-C5*IF(ISBLANK(Design!$B$42),Constants!$C$6,Design!$B$42)/1000*(1+Constants!$C$36/100*(N5-25))-Design!$C$29)/(IF(ISBLANK(Design!$B$41),Design!$B$39,Design!$B$41)/1000000)*E5/100/(IF(ISBLANK(Design!$B$33),Design!$B$32,Design!$B$33)*1000000))</f>
        <v>0.73908874069855224</v>
      </c>
      <c r="G5" s="165">
        <f>B5*Constants!$C$21/1000+IF(ISBLANK(Design!$B$33),Design!$B$32,Design!$B$33)*1000000*Constants!$D$25/1000000000*(B5-Constants!$C$24)</f>
        <v>4.9773124999999974E-2</v>
      </c>
      <c r="H5" s="165">
        <f>B5*C5*(B5/(Constants!$C$26*1000000000)*IF(ISBLANK(Design!$B$33),Design!$B$32,Design!$B$33)*1000000/2+B5/(Constants!$C$27*1000000000)*IF(ISBLANK(Design!$B$33),Design!$B$32,Design!$B$33)*1000000/2)</f>
        <v>0.14756661406249985</v>
      </c>
      <c r="I5" s="165">
        <f t="shared" ca="1" si="1"/>
        <v>0.57784564889948964</v>
      </c>
      <c r="J5" s="165">
        <f>Constants!$D$25/1000000000*Constants!$C$24*IF(ISBLANK(Design!$B$33),Design!$B$32,Design!$B$33)*1000000</f>
        <v>1.0624999999999999E-2</v>
      </c>
      <c r="K5" s="165">
        <f t="shared" ref="K5:K44" ca="1" si="4">SUM(G5:J5)</f>
        <v>0.78581038796198943</v>
      </c>
      <c r="L5" s="165">
        <f t="shared" ref="L5:L44" ca="1" si="5">C5*D5*(1-E5/100)</f>
        <v>0.50620473108573194</v>
      </c>
      <c r="M5" s="166">
        <f ca="1">A5+L5*Design!$B$19</f>
        <v>113.85366967188672</v>
      </c>
      <c r="N5" s="166">
        <f ca="1">K5*Design!$C$12+A5</f>
        <v>111.71755319070763</v>
      </c>
      <c r="O5" s="166">
        <f ca="1">Constants!$D$22+Constants!$D$22*Constants!$C$23/100*(N5-25)</f>
        <v>194.3740425525661</v>
      </c>
      <c r="P5" s="165">
        <f ca="1">(1-Constants!$C$20/1000000000*Design!$B$33*1000000) * ($B5+D5-C5*O5/1000) - (D5+C5*(1+($A5-25)*Constants!$C$36/100)*IF(ISBLANK(Design!$B$42),Constants!$C$6/1000,Design!$B$42/1000))</f>
        <v>10.753446950653506</v>
      </c>
      <c r="Q5" s="171">
        <f ca="1">IF(P5&gt;Design!$C$29,Design!$C$29,P5)</f>
        <v>4.9990521327014221</v>
      </c>
      <c r="R5" s="181">
        <f>2*Design!$D$7/3</f>
        <v>1.6666666666666667</v>
      </c>
      <c r="S5" s="116">
        <f ca="1">FORECAST(R5, OFFSET(Design!$C$15:$C$17,MATCH(R5,Design!$B$15:$B$17,1)-1,0,2), OFFSET(Design!$B$15:$B$17,MATCH(R5,Design!$B$15:$B$17,1)-1,0,2))+(AB5-25)*Design!$B$18/1000</f>
        <v>0.35581214788861204</v>
      </c>
      <c r="T5" s="182">
        <f ca="1">IF(100*(Design!$C$29+S5+R5*IF(ISBLANK(Design!$B$42),Constants!$C$6,Design!$B$42)/1000*(1+Constants!$C$36/100*(AC5-25)))/($B5+S5-R5*AD5/1000)&gt;Design!$C$36,Design!$C$36,100*(Design!$C$29+S5+R5*IF(ISBLANK(Design!$B$42),Constants!$C$6,Design!$B$42)/1000*(1+Constants!$C$36/100*(AC5-25)))/($B5+S5-R5*AD5/1000))</f>
        <v>45.974075620259327</v>
      </c>
      <c r="U5" s="117">
        <f ca="1">IF(($B5-R5*IF(ISBLANK(Design!$B$42),Constants!$C$6,Design!$B$42)/1000*(1+Constants!$C$36/100*(AC5-25))-Design!$C$29)/(Design!$B$41/1000000)*T5/100/(IF(ISBLANK(IF(ISBLANK(Design!$B$41),Design!$B$39,Design!$B$41)),Design!$B$32,Design!$B$33)*1000000)&lt;0,0,($B5-R5*IF(ISBLANK(Design!$B$42),Constants!$C$6,Design!$B$42)/1000*(1+Constants!$C$36/100*(AC5-25))-Design!$C$29)/(IF(ISBLANK(Design!$B$41),Design!$B$39,Design!$B$41)/1000000)*T5/100/(IF(ISBLANK(Design!$B$33),Design!$B$32,Design!$B$33)*1000000))</f>
        <v>0.72477025922405547</v>
      </c>
      <c r="V5" s="183">
        <f>$B5*Constants!$C$21/1000+IF(ISBLANK(Design!$B$33),Design!$B$32,Design!$B$33)*1000000*Constants!$D$25/1000000000*($B5-Constants!$C$24)</f>
        <v>4.9773124999999974E-2</v>
      </c>
      <c r="W5" s="183">
        <f>$B5*R5*($B5/(Constants!$C$26*1000000000)*IF(ISBLANK(Design!$B$33),Design!$B$32,Design!$B$33)*1000000/2+$B5/(Constants!$C$27*1000000000)*IF(ISBLANK(Design!$B$33),Design!$B$32,Design!$B$33)*1000000/2)</f>
        <v>9.8377742708333243E-2</v>
      </c>
      <c r="X5" s="183">
        <f t="shared" ca="1" si="2"/>
        <v>0.23842723383692743</v>
      </c>
      <c r="Y5" s="183">
        <f>Constants!$D$25/1000000000*Constants!$C$24*IF(ISBLANK(Design!$B$33),Design!$B$32,Design!$B$33)*1000000</f>
        <v>1.0624999999999999E-2</v>
      </c>
      <c r="Z5" s="183">
        <f t="shared" ref="Z5" ca="1" si="6">SUM(V5:Y5)</f>
        <v>0.39720310154526062</v>
      </c>
      <c r="AA5" s="183">
        <f t="shared" ref="AA5:AA44" ca="1" si="7">R5*S5*(1-T5/100)</f>
        <v>0.32038466992038772</v>
      </c>
      <c r="AB5" s="184">
        <f ca="1">$A5+AA5*Design!$B$19</f>
        <v>103.2619261854621</v>
      </c>
      <c r="AC5" s="184">
        <f ca="1">Z5*Design!$C$12+$A5</f>
        <v>98.504905452538864</v>
      </c>
      <c r="AD5" s="184">
        <f ca="1">Constants!$D$22+Constants!$D$22*Constants!$C$23/100*(AC5-25)</f>
        <v>183.8039243620311</v>
      </c>
      <c r="AE5" s="183">
        <f ca="1">(1-Constants!$C$20/1000000000*Design!$B$33*1000000) * ($B5+S5-R5*AD5/1000) - (S5+R5*(1+($A5-25)*Constants!$C$36/100)*IF(ISBLANK(Design!$B$42),Constants!$C$6/1000,Design!$B$42/1000))</f>
        <v>10.968753148500099</v>
      </c>
      <c r="AF5" s="117">
        <f ca="1">IF(AE5&gt;Design!$C$29,Design!$C$29,AE5)</f>
        <v>4.9990521327014221</v>
      </c>
      <c r="AG5" s="118">
        <f>Design!$D$7/3</f>
        <v>0.83333333333333337</v>
      </c>
      <c r="AH5" s="118">
        <f ca="1">FORECAST(AG5, OFFSET(Design!$C$15:$C$17,MATCH(AG5,Design!$B$15:$B$17,1)-1,0,2), OFFSET(Design!$B$15:$B$17,MATCH(AG5,Design!$B$15:$B$17,1)-1,0,2))+(AQ5-25)*Design!$B$18/1000</f>
        <v>0.30135059683510335</v>
      </c>
      <c r="AI5" s="194">
        <f ca="1">IF(100*(Design!$C$29+AH5+AG5*IF(ISBLANK(Design!$B$42),Constants!$C$6,Design!$B$42)/1000*(1+Constants!$C$36/100*(AR5-25)))/($B5+AH5-AG5*AS5/1000)&gt;Design!$C$36,Design!$C$36,100*(Design!$C$29+AH5+AG5*IF(ISBLANK(Design!$B$42),Constants!$C$6,Design!$B$42)/1000*(1+Constants!$C$36/100*(AR5-25)))/($B5+AH5-AG5*AS5/1000))</f>
        <v>44.749352399947071</v>
      </c>
      <c r="AJ5" s="119">
        <f ca="1">IF(($B5-AG5*IF(ISBLANK(Design!$B$42),Constants!$C$6,Design!$B$42)/1000*(1+Constants!$C$36/100*(AR5-25))-Design!$C$29)/(IF(ISBLANK(Design!$B$41),Design!$B$39,Design!$B$41)/1000000)*AI5/100/(IF(ISBLANK(Design!$B$33),Design!$B$32,Design!$B$33)*1000000)&lt;0,0,($B5-AG5*IF(ISBLANK(Design!$B$42),Constants!$C$6,Design!$B$42)/1000*(1+Constants!$C$36/100*(AR5-25))-Design!$C$29)/(IF(ISBLANK(Design!$B$41),Design!$B$39,Design!$B$41)/1000000)*AI5/100/(IF(ISBLANK(Design!$B$33),Design!$B$32,Design!$B$33)*1000000))</f>
        <v>0.71009386168805855</v>
      </c>
      <c r="AK5" s="195">
        <f>$B5*Constants!$C$21/1000+IF(ISBLANK(Design!$B$33),Design!$B$32,Design!$B$33)*1000000*Constants!$D$25/1000000000*($B5-Constants!$C$24)</f>
        <v>4.9773124999999974E-2</v>
      </c>
      <c r="AL5" s="195">
        <f>$B5*AG5*($B5/(Constants!$C$26*1000000000)*IF(ISBLANK(Design!$B$33),Design!$B$32,Design!$B$33)*1000000/2+$B5/(Constants!$C$27*1000000000)*IF(ISBLANK(Design!$B$33),Design!$B$32,Design!$B$33)*1000000/2)</f>
        <v>4.9188871354166622E-2</v>
      </c>
      <c r="AM5" s="195">
        <f t="shared" ca="1" si="3"/>
        <v>5.8521308877562267E-2</v>
      </c>
      <c r="AN5" s="195">
        <f>Constants!$D$25/1000000000*Constants!$C$24*IF(ISBLANK(Design!$B$33),Design!$B$32,Design!$B$33)*1000000</f>
        <v>1.0624999999999999E-2</v>
      </c>
      <c r="AO5" s="195">
        <f t="shared" ref="AO5" ca="1" si="8">SUM(AK5:AN5)</f>
        <v>0.16810830523172887</v>
      </c>
      <c r="AP5" s="195">
        <f t="shared" ref="AP5:AP44" ca="1" si="9">AG5*AH5*(1-AI5/100)</f>
        <v>0.13874846358168269</v>
      </c>
      <c r="AQ5" s="196">
        <f ca="1">$A5+AP5*Design!$B$19</f>
        <v>92.908662424155921</v>
      </c>
      <c r="AR5" s="196">
        <f ca="1">AO5*Design!$C$12+$A5</f>
        <v>90.715682377878778</v>
      </c>
      <c r="AS5" s="196">
        <f ca="1">Constants!$D$22+Constants!$D$22*Constants!$C$23/100*(AR5-25)</f>
        <v>177.57254590230303</v>
      </c>
      <c r="AT5" s="195">
        <f ca="1">(1-Constants!$C$20/1000000000*Design!$B$33*1000000) * ($B5+AH5-AG5*AS5/1000) - (AH5+AG5*(1+($A5-25)*Constants!$C$36/100)*IF(ISBLANK(Design!$B$42),Constants!$C$6/1000,Design!$B$42/1000))</f>
        <v>11.164555803288007</v>
      </c>
      <c r="AU5" s="119">
        <f ca="1">IF(AT5&gt;Design!$C$29,Design!$C$29,AT5)</f>
        <v>4.9990521327014221</v>
      </c>
    </row>
    <row r="6" spans="1:47" s="120" customFormat="1" ht="12.75" customHeight="1">
      <c r="A6" s="112">
        <f>Design!$D$13</f>
        <v>85</v>
      </c>
      <c r="B6" s="113">
        <f t="shared" si="0"/>
        <v>11.569999999999995</v>
      </c>
      <c r="C6" s="114">
        <f>Design!$D$7</f>
        <v>2.5</v>
      </c>
      <c r="D6" s="114">
        <f ca="1">FORECAST(C6, OFFSET(Design!$C$15:$C$17,MATCH(C6,Design!$B$15:$B$17,1)-1,0,2), OFFSET(Design!$B$15:$B$17,MATCH(C6,Design!$B$15:$B$17,1)-1,0,2))+(M6-25)*Design!$B$18/1000</f>
        <v>0.38409901770151811</v>
      </c>
      <c r="E6" s="173">
        <f ca="1">IF(100*(Design!$C$29+D6+C6*IF(ISBLANK(Design!$B$42),Constants!$C$6,Design!$B$42)/1000*(1+Constants!$C$36/100*(N6-25)))/($B6+D6-C6*O6/1000)&gt;Design!$C$36,Design!$C$36,100*(Design!$C$29+D6+C6*IF(ISBLANK(Design!$B$42),Constants!$C$6,Design!$B$42)/1000*(1+Constants!$C$36/100*(N6-25)))/($B6+D6-C6*O6/1000))</f>
        <v>48.11100009331583</v>
      </c>
      <c r="F6" s="115">
        <f ca="1">IF(($B6-C6*IF(ISBLANK(Design!$B$42),Constants!$C$6,Design!$B$42)/1000*(1+Constants!$C$36/100*(N6-25))-Design!$C$29)/(IF(ISBLANK(Design!$B$41),Design!$B$39,Design!$B$41)/1000000)*E6/100/(IF(ISBLANK(Design!$B$33),Design!$B$32,Design!$B$33)*1000000)&lt;0, 0, ($B6-C6*IF(ISBLANK(Design!$B$42),Constants!$C$6,Design!$B$42)/1000*(1+Constants!$C$36/100*(N6-25))-Design!$C$29)/(IF(ISBLANK(Design!$B$41),Design!$B$39,Design!$B$41)/1000000)*E6/100/(IF(ISBLANK(Design!$B$33),Design!$B$32,Design!$B$33)*1000000))</f>
        <v>0.72866145956252071</v>
      </c>
      <c r="G6" s="165">
        <f>B6*Constants!$C$21/1000+IF(ISBLANK(Design!$B$33),Design!$B$32,Design!$B$33)*1000000*Constants!$D$25/1000000000*(B6-Constants!$C$24)</f>
        <v>4.8671249999999971E-2</v>
      </c>
      <c r="H6" s="165">
        <f>B6*C6*(B6/(Constants!$C$26*1000000000)*IF(ISBLANK(Design!$B$33),Design!$B$32,Design!$B$33)*1000000/2+B6/(Constants!$C$27*1000000000)*IF(ISBLANK(Design!$B$33),Design!$B$32,Design!$B$33)*1000000/2)</f>
        <v>0.14223145624999989</v>
      </c>
      <c r="I6" s="165">
        <f t="shared" ca="1" si="1"/>
        <v>0.58899650871894538</v>
      </c>
      <c r="J6" s="165">
        <f>Constants!$D$25/1000000000*Constants!$C$24*IF(ISBLANK(Design!$B$33),Design!$B$32,Design!$B$33)*1000000</f>
        <v>1.0624999999999999E-2</v>
      </c>
      <c r="K6" s="165">
        <f ca="1">SUM(G6:J6)</f>
        <v>0.7905242149689452</v>
      </c>
      <c r="L6" s="165">
        <f t="shared" ca="1" si="5"/>
        <v>0.49826284734178877</v>
      </c>
      <c r="M6" s="166">
        <f ca="1">A6+L6*Design!$B$19</f>
        <v>113.40098229848196</v>
      </c>
      <c r="N6" s="166">
        <f ca="1">K6*Design!$C$12+A6</f>
        <v>111.87782330894413</v>
      </c>
      <c r="O6" s="166">
        <f ca="1">Constants!$D$22+Constants!$D$22*Constants!$C$23/100*(N6-25)</f>
        <v>194.50225864715532</v>
      </c>
      <c r="P6" s="165">
        <f ca="1">(1-Constants!$C$20/1000000000*Design!$B$33*1000000) * ($B6+D6-C6*O6/1000) - (D6+C6*(1+($A6-25)*Constants!$C$36/100)*IF(ISBLANK(Design!$B$42),Constants!$C$6/1000,Design!$B$42/1000))</f>
        <v>10.545888511601712</v>
      </c>
      <c r="Q6" s="171">
        <f ca="1">IF(P6&gt;Design!$C$29,Design!$C$29,P6)</f>
        <v>4.9990521327014221</v>
      </c>
      <c r="R6" s="181">
        <f>2*Design!$D$7/3</f>
        <v>1.6666666666666667</v>
      </c>
      <c r="S6" s="116">
        <f ca="1">FORECAST(R6, OFFSET(Design!$C$15:$C$17,MATCH(R6,Design!$B$15:$B$17,1)-1,0,2), OFFSET(Design!$B$15:$B$17,MATCH(R6,Design!$B$15:$B$17,1)-1,0,2))+(AB6-25)*Design!$B$18/1000</f>
        <v>0.35608624178153386</v>
      </c>
      <c r="T6" s="182">
        <f ca="1">IF(100*(Design!$C$29+S6+R6*IF(ISBLANK(Design!$B$42),Constants!$C$6,Design!$B$42)/1000*(1+Constants!$C$36/100*(AC6-25)))/($B6+S6-R6*AD6/1000)&gt;Design!$C$36,Design!$C$36,100*(Design!$C$29+S6+R6*IF(ISBLANK(Design!$B$42),Constants!$C$6,Design!$B$42)/1000*(1+Constants!$C$36/100*(AC6-25)))/($B6+S6-R6*AD6/1000))</f>
        <v>46.825914381848435</v>
      </c>
      <c r="U6" s="117">
        <f ca="1">IF(($B6-R6*IF(ISBLANK(Design!$B$42),Constants!$C$6,Design!$B$42)/1000*(1+Constants!$C$36/100*(AC6-25))-Design!$C$29)/(Design!$B$41/1000000)*T6/100/(IF(ISBLANK(IF(ISBLANK(Design!$B$41),Design!$B$39,Design!$B$41)),Design!$B$32,Design!$B$33)*1000000)&lt;0,0,($B6-R6*IF(ISBLANK(Design!$B$42),Constants!$C$6,Design!$B$42)/1000*(1+Constants!$C$36/100*(AC6-25))-Design!$C$29)/(IF(ISBLANK(Design!$B$41),Design!$B$39,Design!$B$41)/1000000)*T6/100/(IF(ISBLANK(Design!$B$33),Design!$B$32,Design!$B$33)*1000000))</f>
        <v>0.71451124200980631</v>
      </c>
      <c r="V6" s="183">
        <f>$B6*Constants!$C$21/1000+IF(ISBLANK(Design!$B$33),Design!$B$32,Design!$B$33)*1000000*Constants!$D$25/1000000000*($B6-Constants!$C$24)</f>
        <v>4.8671249999999971E-2</v>
      </c>
      <c r="W6" s="183">
        <f>$B6*R6*($B6/(Constants!$C$26*1000000000)*IF(ISBLANK(Design!$B$33),Design!$B$32,Design!$B$33)*1000000/2+$B6/(Constants!$C$27*1000000000)*IF(ISBLANK(Design!$B$33),Design!$B$32,Design!$B$33)*1000000/2)</f>
        <v>9.4820970833333254E-2</v>
      </c>
      <c r="X6" s="183">
        <f t="shared" ca="1" si="2"/>
        <v>0.2427261490309095</v>
      </c>
      <c r="Y6" s="183">
        <f>Constants!$D$25/1000000000*Constants!$C$24*IF(ISBLANK(Design!$B$33),Design!$B$32,Design!$B$33)*1000000</f>
        <v>1.0624999999999999E-2</v>
      </c>
      <c r="Z6" s="183">
        <f ca="1">SUM(V6:Y6)</f>
        <v>0.39684336986424273</v>
      </c>
      <c r="AA6" s="183">
        <f t="shared" ca="1" si="7"/>
        <v>0.31557600513228501</v>
      </c>
      <c r="AB6" s="184">
        <f ca="1">$A6+AA6*Design!$B$19</f>
        <v>102.98783229254025</v>
      </c>
      <c r="AC6" s="184">
        <f ca="1">Z6*Design!$C$12+$A6</f>
        <v>98.492674575384257</v>
      </c>
      <c r="AD6" s="184">
        <f ca="1">Constants!$D$22+Constants!$D$22*Constants!$C$23/100*(AC6-25)</f>
        <v>183.79413966030739</v>
      </c>
      <c r="AE6" s="183">
        <f ca="1">(1-Constants!$C$20/1000000000*Design!$B$33*1000000) * ($B6+S6-R6*AD6/1000) - (S6+R6*(1+($A6-25)*Constants!$C$36/100)*IF(ISBLANK(Design!$B$42),Constants!$C$6/1000,Design!$B$42/1000))</f>
        <v>10.761525840573839</v>
      </c>
      <c r="AF6" s="117">
        <f ca="1">IF(AE6&gt;Design!$C$29,Design!$C$29,AE6)</f>
        <v>4.9990521327014221</v>
      </c>
      <c r="AG6" s="118">
        <f>Design!$D$7/3</f>
        <v>0.83333333333333337</v>
      </c>
      <c r="AH6" s="118">
        <f ca="1">FORECAST(AG6, OFFSET(Design!$C$15:$C$17,MATCH(AG6,Design!$B$15:$B$17,1)-1,0,2), OFFSET(Design!$B$15:$B$17,MATCH(AG6,Design!$B$15:$B$17,1)-1,0,2))+(AQ6-25)*Design!$B$18/1000</f>
        <v>0.30146514971620653</v>
      </c>
      <c r="AI6" s="194">
        <f ca="1">IF(100*(Design!$C$29+AH6+AG6*IF(ISBLANK(Design!$B$42),Constants!$C$6,Design!$B$42)/1000*(1+Constants!$C$36/100*(AR6-25)))/($B6+AH6-AG6*AS6/1000)&gt;Design!$C$36,Design!$C$36,100*(Design!$C$29+AH6+AG6*IF(ISBLANK(Design!$B$42),Constants!$C$6,Design!$B$42)/1000*(1+Constants!$C$36/100*(AR6-25)))/($B6+AH6-AG6*AS6/1000))</f>
        <v>45.570319869372632</v>
      </c>
      <c r="AJ6" s="119">
        <f ca="1">IF(($B6-AG6*IF(ISBLANK(Design!$B$42),Constants!$C$6,Design!$B$42)/1000*(1+Constants!$C$36/100*(AR6-25))-Design!$C$29)/(IF(ISBLANK(Design!$B$41),Design!$B$39,Design!$B$41)/1000000)*AI6/100/(IF(ISBLANK(Design!$B$33),Design!$B$32,Design!$B$33)*1000000)&lt;0,0,($B6-AG6*IF(ISBLANK(Design!$B$42),Constants!$C$6,Design!$B$42)/1000*(1+Constants!$C$36/100*(AR6-25))-Design!$C$29)/(IF(ISBLANK(Design!$B$41),Design!$B$39,Design!$B$41)/1000000)*AI6/100/(IF(ISBLANK(Design!$B$33),Design!$B$32,Design!$B$33)*1000000))</f>
        <v>0.70006887387531402</v>
      </c>
      <c r="AK6" s="195">
        <f>$B6*Constants!$C$21/1000+IF(ISBLANK(Design!$B$33),Design!$B$32,Design!$B$33)*1000000*Constants!$D$25/1000000000*($B6-Constants!$C$24)</f>
        <v>4.8671249999999971E-2</v>
      </c>
      <c r="AL6" s="195">
        <f>$B6*AG6*($B6/(Constants!$C$26*1000000000)*IF(ISBLANK(Design!$B$33),Design!$B$32,Design!$B$33)*1000000/2+$B6/(Constants!$C$27*1000000000)*IF(ISBLANK(Design!$B$33),Design!$B$32,Design!$B$33)*1000000/2)</f>
        <v>4.7410485416666627E-2</v>
      </c>
      <c r="AM6" s="195">
        <f t="shared" ca="1" si="3"/>
        <v>5.9482111482784171E-2</v>
      </c>
      <c r="AN6" s="195">
        <f>Constants!$D$25/1000000000*Constants!$C$24*IF(ISBLANK(Design!$B$33),Design!$B$32,Design!$B$33)*1000000</f>
        <v>1.0624999999999999E-2</v>
      </c>
      <c r="AO6" s="195">
        <f ca="1">SUM(AK6:AN6)</f>
        <v>0.16618884689945077</v>
      </c>
      <c r="AP6" s="195">
        <f t="shared" ca="1" si="9"/>
        <v>0.13673876391320677</v>
      </c>
      <c r="AQ6" s="196">
        <f ca="1">$A6+AP6*Design!$B$19</f>
        <v>92.794109543052784</v>
      </c>
      <c r="AR6" s="196">
        <f ca="1">AO6*Design!$C$12+$A6</f>
        <v>90.650420794581322</v>
      </c>
      <c r="AS6" s="196">
        <f ca="1">Constants!$D$22+Constants!$D$22*Constants!$C$23/100*(AR6-25)</f>
        <v>177.52033663566505</v>
      </c>
      <c r="AT6" s="195">
        <f ca="1">(1-Constants!$C$20/1000000000*Design!$B$33*1000000) * ($B6+AH6-AG6*AS6/1000) - (AH6+AG6*(1+($A6-25)*Constants!$C$36/100)*IF(ISBLANK(Design!$B$42),Constants!$C$6/1000,Design!$B$42/1000))</f>
        <v>10.957360476070912</v>
      </c>
      <c r="AU6" s="119">
        <f ca="1">IF(AT6&gt;Design!$C$29,Design!$C$29,AT6)</f>
        <v>4.9990521327014221</v>
      </c>
    </row>
    <row r="7" spans="1:47" s="120" customFormat="1" ht="12.75" customHeight="1">
      <c r="A7" s="112">
        <f>Design!$D$13</f>
        <v>85</v>
      </c>
      <c r="B7" s="113">
        <f t="shared" si="0"/>
        <v>11.354999999999995</v>
      </c>
      <c r="C7" s="114">
        <f>Design!$D$7</f>
        <v>2.5</v>
      </c>
      <c r="D7" s="114">
        <f ca="1">FORECAST(C7, OFFSET(Design!$C$15:$C$17,MATCH(C7,Design!$B$15:$B$17,1)-1,0,2), OFFSET(Design!$B$15:$B$17,MATCH(C7,Design!$B$15:$B$17,1)-1,0,2))+(M7-25)*Design!$B$18/1000</f>
        <v>0.38457028879767441</v>
      </c>
      <c r="E7" s="173">
        <f ca="1">IF(100*(Design!$C$29+D7+C7*IF(ISBLANK(Design!$B$42),Constants!$C$6,Design!$B$42)/1000*(1+Constants!$C$36/100*(N7-25)))/($B7+D7-C7*O7/1000)&gt;Design!$C$36,Design!$C$36,100*(Design!$C$29+D7+C7*IF(ISBLANK(Design!$B$42),Constants!$C$6,Design!$B$42)/1000*(1+Constants!$C$36/100*(N7-25)))/($B7+D7-C7*O7/1000))</f>
        <v>49.034551274768532</v>
      </c>
      <c r="F7" s="115">
        <f ca="1">IF(($B7-C7*IF(ISBLANK(Design!$B$42),Constants!$C$6,Design!$B$42)/1000*(1+Constants!$C$36/100*(N7-25))-Design!$C$29)/(IF(ISBLANK(Design!$B$41),Design!$B$39,Design!$B$41)/1000000)*E7/100/(IF(ISBLANK(Design!$B$33),Design!$B$32,Design!$B$33)*1000000)&lt;0, 0, ($B7-C7*IF(ISBLANK(Design!$B$42),Constants!$C$6,Design!$B$42)/1000*(1+Constants!$C$36/100*(N7-25))-Design!$C$29)/(IF(ISBLANK(Design!$B$41),Design!$B$39,Design!$B$41)/1000000)*E7/100/(IF(ISBLANK(Design!$B$33),Design!$B$32,Design!$B$33)*1000000))</f>
        <v>0.71783516823309612</v>
      </c>
      <c r="G7" s="165">
        <f>B7*Constants!$C$21/1000+IF(ISBLANK(Design!$B$33),Design!$B$32,Design!$B$33)*1000000*Constants!$D$25/1000000000*(B7-Constants!$C$24)</f>
        <v>4.7569374999999976E-2</v>
      </c>
      <c r="H7" s="165">
        <f>B7*C7*(B7/(Constants!$C$26*1000000000)*IF(ISBLANK(Design!$B$33),Design!$B$32,Design!$B$33)*1000000/2+B7/(Constants!$C$27*1000000000)*IF(ISBLANK(Design!$B$33),Design!$B$32,Design!$B$33)*1000000/2)</f>
        <v>0.13699452656249989</v>
      </c>
      <c r="I7" s="165">
        <f t="shared" ca="1" si="1"/>
        <v>0.60062232025374596</v>
      </c>
      <c r="J7" s="165">
        <f>Constants!$D$25/1000000000*Constants!$C$24*IF(ISBLANK(Design!$B$33),Design!$B$32,Design!$B$33)*1000000</f>
        <v>1.0624999999999999E-2</v>
      </c>
      <c r="K7" s="165">
        <f t="shared" ca="1" si="4"/>
        <v>0.79581122181624575</v>
      </c>
      <c r="L7" s="165">
        <f t="shared" ca="1" si="5"/>
        <v>0.48999493337413325</v>
      </c>
      <c r="M7" s="166">
        <f ca="1">A7+L7*Design!$B$19</f>
        <v>112.92971120232559</v>
      </c>
      <c r="N7" s="166">
        <f ca="1">K7*Design!$C$12+A7</f>
        <v>112.05758154175236</v>
      </c>
      <c r="O7" s="166">
        <f ca="1">Constants!$D$22+Constants!$D$22*Constants!$C$23/100*(N7-25)</f>
        <v>194.64606523340188</v>
      </c>
      <c r="P7" s="165">
        <f ca="1">(1-Constants!$C$20/1000000000*Design!$B$33*1000000) * ($B7+D7-C7*O7/1000) - (D7+C7*(1+($A7-25)*Constants!$C$36/100)*IF(ISBLANK(Design!$B$42),Constants!$C$6/1000,Design!$B$42/1000))</f>
        <v>10.338291833000067</v>
      </c>
      <c r="Q7" s="171">
        <f ca="1">IF(P7&gt;Design!$C$29,Design!$C$29,P7)</f>
        <v>4.9990521327014221</v>
      </c>
      <c r="R7" s="181">
        <f>2*Design!$D$7/3</f>
        <v>1.6666666666666667</v>
      </c>
      <c r="S7" s="116">
        <f ca="1">FORECAST(R7, OFFSET(Design!$C$15:$C$17,MATCH(R7,Design!$B$15:$B$17,1)-1,0,2), OFFSET(Design!$B$15:$B$17,MATCH(R7,Design!$B$15:$B$17,1)-1,0,2))+(AB7-25)*Design!$B$18/1000</f>
        <v>0.35637113874433446</v>
      </c>
      <c r="T7" s="182">
        <f ca="1">IF(100*(Design!$C$29+S7+R7*IF(ISBLANK(Design!$B$42),Constants!$C$6,Design!$B$42)/1000*(1+Constants!$C$36/100*(AC7-25)))/($B7+S7-R7*AD7/1000)&gt;Design!$C$36,Design!$C$36,100*(Design!$C$29+S7+R7*IF(ISBLANK(Design!$B$42),Constants!$C$6,Design!$B$42)/1000*(1+Constants!$C$36/100*(AC7-25)))/($B7+S7-R7*AD7/1000))</f>
        <v>47.709938482095353</v>
      </c>
      <c r="U7" s="117">
        <f ca="1">IF(($B7-R7*IF(ISBLANK(Design!$B$42),Constants!$C$6,Design!$B$42)/1000*(1+Constants!$C$36/100*(AC7-25))-Design!$C$29)/(Design!$B$41/1000000)*T7/100/(IF(ISBLANK(IF(ISBLANK(Design!$B$41),Design!$B$39,Design!$B$41)),Design!$B$32,Design!$B$33)*1000000)&lt;0,0,($B7-R7*IF(ISBLANK(Design!$B$42),Constants!$C$6,Design!$B$42)/1000*(1+Constants!$C$36/100*(AC7-25))-Design!$C$29)/(IF(ISBLANK(Design!$B$41),Design!$B$39,Design!$B$41)/1000000)*T7/100/(IF(ISBLANK(Design!$B$33),Design!$B$32,Design!$B$33)*1000000))</f>
        <v>0.70386497383266811</v>
      </c>
      <c r="V7" s="183">
        <f>$B7*Constants!$C$21/1000+IF(ISBLANK(Design!$B$33),Design!$B$32,Design!$B$33)*1000000*Constants!$D$25/1000000000*($B7-Constants!$C$24)</f>
        <v>4.7569374999999976E-2</v>
      </c>
      <c r="W7" s="183">
        <f>$B7*R7*($B7/(Constants!$C$26*1000000000)*IF(ISBLANK(Design!$B$33),Design!$B$32,Design!$B$33)*1000000/2+$B7/(Constants!$C$27*1000000000)*IF(ISBLANK(Design!$B$33),Design!$B$32,Design!$B$33)*1000000/2)</f>
        <v>9.1329684374999928E-2</v>
      </c>
      <c r="X7" s="183">
        <f t="shared" ca="1" si="2"/>
        <v>0.24719362193896893</v>
      </c>
      <c r="Y7" s="183">
        <f>Constants!$D$25/1000000000*Constants!$C$24*IF(ISBLANK(Design!$B$33),Design!$B$32,Design!$B$33)*1000000</f>
        <v>1.0624999999999999E-2</v>
      </c>
      <c r="Z7" s="183">
        <f t="shared" ref="Z7:Z44" ca="1" si="10">SUM(V7:Y7)</f>
        <v>0.39671768131396884</v>
      </c>
      <c r="AA7" s="183">
        <f t="shared" ca="1" si="7"/>
        <v>0.31057781280244973</v>
      </c>
      <c r="AB7" s="184">
        <f ca="1">$A7+AA7*Design!$B$19</f>
        <v>102.70293532973963</v>
      </c>
      <c r="AC7" s="184">
        <f ca="1">Z7*Design!$C$12+$A7</f>
        <v>98.48840116467494</v>
      </c>
      <c r="AD7" s="184">
        <f ca="1">Constants!$D$22+Constants!$D$22*Constants!$C$23/100*(AC7-25)</f>
        <v>183.79072093173994</v>
      </c>
      <c r="AE7" s="183">
        <f ca="1">(1-Constants!$C$20/1000000000*Design!$B$33*1000000) * ($B7+S7-R7*AD7/1000) - (S7+R7*(1+($A7-25)*Constants!$C$36/100)*IF(ISBLANK(Design!$B$42),Constants!$C$6/1000,Design!$B$42/1000))</f>
        <v>10.554287915716055</v>
      </c>
      <c r="AF7" s="117">
        <f ca="1">IF(AE7&gt;Design!$C$29,Design!$C$29,AE7)</f>
        <v>4.9990521327014221</v>
      </c>
      <c r="AG7" s="118">
        <f>Design!$D$7/3</f>
        <v>0.83333333333333337</v>
      </c>
      <c r="AH7" s="118">
        <f ca="1">FORECAST(AG7, OFFSET(Design!$C$15:$C$17,MATCH(AG7,Design!$B$15:$B$17,1)-1,0,2), OFFSET(Design!$B$15:$B$17,MATCH(AG7,Design!$B$15:$B$17,1)-1,0,2))+(AQ7-25)*Design!$B$18/1000</f>
        <v>0.30158407562788009</v>
      </c>
      <c r="AI7" s="194">
        <f ca="1">IF(100*(Design!$C$29+AH7+AG7*IF(ISBLANK(Design!$B$42),Constants!$C$6,Design!$B$42)/1000*(1+Constants!$C$36/100*(AR7-25)))/($B7+AH7-AG7*AS7/1000)&gt;Design!$C$36,Design!$C$36,100*(Design!$C$29+AH7+AG7*IF(ISBLANK(Design!$B$42),Constants!$C$6,Design!$B$42)/1000*(1+Constants!$C$36/100*(AR7-25)))/($B7+AH7-AG7*AS7/1000))</f>
        <v>46.421967752843898</v>
      </c>
      <c r="AJ7" s="119">
        <f ca="1">IF(($B7-AG7*IF(ISBLANK(Design!$B$42),Constants!$C$6,Design!$B$42)/1000*(1+Constants!$C$36/100*(AR7-25))-Design!$C$29)/(IF(ISBLANK(Design!$B$41),Design!$B$39,Design!$B$41)/1000000)*AI7/100/(IF(ISBLANK(Design!$B$33),Design!$B$32,Design!$B$33)*1000000)&lt;0,0,($B7-AG7*IF(ISBLANK(Design!$B$42),Constants!$C$6,Design!$B$42)/1000*(1+Constants!$C$36/100*(AR7-25))-Design!$C$29)/(IF(ISBLANK(Design!$B$41),Design!$B$39,Design!$B$41)/1000000)*AI7/100/(IF(ISBLANK(Design!$B$33),Design!$B$32,Design!$B$33)*1000000))</f>
        <v>0.68966906482962276</v>
      </c>
      <c r="AK7" s="195">
        <f>$B7*Constants!$C$21/1000+IF(ISBLANK(Design!$B$33),Design!$B$32,Design!$B$33)*1000000*Constants!$D$25/1000000000*($B7-Constants!$C$24)</f>
        <v>4.7569374999999976E-2</v>
      </c>
      <c r="AL7" s="195">
        <f>$B7*AG7*($B7/(Constants!$C$26*1000000000)*IF(ISBLANK(Design!$B$33),Design!$B$32,Design!$B$33)*1000000/2+$B7/(Constants!$C$27*1000000000)*IF(ISBLANK(Design!$B$33),Design!$B$32,Design!$B$33)*1000000/2)</f>
        <v>4.5664842187499964E-2</v>
      </c>
      <c r="AM7" s="195">
        <f t="shared" ca="1" si="3"/>
        <v>6.0477328727519743E-2</v>
      </c>
      <c r="AN7" s="195">
        <f>Constants!$D$25/1000000000*Constants!$C$24*IF(ISBLANK(Design!$B$33),Design!$B$32,Design!$B$33)*1000000</f>
        <v>1.0624999999999999E-2</v>
      </c>
      <c r="AO7" s="195">
        <f t="shared" ref="AO7:AO44" ca="1" si="11">SUM(AK7:AN7)</f>
        <v>0.16433654591501967</v>
      </c>
      <c r="AP7" s="195">
        <f t="shared" ca="1" si="9"/>
        <v>0.13465234441016102</v>
      </c>
      <c r="AQ7" s="196">
        <f ca="1">$A7+AP7*Design!$B$19</f>
        <v>92.675183631379184</v>
      </c>
      <c r="AR7" s="196">
        <f ca="1">AO7*Design!$C$12+$A7</f>
        <v>90.587442561110663</v>
      </c>
      <c r="AS7" s="196">
        <f ca="1">Constants!$D$22+Constants!$D$22*Constants!$C$23/100*(AR7-25)</f>
        <v>177.46995404888852</v>
      </c>
      <c r="AT7" s="195">
        <f ca="1">(1-Constants!$C$20/1000000000*Design!$B$33*1000000) * ($B7+AH7-AG7*AS7/1000) - (AH7+AG7*(1+($A7-25)*Constants!$C$36/100)*IF(ISBLANK(Design!$B$42),Constants!$C$6/1000,Design!$B$42/1000))</f>
        <v>10.750163523635546</v>
      </c>
      <c r="AU7" s="119">
        <f ca="1">IF(AT7&gt;Design!$C$29,Design!$C$29,AT7)</f>
        <v>4.9990521327014221</v>
      </c>
    </row>
    <row r="8" spans="1:47" s="120" customFormat="1" ht="12.75" customHeight="1">
      <c r="A8" s="112">
        <f>Design!$D$13</f>
        <v>85</v>
      </c>
      <c r="B8" s="113">
        <f t="shared" si="0"/>
        <v>11.139999999999995</v>
      </c>
      <c r="C8" s="114">
        <f>Design!$D$7</f>
        <v>2.5</v>
      </c>
      <c r="D8" s="114">
        <f ca="1">FORECAST(C8, OFFSET(Design!$C$15:$C$17,MATCH(C8,Design!$B$15:$B$17,1)-1,0,2), OFFSET(Design!$B$15:$B$17,MATCH(C8,Design!$B$15:$B$17,1)-1,0,2))+(M8-25)*Design!$B$18/1000</f>
        <v>0.3850613141885374</v>
      </c>
      <c r="E8" s="173">
        <f ca="1">IF(100*(Design!$C$29+D8+C8*IF(ISBLANK(Design!$B$42),Constants!$C$6,Design!$B$42)/1000*(1+Constants!$C$36/100*(N8-25)))/($B8+D8-C8*O8/1000)&gt;Design!$C$36,Design!$C$36,100*(Design!$C$29+D8+C8*IF(ISBLANK(Design!$B$42),Constants!$C$6,Design!$B$42)/1000*(1+Constants!$C$36/100*(N8-25)))/($B8+D8-C8*O8/1000))</f>
        <v>49.994410230784162</v>
      </c>
      <c r="F8" s="115">
        <f ca="1">IF(($B8-C8*IF(ISBLANK(Design!$B$42),Constants!$C$6,Design!$B$42)/1000*(1+Constants!$C$36/100*(N8-25))-Design!$C$29)/(IF(ISBLANK(Design!$B$41),Design!$B$39,Design!$B$41)/1000000)*E8/100/(IF(ISBLANK(Design!$B$33),Design!$B$32,Design!$B$33)*1000000)&lt;0, 0, ($B8-C8*IF(ISBLANK(Design!$B$42),Constants!$C$6,Design!$B$42)/1000*(1+Constants!$C$36/100*(N8-25))-Design!$C$29)/(IF(ISBLANK(Design!$B$41),Design!$B$39,Design!$B$41)/1000000)*E8/100/(IF(ISBLANK(Design!$B$33),Design!$B$32,Design!$B$33)*1000000))</f>
        <v>0.70658635401745551</v>
      </c>
      <c r="G8" s="165">
        <f>B8*Constants!$C$21/1000+IF(ISBLANK(Design!$B$33),Design!$B$32,Design!$B$33)*1000000*Constants!$D$25/1000000000*(B8-Constants!$C$24)</f>
        <v>4.6467499999999974E-2</v>
      </c>
      <c r="H8" s="165">
        <f>B8*C8*(B8/(Constants!$C$26*1000000000)*IF(ISBLANK(Design!$B$33),Design!$B$32,Design!$B$33)*1000000/2+B8/(Constants!$C$27*1000000000)*IF(ISBLANK(Design!$B$33),Design!$B$32,Design!$B$33)*1000000/2)</f>
        <v>0.1318558249999999</v>
      </c>
      <c r="I8" s="165">
        <f t="shared" ca="1" si="1"/>
        <v>0.61275364979941838</v>
      </c>
      <c r="J8" s="165">
        <f>Constants!$D$25/1000000000*Constants!$C$24*IF(ISBLANK(Design!$B$33),Design!$B$32,Design!$B$33)*1000000</f>
        <v>1.0624999999999999E-2</v>
      </c>
      <c r="K8" s="165">
        <f t="shared" ca="1" si="4"/>
        <v>0.80170197479941818</v>
      </c>
      <c r="L8" s="165">
        <f t="shared" ca="1" si="5"/>
        <v>0.48138045283267816</v>
      </c>
      <c r="M8" s="166">
        <f ca="1">A8+L8*Design!$B$19</f>
        <v>112.43868581146265</v>
      </c>
      <c r="N8" s="166">
        <f ca="1">K8*Design!$C$12+A8</f>
        <v>112.25786714318022</v>
      </c>
      <c r="O8" s="166">
        <f ca="1">Constants!$D$22+Constants!$D$22*Constants!$C$23/100*(N8-25)</f>
        <v>194.80629371454418</v>
      </c>
      <c r="P8" s="165">
        <f ca="1">(1-Constants!$C$20/1000000000*Design!$B$33*1000000) * ($B8+D8-C8*O8/1000) - (D8+C8*(1+($A8-25)*Constants!$C$36/100)*IF(ISBLANK(Design!$B$42),Constants!$C$6/1000,Design!$B$42/1000))</f>
        <v>10.130654869139669</v>
      </c>
      <c r="Q8" s="171">
        <f ca="1">IF(P8&gt;Design!$C$29,Design!$C$29,P8)</f>
        <v>4.9990521327014221</v>
      </c>
      <c r="R8" s="181">
        <f>2*Design!$D$7/3</f>
        <v>1.6666666666666667</v>
      </c>
      <c r="S8" s="116">
        <f ca="1">FORECAST(R8, OFFSET(Design!$C$15:$C$17,MATCH(R8,Design!$B$15:$B$17,1)-1,0,2), OFFSET(Design!$B$15:$B$17,MATCH(R8,Design!$B$15:$B$17,1)-1,0,2))+(AB8-25)*Design!$B$18/1000</f>
        <v>0.35666749001530196</v>
      </c>
      <c r="T8" s="182">
        <f ca="1">IF(100*(Design!$C$29+S8+R8*IF(ISBLANK(Design!$B$42),Constants!$C$6,Design!$B$42)/1000*(1+Constants!$C$36/100*(AC8-25)))/($B8+S8-R8*AD8/1000)&gt;Design!$C$36,Design!$C$36,100*(Design!$C$29+S8+R8*IF(ISBLANK(Design!$B$42),Constants!$C$6,Design!$B$42)/1000*(1+Constants!$C$36/100*(AC8-25)))/($B8+S8-R8*AD8/1000))</f>
        <v>48.628006266903377</v>
      </c>
      <c r="U8" s="117">
        <f ca="1">IF(($B8-R8*IF(ISBLANK(Design!$B$42),Constants!$C$6,Design!$B$42)/1000*(1+Constants!$C$36/100*(AC8-25))-Design!$C$29)/(Design!$B$41/1000000)*T8/100/(IF(ISBLANK(IF(ISBLANK(Design!$B$41),Design!$B$39,Design!$B$41)),Design!$B$32,Design!$B$33)*1000000)&lt;0,0,($B8-R8*IF(ISBLANK(Design!$B$42),Constants!$C$6,Design!$B$42)/1000*(1+Constants!$C$36/100*(AC8-25))-Design!$C$29)/(IF(ISBLANK(Design!$B$41),Design!$B$39,Design!$B$41)/1000000)*T8/100/(IF(ISBLANK(Design!$B$33),Design!$B$32,Design!$B$33)*1000000))</f>
        <v>0.69280906178928381</v>
      </c>
      <c r="V8" s="183">
        <f>$B8*Constants!$C$21/1000+IF(ISBLANK(Design!$B$33),Design!$B$32,Design!$B$33)*1000000*Constants!$D$25/1000000000*($B8-Constants!$C$24)</f>
        <v>4.6467499999999974E-2</v>
      </c>
      <c r="W8" s="183">
        <f>$B8*R8*($B8/(Constants!$C$26*1000000000)*IF(ISBLANK(Design!$B$33),Design!$B$32,Design!$B$33)*1000000/2+$B8/(Constants!$C$27*1000000000)*IF(ISBLANK(Design!$B$33),Design!$B$32,Design!$B$33)*1000000/2)</f>
        <v>8.7903883333333266E-2</v>
      </c>
      <c r="X8" s="183">
        <f t="shared" ca="1" si="2"/>
        <v>0.25183970080637447</v>
      </c>
      <c r="Y8" s="183">
        <f>Constants!$D$25/1000000000*Constants!$C$24*IF(ISBLANK(Design!$B$33),Design!$B$32,Design!$B$33)*1000000</f>
        <v>1.0624999999999999E-2</v>
      </c>
      <c r="Z8" s="183">
        <f t="shared" ca="1" si="10"/>
        <v>0.39683608413970772</v>
      </c>
      <c r="AA8" s="183">
        <f t="shared" ca="1" si="7"/>
        <v>0.30537866769775662</v>
      </c>
      <c r="AB8" s="184">
        <f ca="1">$A8+AA8*Design!$B$19</f>
        <v>102.40658405877213</v>
      </c>
      <c r="AC8" s="184">
        <f ca="1">Z8*Design!$C$12+$A8</f>
        <v>98.492426860750058</v>
      </c>
      <c r="AD8" s="184">
        <f ca="1">Constants!$D$22+Constants!$D$22*Constants!$C$23/100*(AC8-25)</f>
        <v>183.79394148860004</v>
      </c>
      <c r="AE8" s="183">
        <f ca="1">(1-Constants!$C$20/1000000000*Design!$B$33*1000000) * ($B8+S8-R8*AD8/1000) - (S8+R8*(1+($A8-25)*Constants!$C$36/100)*IF(ISBLANK(Design!$B$42),Constants!$C$6/1000,Design!$B$42/1000))</f>
        <v>10.347038911335986</v>
      </c>
      <c r="AF8" s="117">
        <f ca="1">IF(AE8&gt;Design!$C$29,Design!$C$29,AE8)</f>
        <v>4.9990521327014221</v>
      </c>
      <c r="AG8" s="118">
        <f>Design!$D$7/3</f>
        <v>0.83333333333333337</v>
      </c>
      <c r="AH8" s="118">
        <f ca="1">FORECAST(AG8, OFFSET(Design!$C$15:$C$17,MATCH(AG8,Design!$B$15:$B$17,1)-1,0,2), OFFSET(Design!$B$15:$B$17,MATCH(AG8,Design!$B$15:$B$17,1)-1,0,2))+(AQ8-25)*Design!$B$18/1000</f>
        <v>0.30170762972449583</v>
      </c>
      <c r="AI8" s="194">
        <f ca="1">IF(100*(Design!$C$29+AH8+AG8*IF(ISBLANK(Design!$B$42),Constants!$C$6,Design!$B$42)/1000*(1+Constants!$C$36/100*(AR8-25)))/($B8+AH8-AG8*AS8/1000)&gt;Design!$C$36,Design!$C$36,100*(Design!$C$29+AH8+AG8*IF(ISBLANK(Design!$B$42),Constants!$C$6,Design!$B$42)/1000*(1+Constants!$C$36/100*(AR8-25)))/($B8+AH8-AG8*AS8/1000))</f>
        <v>47.306047725326849</v>
      </c>
      <c r="AJ8" s="119">
        <f ca="1">IF(($B8-AG8*IF(ISBLANK(Design!$B$42),Constants!$C$6,Design!$B$42)/1000*(1+Constants!$C$36/100*(AR8-25))-Design!$C$29)/(IF(ISBLANK(Design!$B$41),Design!$B$39,Design!$B$41)/1000000)*AI8/100/(IF(ISBLANK(Design!$B$33),Design!$B$32,Design!$B$33)*1000000)&lt;0,0,($B8-AG8*IF(ISBLANK(Design!$B$42),Constants!$C$6,Design!$B$42)/1000*(1+Constants!$C$36/100*(AR8-25))-Design!$C$29)/(IF(ISBLANK(Design!$B$41),Design!$B$39,Design!$B$41)/1000000)*AI8/100/(IF(ISBLANK(Design!$B$33),Design!$B$32,Design!$B$33)*1000000))</f>
        <v>0.6788730092286327</v>
      </c>
      <c r="AK8" s="195">
        <f>$B8*Constants!$C$21/1000+IF(ISBLANK(Design!$B$33),Design!$B$32,Design!$B$33)*1000000*Constants!$D$25/1000000000*($B8-Constants!$C$24)</f>
        <v>4.6467499999999974E-2</v>
      </c>
      <c r="AL8" s="195">
        <f>$B8*AG8*($B8/(Constants!$C$26*1000000000)*IF(ISBLANK(Design!$B$33),Design!$B$32,Design!$B$33)*1000000/2+$B8/(Constants!$C$27*1000000000)*IF(ISBLANK(Design!$B$33),Design!$B$32,Design!$B$33)*1000000/2)</f>
        <v>4.3951941666666633E-2</v>
      </c>
      <c r="AM8" s="195">
        <f t="shared" ca="1" si="3"/>
        <v>6.1508902503164514E-2</v>
      </c>
      <c r="AN8" s="195">
        <f>Constants!$D$25/1000000000*Constants!$C$24*IF(ISBLANK(Design!$B$33),Design!$B$32,Design!$B$33)*1000000</f>
        <v>1.0624999999999999E-2</v>
      </c>
      <c r="AO8" s="195">
        <f t="shared" ca="1" si="11"/>
        <v>0.16255334416983111</v>
      </c>
      <c r="AP8" s="195">
        <f t="shared" ca="1" si="9"/>
        <v>0.1324847286800612</v>
      </c>
      <c r="AQ8" s="196">
        <f ca="1">$A8+AP8*Design!$B$19</f>
        <v>92.551629534763492</v>
      </c>
      <c r="AR8" s="196">
        <f ca="1">AO8*Design!$C$12+$A8</f>
        <v>90.526813701774259</v>
      </c>
      <c r="AS8" s="196">
        <f ca="1">Constants!$D$22+Constants!$D$22*Constants!$C$23/100*(AR8-25)</f>
        <v>177.4214509614194</v>
      </c>
      <c r="AT8" s="195">
        <f ca="1">(1-Constants!$C$20/1000000000*Design!$B$33*1000000) * ($B8+AH8-AG8*AS8/1000) - (AH8+AG8*(1+($A8-25)*Constants!$C$36/100)*IF(ISBLANK(Design!$B$42),Constants!$C$6/1000,Design!$B$42/1000))</f>
        <v>10.542964894338331</v>
      </c>
      <c r="AU8" s="119">
        <f ca="1">IF(AT8&gt;Design!$C$29,Design!$C$29,AT8)</f>
        <v>4.9990521327014221</v>
      </c>
    </row>
    <row r="9" spans="1:47" s="120" customFormat="1" ht="12.75" customHeight="1">
      <c r="A9" s="112">
        <f>Design!$D$13</f>
        <v>85</v>
      </c>
      <c r="B9" s="113">
        <f t="shared" si="0"/>
        <v>10.924999999999995</v>
      </c>
      <c r="C9" s="114">
        <f>Design!$D$7</f>
        <v>2.5</v>
      </c>
      <c r="D9" s="114">
        <f ca="1">FORECAST(C9, OFFSET(Design!$C$15:$C$17,MATCH(C9,Design!$B$15:$B$17,1)-1,0,2), OFFSET(Design!$B$15:$B$17,MATCH(C9,Design!$B$15:$B$17,1)-1,0,2))+(M9-25)*Design!$B$18/1000</f>
        <v>0.38557336511061252</v>
      </c>
      <c r="E9" s="173">
        <f ca="1">IF(100*(Design!$C$29+D9+C9*IF(ISBLANK(Design!$B$42),Constants!$C$6,Design!$B$42)/1000*(1+Constants!$C$36/100*(N9-25)))/($B9+D9-C9*O9/1000)&gt;Design!$C$36,Design!$C$36,100*(Design!$C$29+D9+C9*IF(ISBLANK(Design!$B$42),Constants!$C$6,Design!$B$42)/1000*(1+Constants!$C$36/100*(N9-25)))/($B9+D9-C9*O9/1000))</f>
        <v>50.992765987653939</v>
      </c>
      <c r="F9" s="115">
        <f ca="1">IF(($B9-C9*IF(ISBLANK(Design!$B$42),Constants!$C$6,Design!$B$42)/1000*(1+Constants!$C$36/100*(N9-25))-Design!$C$29)/(IF(ISBLANK(Design!$B$41),Design!$B$39,Design!$B$41)/1000000)*E9/100/(IF(ISBLANK(Design!$B$33),Design!$B$32,Design!$B$33)*1000000)&lt;0, 0, ($B9-C9*IF(ISBLANK(Design!$B$42),Constants!$C$6,Design!$B$42)/1000*(1+Constants!$C$36/100*(N9-25))-Design!$C$29)/(IF(ISBLANK(Design!$B$41),Design!$B$39,Design!$B$41)/1000000)*E9/100/(IF(ISBLANK(Design!$B$33),Design!$B$32,Design!$B$33)*1000000))</f>
        <v>0.6948896167124885</v>
      </c>
      <c r="G9" s="165">
        <f>B9*Constants!$C$21/1000+IF(ISBLANK(Design!$B$33),Design!$B$32,Design!$B$33)*1000000*Constants!$D$25/1000000000*(B9-Constants!$C$24)</f>
        <v>4.5365624999999979E-2</v>
      </c>
      <c r="H9" s="165">
        <f>B9*C9*(B9/(Constants!$C$26*1000000000)*IF(ISBLANK(Design!$B$33),Design!$B$32,Design!$B$33)*1000000/2+B9/(Constants!$C$27*1000000000)*IF(ISBLANK(Design!$B$33),Design!$B$32,Design!$B$33)*1000000/2)</f>
        <v>0.1268153515624999</v>
      </c>
      <c r="I9" s="165">
        <f t="shared" ca="1" si="1"/>
        <v>0.62542376012576606</v>
      </c>
      <c r="J9" s="165">
        <f>Constants!$D$25/1000000000*Constants!$C$24*IF(ISBLANK(Design!$B$33),Design!$B$32,Design!$B$33)*1000000</f>
        <v>1.0624999999999999E-2</v>
      </c>
      <c r="K9" s="165">
        <f t="shared" ca="1" si="4"/>
        <v>0.80822973668826592</v>
      </c>
      <c r="L9" s="165">
        <f t="shared" ca="1" si="5"/>
        <v>0.47239710332258839</v>
      </c>
      <c r="M9" s="166">
        <f ca="1">A9+L9*Design!$B$19</f>
        <v>111.92663488938754</v>
      </c>
      <c r="N9" s="166">
        <f ca="1">K9*Design!$C$12+A9</f>
        <v>112.47981104740104</v>
      </c>
      <c r="O9" s="166">
        <f ca="1">Constants!$D$22+Constants!$D$22*Constants!$C$23/100*(N9-25)</f>
        <v>194.98384883792085</v>
      </c>
      <c r="P9" s="165">
        <f ca="1">(1-Constants!$C$20/1000000000*Design!$B$33*1000000) * ($B9+D9-C9*O9/1000) - (D9+C9*(1+($A9-25)*Constants!$C$36/100)*IF(ISBLANK(Design!$B$42),Constants!$C$6/1000,Design!$B$42/1000))</f>
        <v>9.9229753939387475</v>
      </c>
      <c r="Q9" s="171">
        <f ca="1">IF(P9&gt;Design!$C$29,Design!$C$29,P9)</f>
        <v>4.9990521327014221</v>
      </c>
      <c r="R9" s="181">
        <f>2*Design!$D$7/3</f>
        <v>1.6666666666666667</v>
      </c>
      <c r="S9" s="116">
        <f ca="1">FORECAST(R9, OFFSET(Design!$C$15:$C$17,MATCH(R9,Design!$B$15:$B$17,1)-1,0,2), OFFSET(Design!$B$15:$B$17,MATCH(R9,Design!$B$15:$B$17,1)-1,0,2))+(AB9-25)*Design!$B$18/1000</f>
        <v>0.35697600023473824</v>
      </c>
      <c r="T9" s="182">
        <f ca="1">IF(100*(Design!$C$29+S9+R9*IF(ISBLANK(Design!$B$42),Constants!$C$6,Design!$B$42)/1000*(1+Constants!$C$36/100*(AC9-25)))/($B9+S9-R9*AD9/1000)&gt;Design!$C$36,Design!$C$36,100*(Design!$C$29+S9+R9*IF(ISBLANK(Design!$B$42),Constants!$C$6,Design!$B$42)/1000*(1+Constants!$C$36/100*(AC9-25)))/($B9+S9-R9*AD9/1000))</f>
        <v>49.582121905607622</v>
      </c>
      <c r="U9" s="117">
        <f ca="1">IF(($B9-R9*IF(ISBLANK(Design!$B$42),Constants!$C$6,Design!$B$42)/1000*(1+Constants!$C$36/100*(AC9-25))-Design!$C$29)/(Design!$B$41/1000000)*T9/100/(IF(ISBLANK(IF(ISBLANK(Design!$B$41),Design!$B$39,Design!$B$41)),Design!$B$32,Design!$B$33)*1000000)&lt;0,0,($B9-R9*IF(ISBLANK(Design!$B$42),Constants!$C$6,Design!$B$42)/1000*(1+Constants!$C$36/100*(AC9-25))-Design!$C$29)/(IF(ISBLANK(Design!$B$41),Design!$B$39,Design!$B$41)/1000000)*T9/100/(IF(ISBLANK(Design!$B$33),Design!$B$32,Design!$B$33)*1000000))</f>
        <v>0.68131935369273333</v>
      </c>
      <c r="V9" s="183">
        <f>$B9*Constants!$C$21/1000+IF(ISBLANK(Design!$B$33),Design!$B$32,Design!$B$33)*1000000*Constants!$D$25/1000000000*($B9-Constants!$C$24)</f>
        <v>4.5365624999999979E-2</v>
      </c>
      <c r="W9" s="183">
        <f>$B9*R9*($B9/(Constants!$C$26*1000000000)*IF(ISBLANK(Design!$B$33),Design!$B$32,Design!$B$33)*1000000/2+$B9/(Constants!$C$27*1000000000)*IF(ISBLANK(Design!$B$33),Design!$B$32,Design!$B$33)*1000000/2)</f>
        <v>8.4543567708333253E-2</v>
      </c>
      <c r="X9" s="183">
        <f t="shared" ca="1" si="2"/>
        <v>0.25667525658744295</v>
      </c>
      <c r="Y9" s="183">
        <f>Constants!$D$25/1000000000*Constants!$C$24*IF(ISBLANK(Design!$B$33),Design!$B$32,Design!$B$33)*1000000</f>
        <v>1.0624999999999999E-2</v>
      </c>
      <c r="Z9" s="183">
        <f t="shared" ca="1" si="10"/>
        <v>0.39720944929577617</v>
      </c>
      <c r="AA9" s="183">
        <f t="shared" ca="1" si="7"/>
        <v>0.29996620770764698</v>
      </c>
      <c r="AB9" s="184">
        <f ca="1">$A9+AA9*Design!$B$19</f>
        <v>102.09807383933588</v>
      </c>
      <c r="AC9" s="184">
        <f ca="1">Z9*Design!$C$12+$A9</f>
        <v>98.505121276056386</v>
      </c>
      <c r="AD9" s="184">
        <f ca="1">Constants!$D$22+Constants!$D$22*Constants!$C$23/100*(AC9-25)</f>
        <v>183.80409702084512</v>
      </c>
      <c r="AE9" s="183">
        <f ca="1">(1-Constants!$C$20/1000000000*Design!$B$33*1000000) * ($B9+S9-R9*AD9/1000) - (S9+R9*(1+($A9-25)*Constants!$C$36/100)*IF(ISBLANK(Design!$B$42),Constants!$C$6/1000,Design!$B$42/1000))</f>
        <v>10.139778326964905</v>
      </c>
      <c r="AF9" s="117">
        <f ca="1">IF(AE9&gt;Design!$C$29,Design!$C$29,AE9)</f>
        <v>4.9990521327014221</v>
      </c>
      <c r="AG9" s="118">
        <f>Design!$D$7/3</f>
        <v>0.83333333333333337</v>
      </c>
      <c r="AH9" s="118">
        <f ca="1">FORECAST(AG9, OFFSET(Design!$C$15:$C$17,MATCH(AG9,Design!$B$15:$B$17,1)-1,0,2), OFFSET(Design!$B$15:$B$17,MATCH(AG9,Design!$B$15:$B$17,1)-1,0,2))+(AQ9-25)*Design!$B$18/1000</f>
        <v>0.30183608739461909</v>
      </c>
      <c r="AI9" s="194">
        <f ca="1">IF(100*(Design!$C$29+AH9+AG9*IF(ISBLANK(Design!$B$42),Constants!$C$6,Design!$B$42)/1000*(1+Constants!$C$36/100*(AR9-25)))/($B9+AH9-AG9*AS9/1000)&gt;Design!$C$36,Design!$C$36,100*(Design!$C$29+AH9+AG9*IF(ISBLANK(Design!$B$42),Constants!$C$6,Design!$B$42)/1000*(1+Constants!$C$36/100*(AR9-25)))/($B9+AH9-AG9*AS9/1000))</f>
        <v>48.224447327545406</v>
      </c>
      <c r="AJ9" s="119">
        <f ca="1">IF(($B9-AG9*IF(ISBLANK(Design!$B$42),Constants!$C$6,Design!$B$42)/1000*(1+Constants!$C$36/100*(AR9-25))-Design!$C$29)/(IF(ISBLANK(Design!$B$41),Design!$B$39,Design!$B$41)/1000000)*AI9/100/(IF(ISBLANK(Design!$B$33),Design!$B$32,Design!$B$33)*1000000)&lt;0,0,($B9-AG9*IF(ISBLANK(Design!$B$42),Constants!$C$6,Design!$B$42)/1000*(1+Constants!$C$36/100*(AR9-25))-Design!$C$29)/(IF(ISBLANK(Design!$B$41),Design!$B$39,Design!$B$41)/1000000)*AI9/100/(IF(ISBLANK(Design!$B$33),Design!$B$32,Design!$B$33)*1000000))</f>
        <v>0.66765761806098045</v>
      </c>
      <c r="AK9" s="195">
        <f>$B9*Constants!$C$21/1000+IF(ISBLANK(Design!$B$33),Design!$B$32,Design!$B$33)*1000000*Constants!$D$25/1000000000*($B9-Constants!$C$24)</f>
        <v>4.5365624999999979E-2</v>
      </c>
      <c r="AL9" s="195">
        <f>$B9*AG9*($B9/(Constants!$C$26*1000000000)*IF(ISBLANK(Design!$B$33),Design!$B$32,Design!$B$33)*1000000/2+$B9/(Constants!$C$27*1000000000)*IF(ISBLANK(Design!$B$33),Design!$B$32,Design!$B$33)*1000000/2)</f>
        <v>4.2271783854166627E-2</v>
      </c>
      <c r="AM9" s="195">
        <f t="shared" ca="1" si="3"/>
        <v>6.2578930407498609E-2</v>
      </c>
      <c r="AN9" s="195">
        <f>Constants!$D$25/1000000000*Constants!$C$24*IF(ISBLANK(Design!$B$33),Design!$B$32,Design!$B$33)*1000000</f>
        <v>1.0624999999999999E-2</v>
      </c>
      <c r="AO9" s="195">
        <f t="shared" ca="1" si="11"/>
        <v>0.16084133926166522</v>
      </c>
      <c r="AP9" s="195">
        <f t="shared" ca="1" si="9"/>
        <v>0.13023108534456426</v>
      </c>
      <c r="AQ9" s="196">
        <f ca="1">$A9+AP9*Design!$B$19</f>
        <v>92.423171864640167</v>
      </c>
      <c r="AR9" s="196">
        <f ca="1">AO9*Design!$C$12+$A9</f>
        <v>90.468605534896625</v>
      </c>
      <c r="AS9" s="196">
        <f ca="1">Constants!$D$22+Constants!$D$22*Constants!$C$23/100*(AR9-25)</f>
        <v>177.37488442791729</v>
      </c>
      <c r="AT9" s="195">
        <f ca="1">(1-Constants!$C$20/1000000000*Design!$B$33*1000000) * ($B9+AH9-AG9*AS9/1000) - (AH9+AG9*(1+($A9-25)*Constants!$C$36/100)*IF(ISBLANK(Design!$B$42),Constants!$C$6/1000,Design!$B$42/1000))</f>
        <v>10.3357645324029</v>
      </c>
      <c r="AU9" s="119">
        <f ca="1">IF(AT9&gt;Design!$C$29,Design!$C$29,AT9)</f>
        <v>4.9990521327014221</v>
      </c>
    </row>
    <row r="10" spans="1:47" s="120" customFormat="1" ht="12.75" customHeight="1">
      <c r="A10" s="112">
        <f>Design!$D$13</f>
        <v>85</v>
      </c>
      <c r="B10" s="113">
        <f t="shared" si="0"/>
        <v>10.709999999999996</v>
      </c>
      <c r="C10" s="114">
        <f>Design!$D$7</f>
        <v>2.5</v>
      </c>
      <c r="D10" s="114">
        <f ca="1">FORECAST(C10, OFFSET(Design!$C$15:$C$17,MATCH(C10,Design!$B$15:$B$17,1)-1,0,2), OFFSET(Design!$B$15:$B$17,MATCH(C10,Design!$B$15:$B$17,1)-1,0,2))+(M10-25)*Design!$B$18/1000</f>
        <v>0.3861078245532778</v>
      </c>
      <c r="E10" s="173">
        <f ca="1">IF(100*(Design!$C$29+D10+C10*IF(ISBLANK(Design!$B$42),Constants!$C$6,Design!$B$42)/1000*(1+Constants!$C$36/100*(N10-25)))/($B10+D10-C10*O10/1000)&gt;Design!$C$36,Design!$C$36,100*(Design!$C$29+D10+C10*IF(ISBLANK(Design!$B$42),Constants!$C$6,Design!$B$42)/1000*(1+Constants!$C$36/100*(N10-25)))/($B10+D10-C10*O10/1000))</f>
        <v>52.031987706229032</v>
      </c>
      <c r="F10" s="115">
        <f ca="1">IF(($B10-C10*IF(ISBLANK(Design!$B$42),Constants!$C$6,Design!$B$42)/1000*(1+Constants!$C$36/100*(N10-25))-Design!$C$29)/(IF(ISBLANK(Design!$B$41),Design!$B$39,Design!$B$41)/1000000)*E10/100/(IF(ISBLANK(Design!$B$33),Design!$B$32,Design!$B$33)*1000000)&lt;0, 0, ($B10-C10*IF(ISBLANK(Design!$B$42),Constants!$C$6,Design!$B$42)/1000*(1+Constants!$C$36/100*(N10-25))-Design!$C$29)/(IF(ISBLANK(Design!$B$41),Design!$B$39,Design!$B$41)/1000000)*E10/100/(IF(ISBLANK(Design!$B$33),Design!$B$32,Design!$B$33)*1000000))</f>
        <v>0.68271747477446132</v>
      </c>
      <c r="G10" s="165">
        <f>B10*Constants!$C$21/1000+IF(ISBLANK(Design!$B$33),Design!$B$32,Design!$B$33)*1000000*Constants!$D$25/1000000000*(B10-Constants!$C$24)</f>
        <v>4.4263749999999977E-2</v>
      </c>
      <c r="H10" s="165">
        <f>B10*C10*(B10/(Constants!$C$26*1000000000)*IF(ISBLANK(Design!$B$33),Design!$B$32,Design!$B$33)*1000000/2+B10/(Constants!$C$27*1000000000)*IF(ISBLANK(Design!$B$33),Design!$B$32,Design!$B$33)*1000000/2)</f>
        <v>0.12187310624999988</v>
      </c>
      <c r="I10" s="165">
        <f t="shared" ca="1" si="1"/>
        <v>0.63866891630724709</v>
      </c>
      <c r="J10" s="165">
        <f>Constants!$D$25/1000000000*Constants!$C$24*IF(ISBLANK(Design!$B$33),Design!$B$32,Design!$B$33)*1000000</f>
        <v>1.0624999999999999E-2</v>
      </c>
      <c r="K10" s="165">
        <f t="shared" ca="1" si="4"/>
        <v>0.81543077255724694</v>
      </c>
      <c r="L10" s="165">
        <f t="shared" ca="1" si="5"/>
        <v>0.46302062187231985</v>
      </c>
      <c r="M10" s="166">
        <f ca="1">A10+L10*Design!$B$19</f>
        <v>111.39217544672223</v>
      </c>
      <c r="N10" s="166">
        <f ca="1">K10*Design!$C$12+A10</f>
        <v>112.72464626694639</v>
      </c>
      <c r="O10" s="166">
        <f ca="1">Constants!$D$22+Constants!$D$22*Constants!$C$23/100*(N10-25)</f>
        <v>195.17971701355714</v>
      </c>
      <c r="P10" s="165">
        <f ca="1">(1-Constants!$C$20/1000000000*Design!$B$33*1000000) * ($B10+D10-C10*O10/1000) - (D10+C10*(1+($A10-25)*Constants!$C$36/100)*IF(ISBLANK(Design!$B$42),Constants!$C$6/1000,Design!$B$42/1000))</f>
        <v>9.7152509804969025</v>
      </c>
      <c r="Q10" s="171">
        <f ca="1">IF(P10&gt;Design!$C$29,Design!$C$29,P10)</f>
        <v>4.9990521327014221</v>
      </c>
      <c r="R10" s="181">
        <f>2*Design!$D$7/3</f>
        <v>1.6666666666666667</v>
      </c>
      <c r="S10" s="116">
        <f ca="1">FORECAST(R10, OFFSET(Design!$C$15:$C$17,MATCH(R10,Design!$B$15:$B$17,1)-1,0,2), OFFSET(Design!$B$15:$B$17,MATCH(R10,Design!$B$15:$B$17,1)-1,0,2))+(AB10-25)*Design!$B$18/1000</f>
        <v>0.35729743303160932</v>
      </c>
      <c r="T10" s="182">
        <f ca="1">IF(100*(Design!$C$29+S10+R10*IF(ISBLANK(Design!$B$42),Constants!$C$6,Design!$B$42)/1000*(1+Constants!$C$36/100*(AC10-25)))/($B10+S10-R10*AD10/1000)&gt;Design!$C$36,Design!$C$36,100*(Design!$C$29+S10+R10*IF(ISBLANK(Design!$B$42),Constants!$C$6,Design!$B$42)/1000*(1+Constants!$C$36/100*(AC10-25)))/($B10+S10-R10*AD10/1000))</f>
        <v>50.57444997540577</v>
      </c>
      <c r="U10" s="117">
        <f ca="1">IF(($B10-R10*IF(ISBLANK(Design!$B$42),Constants!$C$6,Design!$B$42)/1000*(1+Constants!$C$36/100*(AC10-25))-Design!$C$29)/(Design!$B$41/1000000)*T10/100/(IF(ISBLANK(IF(ISBLANK(Design!$B$41),Design!$B$39,Design!$B$41)),Design!$B$32,Design!$B$33)*1000000)&lt;0,0,($B10-R10*IF(ISBLANK(Design!$B$42),Constants!$C$6,Design!$B$42)/1000*(1+Constants!$C$36/100*(AC10-25))-Design!$C$29)/(IF(ISBLANK(Design!$B$41),Design!$B$39,Design!$B$41)/1000000)*T10/100/(IF(ISBLANK(Design!$B$33),Design!$B$32,Design!$B$33)*1000000))</f>
        <v>0.66936976189688202</v>
      </c>
      <c r="V10" s="183">
        <f>$B10*Constants!$C$21/1000+IF(ISBLANK(Design!$B$33),Design!$B$32,Design!$B$33)*1000000*Constants!$D$25/1000000000*($B10-Constants!$C$24)</f>
        <v>4.4263749999999977E-2</v>
      </c>
      <c r="W10" s="183">
        <f>$B10*R10*($B10/(Constants!$C$26*1000000000)*IF(ISBLANK(Design!$B$33),Design!$B$32,Design!$B$33)*1000000/2+$B10/(Constants!$C$27*1000000000)*IF(ISBLANK(Design!$B$33),Design!$B$32,Design!$B$33)*1000000/2)</f>
        <v>8.1248737499999932E-2</v>
      </c>
      <c r="X10" s="183">
        <f t="shared" ca="1" si="2"/>
        <v>0.26171206972395217</v>
      </c>
      <c r="Y10" s="183">
        <f>Constants!$D$25/1000000000*Constants!$C$24*IF(ISBLANK(Design!$B$33),Design!$B$32,Design!$B$33)*1000000</f>
        <v>1.0624999999999999E-2</v>
      </c>
      <c r="Z10" s="183">
        <f t="shared" ca="1" si="10"/>
        <v>0.3978495572239521</v>
      </c>
      <c r="AA10" s="183">
        <f t="shared" ca="1" si="7"/>
        <v>0.2943270358327153</v>
      </c>
      <c r="AB10" s="184">
        <f ca="1">$A10+AA10*Design!$B$19</f>
        <v>101.77664104246477</v>
      </c>
      <c r="AC10" s="184">
        <f ca="1">Z10*Design!$C$12+$A10</f>
        <v>98.52688494561437</v>
      </c>
      <c r="AD10" s="184">
        <f ca="1">Constants!$D$22+Constants!$D$22*Constants!$C$23/100*(AC10-25)</f>
        <v>183.8215079564915</v>
      </c>
      <c r="AE10" s="183">
        <f ca="1">(1-Constants!$C$20/1000000000*Design!$B$33*1000000) * ($B10+S10-R10*AD10/1000) - (S10+R10*(1+($A10-25)*Constants!$C$36/100)*IF(ISBLANK(Design!$B$42),Constants!$C$6/1000,Design!$B$42/1000))</f>
        <v>9.9325056202624573</v>
      </c>
      <c r="AF10" s="117">
        <f ca="1">IF(AE10&gt;Design!$C$29,Design!$C$29,AE10)</f>
        <v>4.9990521327014221</v>
      </c>
      <c r="AG10" s="118">
        <f>Design!$D$7/3</f>
        <v>0.83333333333333337</v>
      </c>
      <c r="AH10" s="118">
        <f ca="1">FORECAST(AG10, OFFSET(Design!$C$15:$C$17,MATCH(AG10,Design!$B$15:$B$17,1)-1,0,2), OFFSET(Design!$B$15:$B$17,MATCH(AG10,Design!$B$15:$B$17,1)-1,0,2))+(AQ10-25)*Design!$B$18/1000</f>
        <v>0.30196974630634271</v>
      </c>
      <c r="AI10" s="194">
        <f ca="1">IF(100*(Design!$C$29+AH10+AG10*IF(ISBLANK(Design!$B$42),Constants!$C$6,Design!$B$42)/1000*(1+Constants!$C$36/100*(AR10-25)))/($B10+AH10-AG10*AS10/1000)&gt;Design!$C$36,Design!$C$36,100*(Design!$C$29+AH10+AG10*IF(ISBLANK(Design!$B$42),Constants!$C$6,Design!$B$42)/1000*(1+Constants!$C$36/100*(AR10-25)))/($B10+AH10-AG10*AS10/1000))</f>
        <v>49.179203392106892</v>
      </c>
      <c r="AJ10" s="119">
        <f ca="1">IF(($B10-AG10*IF(ISBLANK(Design!$B$42),Constants!$C$6,Design!$B$42)/1000*(1+Constants!$C$36/100*(AR10-25))-Design!$C$29)/(IF(ISBLANK(Design!$B$41),Design!$B$39,Design!$B$41)/1000000)*AI10/100/(IF(ISBLANK(Design!$B$33),Design!$B$32,Design!$B$33)*1000000)&lt;0,0,($B10-AG10*IF(ISBLANK(Design!$B$42),Constants!$C$6,Design!$B$42)/1000*(1+Constants!$C$36/100*(AR10-25))-Design!$C$29)/(IF(ISBLANK(Design!$B$41),Design!$B$39,Design!$B$41)/1000000)*AI10/100/(IF(ISBLANK(Design!$B$33),Design!$B$32,Design!$B$33)*1000000))</f>
        <v>0.65599797403167004</v>
      </c>
      <c r="AK10" s="195">
        <f>$B10*Constants!$C$21/1000+IF(ISBLANK(Design!$B$33),Design!$B$32,Design!$B$33)*1000000*Constants!$D$25/1000000000*($B10-Constants!$C$24)</f>
        <v>4.4263749999999977E-2</v>
      </c>
      <c r="AL10" s="195">
        <f>$B10*AG10*($B10/(Constants!$C$26*1000000000)*IF(ISBLANK(Design!$B$33),Design!$B$32,Design!$B$33)*1000000/2+$B10/(Constants!$C$27*1000000000)*IF(ISBLANK(Design!$B$33),Design!$B$32,Design!$B$33)*1000000/2)</f>
        <v>4.0624368749999966E-2</v>
      </c>
      <c r="AM10" s="195">
        <f t="shared" ca="1" si="3"/>
        <v>6.3689682370429393E-2</v>
      </c>
      <c r="AN10" s="195">
        <f>Constants!$D$25/1000000000*Constants!$C$24*IF(ISBLANK(Design!$B$33),Design!$B$32,Design!$B$33)*1000000</f>
        <v>1.0624999999999999E-2</v>
      </c>
      <c r="AO10" s="195">
        <f t="shared" ca="1" si="11"/>
        <v>0.15920280112042934</v>
      </c>
      <c r="AP10" s="195">
        <f t="shared" ca="1" si="9"/>
        <v>0.12788619215643104</v>
      </c>
      <c r="AQ10" s="196">
        <f ca="1">$A10+AP10*Design!$B$19</f>
        <v>92.289512952916567</v>
      </c>
      <c r="AR10" s="196">
        <f ca="1">AO10*Design!$C$12+$A10</f>
        <v>90.412895238094592</v>
      </c>
      <c r="AS10" s="196">
        <f ca="1">Constants!$D$22+Constants!$D$22*Constants!$C$23/100*(AR10-25)</f>
        <v>177.33031619047568</v>
      </c>
      <c r="AT10" s="195">
        <f ca="1">(1-Constants!$C$20/1000000000*Design!$B$33*1000000) * ($B10+AH10-AG10*AS10/1000) - (AH10+AG10*(1+($A10-25)*Constants!$C$36/100)*IF(ISBLANK(Design!$B$42),Constants!$C$6/1000,Design!$B$42/1000))</f>
        <v>10.128562377482933</v>
      </c>
      <c r="AU10" s="119">
        <f ca="1">IF(AT10&gt;Design!$C$29,Design!$C$29,AT10)</f>
        <v>4.9990521327014221</v>
      </c>
    </row>
    <row r="11" spans="1:47" s="120" customFormat="1" ht="12.75" customHeight="1">
      <c r="A11" s="112">
        <f>Design!$D$13</f>
        <v>85</v>
      </c>
      <c r="B11" s="113">
        <f t="shared" si="0"/>
        <v>10.494999999999996</v>
      </c>
      <c r="C11" s="114">
        <f>Design!$D$7</f>
        <v>2.5</v>
      </c>
      <c r="D11" s="114">
        <f ca="1">FORECAST(C11, OFFSET(Design!$C$15:$C$17,MATCH(C11,Design!$B$15:$B$17,1)-1,0,2), OFFSET(Design!$B$15:$B$17,MATCH(C11,Design!$B$15:$B$17,1)-1,0,2))+(M11-25)*Design!$B$18/1000</f>
        <v>0.38666619985021478</v>
      </c>
      <c r="E11" s="173">
        <f ca="1">IF(100*(Design!$C$29+D11+C11*IF(ISBLANK(Design!$B$42),Constants!$C$6,Design!$B$42)/1000*(1+Constants!$C$36/100*(N11-25)))/($B11+D11-C11*O11/1000)&gt;Design!$C$36,Design!$C$36,100*(Design!$C$29+D11+C11*IF(ISBLANK(Design!$B$42),Constants!$C$6,Design!$B$42)/1000*(1+Constants!$C$36/100*(N11-25)))/($B11+D11-C11*O11/1000))</f>
        <v>53.114643668684899</v>
      </c>
      <c r="F11" s="115">
        <f ca="1">IF(($B11-C11*IF(ISBLANK(Design!$B$42),Constants!$C$6,Design!$B$42)/1000*(1+Constants!$C$36/100*(N11-25))-Design!$C$29)/(IF(ISBLANK(Design!$B$41),Design!$B$39,Design!$B$41)/1000000)*E11/100/(IF(ISBLANK(Design!$B$33),Design!$B$32,Design!$B$33)*1000000)&lt;0, 0, ($B11-C11*IF(ISBLANK(Design!$B$42),Constants!$C$6,Design!$B$42)/1000*(1+Constants!$C$36/100*(N11-25))-Design!$C$29)/(IF(ISBLANK(Design!$B$41),Design!$B$39,Design!$B$41)/1000000)*E11/100/(IF(ISBLANK(Design!$B$33),Design!$B$32,Design!$B$33)*1000000))</f>
        <v>0.67004014702133208</v>
      </c>
      <c r="G11" s="165">
        <f>B11*Constants!$C$21/1000+IF(ISBLANK(Design!$B$33),Design!$B$32,Design!$B$33)*1000000*Constants!$D$25/1000000000*(B11-Constants!$C$24)</f>
        <v>4.3161874999999975E-2</v>
      </c>
      <c r="H11" s="165">
        <f>B11*C11*(B11/(Constants!$C$26*1000000000)*IF(ISBLANK(Design!$B$33),Design!$B$32,Design!$B$33)*1000000/2+B11/(Constants!$C$27*1000000000)*IF(ISBLANK(Design!$B$33),Design!$B$32,Design!$B$33)*1000000/2)</f>
        <v>0.11702908906249991</v>
      </c>
      <c r="I11" s="165">
        <f t="shared" ca="1" si="1"/>
        <v>0.6525287343875007</v>
      </c>
      <c r="J11" s="165">
        <f>Constants!$D$25/1000000000*Constants!$C$24*IF(ISBLANK(Design!$B$33),Design!$B$32,Design!$B$33)*1000000</f>
        <v>1.0624999999999999E-2</v>
      </c>
      <c r="K11" s="165">
        <f t="shared" ca="1" si="4"/>
        <v>0.82334469845000058</v>
      </c>
      <c r="L11" s="165">
        <f t="shared" ca="1" si="5"/>
        <v>0.45322456403132039</v>
      </c>
      <c r="M11" s="166">
        <f ca="1">A11+L11*Design!$B$19</f>
        <v>110.83380014978526</v>
      </c>
      <c r="N11" s="166">
        <f ca="1">K11*Design!$C$12+A11</f>
        <v>112.99371974730002</v>
      </c>
      <c r="O11" s="166">
        <f ca="1">Constants!$D$22+Constants!$D$22*Constants!$C$23/100*(N11-25)</f>
        <v>195.39497579784</v>
      </c>
      <c r="P11" s="165">
        <f ca="1">(1-Constants!$C$20/1000000000*Design!$B$33*1000000) * ($B11+D11-C11*O11/1000) - (D11+C11*(1+($A11-25)*Constants!$C$36/100)*IF(ISBLANK(Design!$B$42),Constants!$C$6/1000,Design!$B$42/1000))</f>
        <v>9.5074789777875495</v>
      </c>
      <c r="Q11" s="171">
        <f ca="1">IF(P11&gt;Design!$C$29,Design!$C$29,P11)</f>
        <v>4.9990521327014221</v>
      </c>
      <c r="R11" s="181">
        <f>2*Design!$D$7/3</f>
        <v>1.6666666666666667</v>
      </c>
      <c r="S11" s="116">
        <f ca="1">FORECAST(R11, OFFSET(Design!$C$15:$C$17,MATCH(R11,Design!$B$15:$B$17,1)-1,0,2), OFFSET(Design!$B$15:$B$17,MATCH(R11,Design!$B$15:$B$17,1)-1,0,2))+(AB11-25)*Design!$B$18/1000</f>
        <v>0.35763261732631518</v>
      </c>
      <c r="T11" s="182">
        <f ca="1">IF(100*(Design!$C$29+S11+R11*IF(ISBLANK(Design!$B$42),Constants!$C$6,Design!$B$42)/1000*(1+Constants!$C$36/100*(AC11-25)))/($B11+S11-R11*AD11/1000)&gt;Design!$C$36,Design!$C$36,100*(Design!$C$29+S11+R11*IF(ISBLANK(Design!$B$42),Constants!$C$6,Design!$B$42)/1000*(1+Constants!$C$36/100*(AC11-25)))/($B11+S11-R11*AD11/1000))</f>
        <v>51.607331831265554</v>
      </c>
      <c r="U11" s="117">
        <f ca="1">IF(($B11-R11*IF(ISBLANK(Design!$B$42),Constants!$C$6,Design!$B$42)/1000*(1+Constants!$C$36/100*(AC11-25))-Design!$C$29)/(Design!$B$41/1000000)*T11/100/(IF(ISBLANK(IF(ISBLANK(Design!$B$41),Design!$B$39,Design!$B$41)),Design!$B$32,Design!$B$33)*1000000)&lt;0,0,($B11-R11*IF(ISBLANK(Design!$B$42),Constants!$C$6,Design!$B$42)/1000*(1+Constants!$C$36/100*(AC11-25))-Design!$C$29)/(IF(ISBLANK(Design!$B$41),Design!$B$39,Design!$B$41)/1000000)*T11/100/(IF(ISBLANK(Design!$B$33),Design!$B$32,Design!$B$33)*1000000))</f>
        <v>0.65693206552471906</v>
      </c>
      <c r="V11" s="183">
        <f>$B11*Constants!$C$21/1000+IF(ISBLANK(Design!$B$33),Design!$B$32,Design!$B$33)*1000000*Constants!$D$25/1000000000*($B11-Constants!$C$24)</f>
        <v>4.3161874999999975E-2</v>
      </c>
      <c r="W11" s="183">
        <f>$B11*R11*($B11/(Constants!$C$26*1000000000)*IF(ISBLANK(Design!$B$33),Design!$B$32,Design!$B$33)*1000000/2+$B11/(Constants!$C$27*1000000000)*IF(ISBLANK(Design!$B$33),Design!$B$32,Design!$B$33)*1000000/2)</f>
        <v>7.8019392708333274E-2</v>
      </c>
      <c r="X11" s="183">
        <f t="shared" ca="1" si="2"/>
        <v>0.26696292824714846</v>
      </c>
      <c r="Y11" s="183">
        <f>Constants!$D$25/1000000000*Constants!$C$24*IF(ISBLANK(Design!$B$33),Design!$B$32,Design!$B$33)*1000000</f>
        <v>1.0624999999999999E-2</v>
      </c>
      <c r="Z11" s="183">
        <f t="shared" ca="1" si="10"/>
        <v>0.39876919595548171</v>
      </c>
      <c r="AA11" s="183">
        <f t="shared" ca="1" si="7"/>
        <v>0.288446609609806</v>
      </c>
      <c r="AB11" s="184">
        <f ca="1">$A11+AA11*Design!$B$19</f>
        <v>101.44145674775893</v>
      </c>
      <c r="AC11" s="184">
        <f ca="1">Z11*Design!$C$12+$A11</f>
        <v>98.558152662486378</v>
      </c>
      <c r="AD11" s="184">
        <f ca="1">Constants!$D$22+Constants!$D$22*Constants!$C$23/100*(AC11-25)</f>
        <v>183.8465221299891</v>
      </c>
      <c r="AE11" s="183">
        <f ca="1">(1-Constants!$C$20/1000000000*Design!$B$33*1000000) * ($B11+S11-R11*AD11/1000) - (S11+R11*(1+($A11-25)*Constants!$C$36/100)*IF(ISBLANK(Design!$B$42),Constants!$C$6/1000,Design!$B$42/1000))</f>
        <v>9.725220202502344</v>
      </c>
      <c r="AF11" s="117">
        <f ca="1">IF(AE11&gt;Design!$C$29,Design!$C$29,AE11)</f>
        <v>4.9990521327014221</v>
      </c>
      <c r="AG11" s="118">
        <f>Design!$D$7/3</f>
        <v>0.83333333333333337</v>
      </c>
      <c r="AH11" s="118">
        <f ca="1">FORECAST(AG11, OFFSET(Design!$C$15:$C$17,MATCH(AG11,Design!$B$15:$B$17,1)-1,0,2), OFFSET(Design!$B$15:$B$17,MATCH(AG11,Design!$B$15:$B$17,1)-1,0,2))+(AQ11-25)*Design!$B$18/1000</f>
        <v>0.30210892870571171</v>
      </c>
      <c r="AI11" s="194">
        <f ca="1">IF(100*(Design!$C$29+AH11+AG11*IF(ISBLANK(Design!$B$42),Constants!$C$6,Design!$B$42)/1000*(1+Constants!$C$36/100*(AR11-25)))/($B11+AH11-AG11*AS11/1000)&gt;Design!$C$36,Design!$C$36,100*(Design!$C$29+AH11+AG11*IF(ISBLANK(Design!$B$42),Constants!$C$6,Design!$B$42)/1000*(1+Constants!$C$36/100*(AR11-25)))/($B11+AH11-AG11*AS11/1000))</f>
        <v>50.172517092944183</v>
      </c>
      <c r="AJ11" s="119">
        <f ca="1">IF(($B11-AG11*IF(ISBLANK(Design!$B$42),Constants!$C$6,Design!$B$42)/1000*(1+Constants!$C$36/100*(AR11-25))-Design!$C$29)/(IF(ISBLANK(Design!$B$41),Design!$B$39,Design!$B$41)/1000000)*AI11/100/(IF(ISBLANK(Design!$B$33),Design!$B$32,Design!$B$33)*1000000)&lt;0,0,($B11-AG11*IF(ISBLANK(Design!$B$42),Constants!$C$6,Design!$B$42)/1000*(1+Constants!$C$36/100*(AR11-25))-Design!$C$29)/(IF(ISBLANK(Design!$B$41),Design!$B$39,Design!$B$41)/1000000)*AI11/100/(IF(ISBLANK(Design!$B$33),Design!$B$32,Design!$B$33)*1000000))</f>
        <v>0.64386714704317594</v>
      </c>
      <c r="AK11" s="195">
        <f>$B11*Constants!$C$21/1000+IF(ISBLANK(Design!$B$33),Design!$B$32,Design!$B$33)*1000000*Constants!$D$25/1000000000*($B11-Constants!$C$24)</f>
        <v>4.3161874999999975E-2</v>
      </c>
      <c r="AL11" s="195">
        <f>$B11*AG11*($B11/(Constants!$C$26*1000000000)*IF(ISBLANK(Design!$B$33),Design!$B$32,Design!$B$33)*1000000/2+$B11/(Constants!$C$27*1000000000)*IF(ISBLANK(Design!$B$33),Design!$B$32,Design!$B$33)*1000000/2)</f>
        <v>3.9009696354166637E-2</v>
      </c>
      <c r="AM11" s="195">
        <f t="shared" ca="1" si="3"/>
        <v>6.484361953643028E-2</v>
      </c>
      <c r="AN11" s="195">
        <f>Constants!$D$25/1000000000*Constants!$C$24*IF(ISBLANK(Design!$B$33),Design!$B$32,Design!$B$33)*1000000</f>
        <v>1.0624999999999999E-2</v>
      </c>
      <c r="AO11" s="195">
        <f t="shared" ca="1" si="11"/>
        <v>0.15764019089059689</v>
      </c>
      <c r="AP11" s="195">
        <f t="shared" ca="1" si="9"/>
        <v>0.1254443956762733</v>
      </c>
      <c r="AQ11" s="196">
        <f ca="1">$A11+AP11*Design!$B$19</f>
        <v>92.150330553547576</v>
      </c>
      <c r="AR11" s="196">
        <f ca="1">AO11*Design!$C$12+$A11</f>
        <v>90.359766490280293</v>
      </c>
      <c r="AS11" s="196">
        <f ca="1">Constants!$D$22+Constants!$D$22*Constants!$C$23/100*(AR11-25)</f>
        <v>177.28781319222423</v>
      </c>
      <c r="AT11" s="195">
        <f ca="1">(1-Constants!$C$20/1000000000*Design!$B$33*1000000) * ($B11+AH11-AG11*AS11/1000) - (AH11+AG11*(1+($A11-25)*Constants!$C$36/100)*IF(ISBLANK(Design!$B$42),Constants!$C$6/1000,Design!$B$42/1000))</f>
        <v>9.9213583641666236</v>
      </c>
      <c r="AU11" s="119">
        <f ca="1">IF(AT11&gt;Design!$C$29,Design!$C$29,AT11)</f>
        <v>4.9990521327014221</v>
      </c>
    </row>
    <row r="12" spans="1:47" s="120" customFormat="1" ht="12.75" customHeight="1">
      <c r="A12" s="112">
        <f>Design!$D$13</f>
        <v>85</v>
      </c>
      <c r="B12" s="113">
        <f t="shared" si="0"/>
        <v>10.279999999999996</v>
      </c>
      <c r="C12" s="114">
        <f>Design!$D$7</f>
        <v>2.5</v>
      </c>
      <c r="D12" s="114">
        <f ca="1">FORECAST(C12, OFFSET(Design!$C$15:$C$17,MATCH(C12,Design!$B$15:$B$17,1)-1,0,2), OFFSET(Design!$B$15:$B$17,MATCH(C12,Design!$B$15:$B$17,1)-1,0,2))+(M12-25)*Design!$B$18/1000</f>
        <v>0.38725013701795397</v>
      </c>
      <c r="E12" s="173">
        <f ca="1">IF(100*(Design!$C$29+D12+C12*IF(ISBLANK(Design!$B$42),Constants!$C$6,Design!$B$42)/1000*(1+Constants!$C$36/100*(N12-25)))/($B12+D12-C12*O12/1000)&gt;Design!$C$36,Design!$C$36,100*(Design!$C$29+D12+C12*IF(ISBLANK(Design!$B$42),Constants!$C$6,Design!$B$42)/1000*(1+Constants!$C$36/100*(N12-25)))/($B12+D12-C12*O12/1000))</f>
        <v>54.24352272897351</v>
      </c>
      <c r="F12" s="115">
        <f ca="1">IF(($B12-C12*IF(ISBLANK(Design!$B$42),Constants!$C$6,Design!$B$42)/1000*(1+Constants!$C$36/100*(N12-25))-Design!$C$29)/(IF(ISBLANK(Design!$B$41),Design!$B$39,Design!$B$41)/1000000)*E12/100/(IF(ISBLANK(Design!$B$33),Design!$B$32,Design!$B$33)*1000000)&lt;0, 0, ($B12-C12*IF(ISBLANK(Design!$B$42),Constants!$C$6,Design!$B$42)/1000*(1+Constants!$C$36/100*(N12-25))-Design!$C$29)/(IF(ISBLANK(Design!$B$41),Design!$B$39,Design!$B$41)/1000000)*E12/100/(IF(ISBLANK(Design!$B$33),Design!$B$32,Design!$B$33)*1000000))</f>
        <v>0.65682530617267632</v>
      </c>
      <c r="G12" s="165">
        <f>B12*Constants!$C$21/1000+IF(ISBLANK(Design!$B$33),Design!$B$32,Design!$B$33)*1000000*Constants!$D$25/1000000000*(B12-Constants!$C$24)</f>
        <v>4.2059999999999979E-2</v>
      </c>
      <c r="H12" s="165">
        <f>B12*C12*(B12/(Constants!$C$26*1000000000)*IF(ISBLANK(Design!$B$33),Design!$B$32,Design!$B$33)*1000000/2+B12/(Constants!$C$27*1000000000)*IF(ISBLANK(Design!$B$33),Design!$B$32,Design!$B$33)*1000000/2)</f>
        <v>0.11228329999999989</v>
      </c>
      <c r="I12" s="165">
        <f t="shared" ca="1" si="1"/>
        <v>0.66704658008434892</v>
      </c>
      <c r="J12" s="165">
        <f>Constants!$D$25/1000000000*Constants!$C$24*IF(ISBLANK(Design!$B$33),Design!$B$32,Design!$B$33)*1000000</f>
        <v>1.0624999999999999E-2</v>
      </c>
      <c r="K12" s="165">
        <f t="shared" ca="1" si="4"/>
        <v>0.83201488008434876</v>
      </c>
      <c r="L12" s="165">
        <f t="shared" ca="1" si="5"/>
        <v>0.44298005231659759</v>
      </c>
      <c r="M12" s="166">
        <f ca="1">A12+L12*Design!$B$19</f>
        <v>110.24986298204607</v>
      </c>
      <c r="N12" s="166">
        <f ca="1">K12*Design!$C$12+A12</f>
        <v>113.28850592286786</v>
      </c>
      <c r="O12" s="166">
        <f ca="1">Constants!$D$22+Constants!$D$22*Constants!$C$23/100*(N12-25)</f>
        <v>195.63080473829427</v>
      </c>
      <c r="P12" s="165">
        <f ca="1">(1-Constants!$C$20/1000000000*Design!$B$33*1000000) * ($B12+D12-C12*O12/1000) - (D12+C12*(1+($A12-25)*Constants!$C$36/100)*IF(ISBLANK(Design!$B$42),Constants!$C$6/1000,Design!$B$42/1000))</f>
        <v>9.2996564840074143</v>
      </c>
      <c r="Q12" s="171">
        <f ca="1">IF(P12&gt;Design!$C$29,Design!$C$29,P12)</f>
        <v>4.9990521327014221</v>
      </c>
      <c r="R12" s="181">
        <f>2*Design!$D$7/3</f>
        <v>1.6666666666666667</v>
      </c>
      <c r="S12" s="116">
        <f ca="1">FORECAST(R12, OFFSET(Design!$C$15:$C$17,MATCH(R12,Design!$B$15:$B$17,1)-1,0,2), OFFSET(Design!$B$15:$B$17,MATCH(R12,Design!$B$15:$B$17,1)-1,0,2))+(AB12-25)*Design!$B$18/1000</f>
        <v>0.35798245445898103</v>
      </c>
      <c r="T12" s="182">
        <f ca="1">IF(100*(Design!$C$29+S12+R12*IF(ISBLANK(Design!$B$42),Constants!$C$6,Design!$B$42)/1000*(1+Constants!$C$36/100*(AC12-25)))/($B12+S12-R12*AD12/1000)&gt;Design!$C$36,Design!$C$36,100*(Design!$C$29+S12+R12*IF(ISBLANK(Design!$B$42),Constants!$C$6,Design!$B$42)/1000*(1+Constants!$C$36/100*(AC12-25)))/($B12+S12-R12*AD12/1000))</f>
        <v>52.683304021547329</v>
      </c>
      <c r="U12" s="117">
        <f ca="1">IF(($B12-R12*IF(ISBLANK(Design!$B$42),Constants!$C$6,Design!$B$42)/1000*(1+Constants!$C$36/100*(AC12-25))-Design!$C$29)/(Design!$B$41/1000000)*T12/100/(IF(ISBLANK(IF(ISBLANK(Design!$B$41),Design!$B$39,Design!$B$41)),Design!$B$32,Design!$B$33)*1000000)&lt;0,0,($B12-R12*IF(ISBLANK(Design!$B$42),Constants!$C$6,Design!$B$42)/1000*(1+Constants!$C$36/100*(AC12-25))-Design!$C$29)/(IF(ISBLANK(Design!$B$41),Design!$B$39,Design!$B$41)/1000000)*T12/100/(IF(ISBLANK(Design!$B$33),Design!$B$32,Design!$B$33)*1000000))</f>
        <v>0.64397568794888294</v>
      </c>
      <c r="V12" s="183">
        <f>$B12*Constants!$C$21/1000+IF(ISBLANK(Design!$B$33),Design!$B$32,Design!$B$33)*1000000*Constants!$D$25/1000000000*($B12-Constants!$C$24)</f>
        <v>4.2059999999999979E-2</v>
      </c>
      <c r="W12" s="183">
        <f>$B12*R12*($B12/(Constants!$C$26*1000000000)*IF(ISBLANK(Design!$B$33),Design!$B$32,Design!$B$33)*1000000/2+$B12/(Constants!$C$27*1000000000)*IF(ISBLANK(Design!$B$33),Design!$B$32,Design!$B$33)*1000000/2)</f>
        <v>7.4855533333333266E-2</v>
      </c>
      <c r="X12" s="183">
        <f t="shared" ca="1" si="2"/>
        <v>0.27244173898062801</v>
      </c>
      <c r="Y12" s="183">
        <f>Constants!$D$25/1000000000*Constants!$C$24*IF(ISBLANK(Design!$B$33),Design!$B$32,Design!$B$33)*1000000</f>
        <v>1.0624999999999999E-2</v>
      </c>
      <c r="Z12" s="183">
        <f t="shared" ca="1" si="10"/>
        <v>0.39998227231396122</v>
      </c>
      <c r="AA12" s="183">
        <f t="shared" ca="1" si="7"/>
        <v>0.28230911605426479</v>
      </c>
      <c r="AB12" s="184">
        <f ca="1">$A12+AA12*Design!$B$19</f>
        <v>101.09161961509309</v>
      </c>
      <c r="AC12" s="184">
        <f ca="1">Z12*Design!$C$12+$A12</f>
        <v>98.599397258674685</v>
      </c>
      <c r="AD12" s="184">
        <f ca="1">Constants!$D$22+Constants!$D$22*Constants!$C$23/100*(AC12-25)</f>
        <v>183.87951780693976</v>
      </c>
      <c r="AE12" s="183">
        <f ca="1">(1-Constants!$C$20/1000000000*Design!$B$33*1000000) * ($B12+S12-R12*AD12/1000) - (S12+R12*(1+($A12-25)*Constants!$C$36/100)*IF(ISBLANK(Design!$B$42),Constants!$C$6/1000,Design!$B$42/1000))</f>
        <v>9.5179214334557258</v>
      </c>
      <c r="AF12" s="117">
        <f ca="1">IF(AE12&gt;Design!$C$29,Design!$C$29,AE12)</f>
        <v>4.9990521327014221</v>
      </c>
      <c r="AG12" s="118">
        <f>Design!$D$7/3</f>
        <v>0.83333333333333337</v>
      </c>
      <c r="AH12" s="118">
        <f ca="1">FORECAST(AG12, OFFSET(Design!$C$15:$C$17,MATCH(AG12,Design!$B$15:$B$17,1)-1,0,2), OFFSET(Design!$B$15:$B$17,MATCH(AG12,Design!$B$15:$B$17,1)-1,0,2))+(AQ12-25)*Design!$B$18/1000</f>
        <v>0.30225398400552994</v>
      </c>
      <c r="AI12" s="194">
        <f ca="1">IF(100*(Design!$C$29+AH12+AG12*IF(ISBLANK(Design!$B$42),Constants!$C$6,Design!$B$42)/1000*(1+Constants!$C$36/100*(AR12-25)))/($B12+AH12-AG12*AS12/1000)&gt;Design!$C$36,Design!$C$36,100*(Design!$C$29+AH12+AG12*IF(ISBLANK(Design!$B$42),Constants!$C$6,Design!$B$42)/1000*(1+Constants!$C$36/100*(AR12-25)))/($B12+AH12-AG12*AS12/1000))</f>
        <v>51.206770851634687</v>
      </c>
      <c r="AJ12" s="119">
        <f ca="1">IF(($B12-AG12*IF(ISBLANK(Design!$B$42),Constants!$C$6,Design!$B$42)/1000*(1+Constants!$C$36/100*(AR12-25))-Design!$C$29)/(IF(ISBLANK(Design!$B$41),Design!$B$39,Design!$B$41)/1000000)*AI12/100/(IF(ISBLANK(Design!$B$33),Design!$B$32,Design!$B$33)*1000000)&lt;0,0,($B12-AG12*IF(ISBLANK(Design!$B$42),Constants!$C$6,Design!$B$42)/1000*(1+Constants!$C$36/100*(AR12-25))-Design!$C$29)/(IF(ISBLANK(Design!$B$41),Design!$B$39,Design!$B$41)/1000000)*AI12/100/(IF(ISBLANK(Design!$B$33),Design!$B$32,Design!$B$33)*1000000))</f>
        <v>0.63123598688215798</v>
      </c>
      <c r="AK12" s="195">
        <f>$B12*Constants!$C$21/1000+IF(ISBLANK(Design!$B$33),Design!$B$32,Design!$B$33)*1000000*Constants!$D$25/1000000000*($B12-Constants!$C$24)</f>
        <v>4.2059999999999979E-2</v>
      </c>
      <c r="AL12" s="195">
        <f>$B12*AG12*($B12/(Constants!$C$26*1000000000)*IF(ISBLANK(Design!$B$33),Design!$B$32,Design!$B$33)*1000000/2+$B12/(Constants!$C$27*1000000000)*IF(ISBLANK(Design!$B$33),Design!$B$32,Design!$B$33)*1000000/2)</f>
        <v>3.7427766666666633E-2</v>
      </c>
      <c r="AM12" s="195">
        <f t="shared" ca="1" si="3"/>
        <v>6.6043415778981734E-2</v>
      </c>
      <c r="AN12" s="195">
        <f>Constants!$D$25/1000000000*Constants!$C$24*IF(ISBLANK(Design!$B$33),Design!$B$32,Design!$B$33)*1000000</f>
        <v>1.0624999999999999E-2</v>
      </c>
      <c r="AO12" s="195">
        <f t="shared" ca="1" si="11"/>
        <v>0.15615618244564833</v>
      </c>
      <c r="AP12" s="195">
        <f t="shared" ca="1" si="9"/>
        <v>0.1228995658549014</v>
      </c>
      <c r="AQ12" s="196">
        <f ca="1">$A12+AP12*Design!$B$19</f>
        <v>92.00527525372938</v>
      </c>
      <c r="AR12" s="196">
        <f ca="1">AO12*Design!$C$12+$A12</f>
        <v>90.309310203152037</v>
      </c>
      <c r="AS12" s="196">
        <f ca="1">Constants!$D$22+Constants!$D$22*Constants!$C$23/100*(AR12-25)</f>
        <v>177.24744816252164</v>
      </c>
      <c r="AT12" s="195">
        <f ca="1">(1-Constants!$C$20/1000000000*Design!$B$33*1000000) * ($B12+AH12-AG12*AS12/1000) - (AH12+AG12*(1+($A12-25)*Constants!$C$36/100)*IF(ISBLANK(Design!$B$42),Constants!$C$6/1000,Design!$B$42/1000))</f>
        <v>9.7141524214130861</v>
      </c>
      <c r="AU12" s="119">
        <f ca="1">IF(AT12&gt;Design!$C$29,Design!$C$29,AT12)</f>
        <v>4.9990521327014221</v>
      </c>
    </row>
    <row r="13" spans="1:47" s="120" customFormat="1" ht="12.75" customHeight="1">
      <c r="A13" s="112">
        <f>Design!$D$13</f>
        <v>85</v>
      </c>
      <c r="B13" s="113">
        <f t="shared" si="0"/>
        <v>10.064999999999996</v>
      </c>
      <c r="C13" s="114">
        <f>Design!$D$7</f>
        <v>2.5</v>
      </c>
      <c r="D13" s="114">
        <f ca="1">FORECAST(C13, OFFSET(Design!$C$15:$C$17,MATCH(C13,Design!$B$15:$B$17,1)-1,0,2), OFFSET(Design!$B$15:$B$17,MATCH(C13,Design!$B$15:$B$17,1)-1,0,2))+(M13-25)*Design!$B$18/1000</f>
        <v>0.38786143713205001</v>
      </c>
      <c r="E13" s="173">
        <f ca="1">IF(100*(Design!$C$29+D13+C13*IF(ISBLANK(Design!$B$42),Constants!$C$6,Design!$B$42)/1000*(1+Constants!$C$36/100*(N13-25)))/($B13+D13-C13*O13/1000)&gt;Design!$C$36,Design!$C$36,100*(Design!$C$29+D13+C13*IF(ISBLANK(Design!$B$42),Constants!$C$6,Design!$B$42)/1000*(1+Constants!$C$36/100*(N13-25)))/($B13+D13-C13*O13/1000))</f>
        <v>55.421658610083504</v>
      </c>
      <c r="F13" s="115">
        <f ca="1">IF(($B13-C13*IF(ISBLANK(Design!$B$42),Constants!$C$6,Design!$B$42)/1000*(1+Constants!$C$36/100*(N13-25))-Design!$C$29)/(IF(ISBLANK(Design!$B$41),Design!$B$39,Design!$B$41)/1000000)*E13/100/(IF(ISBLANK(Design!$B$33),Design!$B$32,Design!$B$33)*1000000)&lt;0, 0, ($B13-C13*IF(ISBLANK(Design!$B$42),Constants!$C$6,Design!$B$42)/1000*(1+Constants!$C$36/100*(N13-25))-Design!$C$29)/(IF(ISBLANK(Design!$B$41),Design!$B$39,Design!$B$41)/1000000)*E13/100/(IF(ISBLANK(Design!$B$33),Design!$B$32,Design!$B$33)*1000000))</f>
        <v>0.643037799877334</v>
      </c>
      <c r="G13" s="165">
        <f>B13*Constants!$C$21/1000+IF(ISBLANK(Design!$B$33),Design!$B$32,Design!$B$33)*1000000*Constants!$D$25/1000000000*(B13-Constants!$C$24)</f>
        <v>4.0958124999999977E-2</v>
      </c>
      <c r="H13" s="165">
        <f>B13*C13*(B13/(Constants!$C$26*1000000000)*IF(ISBLANK(Design!$B$33),Design!$B$32,Design!$B$33)*1000000/2+B13/(Constants!$C$27*1000000000)*IF(ISBLANK(Design!$B$33),Design!$B$32,Design!$B$33)*1000000/2)</f>
        <v>0.10763573906249992</v>
      </c>
      <c r="I13" s="165">
        <f t="shared" ca="1" si="1"/>
        <v>0.68227002616889276</v>
      </c>
      <c r="J13" s="165">
        <f>Constants!$D$25/1000000000*Constants!$C$24*IF(ISBLANK(Design!$B$33),Design!$B$32,Design!$B$33)*1000000</f>
        <v>1.0624999999999999E-2</v>
      </c>
      <c r="K13" s="165">
        <f t="shared" ca="1" si="4"/>
        <v>0.84148889023139262</v>
      </c>
      <c r="L13" s="165">
        <f t="shared" ca="1" si="5"/>
        <v>0.43225548891140403</v>
      </c>
      <c r="M13" s="166">
        <f ca="1">A13+L13*Design!$B$19</f>
        <v>109.63856286795003</v>
      </c>
      <c r="N13" s="166">
        <f ca="1">K13*Design!$C$12+A13</f>
        <v>113.61062226786734</v>
      </c>
      <c r="O13" s="166">
        <f ca="1">Constants!$D$22+Constants!$D$22*Constants!$C$23/100*(N13-25)</f>
        <v>195.88849781429388</v>
      </c>
      <c r="P13" s="165">
        <f ca="1">(1-Constants!$C$20/1000000000*Design!$B$33*1000000) * ($B13+D13-C13*O13/1000) - (D13+C13*(1+($A13-25)*Constants!$C$36/100)*IF(ISBLANK(Design!$B$42),Constants!$C$6/1000,Design!$B$42/1000))</f>
        <v>9.0917803160067212</v>
      </c>
      <c r="Q13" s="171">
        <f ca="1">IF(P13&gt;Design!$C$29,Design!$C$29,P13)</f>
        <v>4.9990521327014221</v>
      </c>
      <c r="R13" s="181">
        <f>2*Design!$D$7/3</f>
        <v>1.6666666666666667</v>
      </c>
      <c r="S13" s="116">
        <f ca="1">FORECAST(R13, OFFSET(Design!$C$15:$C$17,MATCH(R13,Design!$B$15:$B$17,1)-1,0,2), OFFSET(Design!$B$15:$B$17,MATCH(R13,Design!$B$15:$B$17,1)-1,0,2))+(AB13-25)*Design!$B$18/1000</f>
        <v>0.35834792627219803</v>
      </c>
      <c r="T13" s="182">
        <f ca="1">IF(100*(Design!$C$29+S13+R13*IF(ISBLANK(Design!$B$42),Constants!$C$6,Design!$B$42)/1000*(1+Constants!$C$36/100*(AC13-25)))/($B13+S13-R13*AD13/1000)&gt;Design!$C$36,Design!$C$36,100*(Design!$C$29+S13+R13*IF(ISBLANK(Design!$B$42),Constants!$C$6,Design!$B$42)/1000*(1+Constants!$C$36/100*(AC13-25)))/($B13+S13-R13*AD13/1000))</f>
        <v>53.805119053837238</v>
      </c>
      <c r="U13" s="117">
        <f ca="1">IF(($B13-R13*IF(ISBLANK(Design!$B$42),Constants!$C$6,Design!$B$42)/1000*(1+Constants!$C$36/100*(AC13-25))-Design!$C$29)/(Design!$B$41/1000000)*T13/100/(IF(ISBLANK(IF(ISBLANK(Design!$B$41),Design!$B$39,Design!$B$41)),Design!$B$32,Design!$B$33)*1000000)&lt;0,0,($B13-R13*IF(ISBLANK(Design!$B$42),Constants!$C$6,Design!$B$42)/1000*(1+Constants!$C$36/100*(AC13-25))-Design!$C$29)/(IF(ISBLANK(Design!$B$41),Design!$B$39,Design!$B$41)/1000000)*T13/100/(IF(ISBLANK(Design!$B$33),Design!$B$32,Design!$B$33)*1000000))</f>
        <v>0.63046744583587522</v>
      </c>
      <c r="V13" s="183">
        <f>$B13*Constants!$C$21/1000+IF(ISBLANK(Design!$B$33),Design!$B$32,Design!$B$33)*1000000*Constants!$D$25/1000000000*($B13-Constants!$C$24)</f>
        <v>4.0958124999999977E-2</v>
      </c>
      <c r="W13" s="183">
        <f>$B13*R13*($B13/(Constants!$C$26*1000000000)*IF(ISBLANK(Design!$B$33),Design!$B$32,Design!$B$33)*1000000/2+$B13/(Constants!$C$27*1000000000)*IF(ISBLANK(Design!$B$33),Design!$B$32,Design!$B$33)*1000000/2)</f>
        <v>7.1757159374999949E-2</v>
      </c>
      <c r="X13" s="183">
        <f t="shared" ca="1" si="2"/>
        <v>0.27816365395000098</v>
      </c>
      <c r="Y13" s="183">
        <f>Constants!$D$25/1000000000*Constants!$C$24*IF(ISBLANK(Design!$B$33),Design!$B$32,Design!$B$33)*1000000</f>
        <v>1.0624999999999999E-2</v>
      </c>
      <c r="Z13" s="183">
        <f t="shared" ca="1" si="10"/>
        <v>0.40150393832500086</v>
      </c>
      <c r="AA13" s="183">
        <f t="shared" ca="1" si="7"/>
        <v>0.275897329857475</v>
      </c>
      <c r="AB13" s="184">
        <f ca="1">$A13+AA13*Design!$B$19</f>
        <v>100.72614780187608</v>
      </c>
      <c r="AC13" s="184">
        <f ca="1">Z13*Design!$C$12+$A13</f>
        <v>98.651133903050024</v>
      </c>
      <c r="AD13" s="184">
        <f ca="1">Constants!$D$22+Constants!$D$22*Constants!$C$23/100*(AC13-25)</f>
        <v>183.92090712244001</v>
      </c>
      <c r="AE13" s="183">
        <f ca="1">(1-Constants!$C$20/1000000000*Design!$B$33*1000000) * ($B13+S13-R13*AD13/1000) - (S13+R13*(1+($A13-25)*Constants!$C$36/100)*IF(ISBLANK(Design!$B$42),Constants!$C$6/1000,Design!$B$42/1000))</f>
        <v>9.3106086155756778</v>
      </c>
      <c r="AF13" s="117">
        <f ca="1">IF(AE13&gt;Design!$C$29,Design!$C$29,AE13)</f>
        <v>4.9990521327014221</v>
      </c>
      <c r="AG13" s="118">
        <f>Design!$D$7/3</f>
        <v>0.83333333333333337</v>
      </c>
      <c r="AH13" s="118">
        <f ca="1">FORECAST(AG13, OFFSET(Design!$C$15:$C$17,MATCH(AG13,Design!$B$15:$B$17,1)-1,0,2), OFFSET(Design!$B$15:$B$17,MATCH(AG13,Design!$B$15:$B$17,1)-1,0,2))+(AQ13-25)*Design!$B$18/1000</f>
        <v>0.30240529170824576</v>
      </c>
      <c r="AI13" s="194">
        <f ca="1">IF(100*(Design!$C$29+AH13+AG13*IF(ISBLANK(Design!$B$42),Constants!$C$6,Design!$B$42)/1000*(1+Constants!$C$36/100*(AR13-25)))/($B13+AH13-AG13*AS13/1000)&gt;Design!$C$36,Design!$C$36,100*(Design!$C$29+AH13+AG13*IF(ISBLANK(Design!$B$42),Constants!$C$6,Design!$B$42)/1000*(1+Constants!$C$36/100*(AR13-25)))/($B13+AH13-AG13*AS13/1000))</f>
        <v>52.284547373344473</v>
      </c>
      <c r="AJ13" s="119">
        <f ca="1">IF(($B13-AG13*IF(ISBLANK(Design!$B$42),Constants!$C$6,Design!$B$42)/1000*(1+Constants!$C$36/100*(AR13-25))-Design!$C$29)/(IF(ISBLANK(Design!$B$41),Design!$B$39,Design!$B$41)/1000000)*AI13/100/(IF(ISBLANK(Design!$B$33),Design!$B$32,Design!$B$33)*1000000)&lt;0,0,($B13-AG13*IF(ISBLANK(Design!$B$42),Constants!$C$6,Design!$B$42)/1000*(1+Constants!$C$36/100*(AR13-25))-Design!$C$29)/(IF(ISBLANK(Design!$B$41),Design!$B$39,Design!$B$41)/1000000)*AI13/100/(IF(ISBLANK(Design!$B$33),Design!$B$32,Design!$B$33)*1000000))</f>
        <v>0.61807288975952601</v>
      </c>
      <c r="AK13" s="195">
        <f>$B13*Constants!$C$21/1000+IF(ISBLANK(Design!$B$33),Design!$B$32,Design!$B$33)*1000000*Constants!$D$25/1000000000*($B13-Constants!$C$24)</f>
        <v>4.0958124999999977E-2</v>
      </c>
      <c r="AL13" s="195">
        <f>$B13*AG13*($B13/(Constants!$C$26*1000000000)*IF(ISBLANK(Design!$B$33),Design!$B$32,Design!$B$33)*1000000/2+$B13/(Constants!$C$27*1000000000)*IF(ISBLANK(Design!$B$33),Design!$B$32,Design!$B$33)*1000000/2)</f>
        <v>3.5878579687499974E-2</v>
      </c>
      <c r="AM13" s="195">
        <f t="shared" ca="1" si="3"/>
        <v>6.7291982296557598E-2</v>
      </c>
      <c r="AN13" s="195">
        <f>Constants!$D$25/1000000000*Constants!$C$24*IF(ISBLANK(Design!$B$33),Design!$B$32,Design!$B$33)*1000000</f>
        <v>1.0624999999999999E-2</v>
      </c>
      <c r="AO13" s="195">
        <f t="shared" ca="1" si="11"/>
        <v>0.15475368698405756</v>
      </c>
      <c r="AP13" s="195">
        <f t="shared" ca="1" si="9"/>
        <v>0.1202450447546229</v>
      </c>
      <c r="AQ13" s="196">
        <f ca="1">$A13+AP13*Design!$B$19</f>
        <v>91.853967551013511</v>
      </c>
      <c r="AR13" s="196">
        <f ca="1">AO13*Design!$C$12+$A13</f>
        <v>90.261625357457959</v>
      </c>
      <c r="AS13" s="196">
        <f ca="1">Constants!$D$22+Constants!$D$22*Constants!$C$23/100*(AR13-25)</f>
        <v>177.20930028596638</v>
      </c>
      <c r="AT13" s="195">
        <f ca="1">(1-Constants!$C$20/1000000000*Design!$B$33*1000000) * ($B13+AH13-AG13*AS13/1000) - (AH13+AG13*(1+($A13-25)*Constants!$C$36/100)*IF(ISBLANK(Design!$B$42),Constants!$C$6/1000,Design!$B$42/1000))</f>
        <v>9.5069444719094225</v>
      </c>
      <c r="AU13" s="119">
        <f ca="1">IF(AT13&gt;Design!$C$29,Design!$C$29,AT13)</f>
        <v>4.9990521327014221</v>
      </c>
    </row>
    <row r="14" spans="1:47" s="120" customFormat="1" ht="12.75" customHeight="1">
      <c r="A14" s="112">
        <f>Design!$D$13</f>
        <v>85</v>
      </c>
      <c r="B14" s="113">
        <f t="shared" si="0"/>
        <v>9.8499999999999961</v>
      </c>
      <c r="C14" s="114">
        <f>Design!$D$7</f>
        <v>2.5</v>
      </c>
      <c r="D14" s="114">
        <f ca="1">FORECAST(C14, OFFSET(Design!$C$15:$C$17,MATCH(C14,Design!$B$15:$B$17,1)-1,0,2), OFFSET(Design!$B$15:$B$17,MATCH(C14,Design!$B$15:$B$17,1)-1,0,2))+(M14-25)*Design!$B$18/1000</f>
        <v>0.38850207508816881</v>
      </c>
      <c r="E14" s="173">
        <f ca="1">IF(100*(Design!$C$29+D14+C14*IF(ISBLANK(Design!$B$42),Constants!$C$6,Design!$B$42)/1000*(1+Constants!$C$36/100*(N14-25)))/($B14+D14-C14*O14/1000)&gt;Design!$C$36,Design!$C$36,100*(Design!$C$29+D14+C14*IF(ISBLANK(Design!$B$42),Constants!$C$6,Design!$B$42)/1000*(1+Constants!$C$36/100*(N14-25)))/($B14+D14-C14*O14/1000))</f>
        <v>56.652357501276462</v>
      </c>
      <c r="F14" s="115">
        <f ca="1">IF(($B14-C14*IF(ISBLANK(Design!$B$42),Constants!$C$6,Design!$B$42)/1000*(1+Constants!$C$36/100*(N14-25))-Design!$C$29)/(IF(ISBLANK(Design!$B$41),Design!$B$39,Design!$B$41)/1000000)*E14/100/(IF(ISBLANK(Design!$B$33),Design!$B$32,Design!$B$33)*1000000)&lt;0, 0, ($B14-C14*IF(ISBLANK(Design!$B$42),Constants!$C$6,Design!$B$42)/1000*(1+Constants!$C$36/100*(N14-25))-Design!$C$29)/(IF(ISBLANK(Design!$B$41),Design!$B$39,Design!$B$41)/1000000)*E14/100/(IF(ISBLANK(Design!$B$33),Design!$B$32,Design!$B$33)*1000000))</f>
        <v>0.62863933408990758</v>
      </c>
      <c r="G14" s="165">
        <f>B14*Constants!$C$21/1000+IF(ISBLANK(Design!$B$33),Design!$B$32,Design!$B$33)*1000000*Constants!$D$25/1000000000*(B14-Constants!$C$24)</f>
        <v>3.9856249999999982E-2</v>
      </c>
      <c r="H14" s="165">
        <f>B14*C14*(B14/(Constants!$C$26*1000000000)*IF(ISBLANK(Design!$B$33),Design!$B$32,Design!$B$33)*1000000/2+B14/(Constants!$C$27*1000000000)*IF(ISBLANK(Design!$B$33),Design!$B$32,Design!$B$33)*1000000/2)</f>
        <v>0.10308640624999992</v>
      </c>
      <c r="I14" s="165">
        <f t="shared" ca="1" si="1"/>
        <v>0.69825137890748668</v>
      </c>
      <c r="J14" s="165">
        <f>Constants!$D$25/1000000000*Constants!$C$24*IF(ISBLANK(Design!$B$33),Design!$B$32,Design!$B$33)*1000000</f>
        <v>1.0624999999999999E-2</v>
      </c>
      <c r="K14" s="165">
        <f t="shared" ca="1" si="4"/>
        <v>0.85181903515748658</v>
      </c>
      <c r="L14" s="165">
        <f t="shared" ca="1" si="5"/>
        <v>0.42101622652335474</v>
      </c>
      <c r="M14" s="166">
        <f ca="1">A14+L14*Design!$B$19</f>
        <v>108.99792491183122</v>
      </c>
      <c r="N14" s="166">
        <f ca="1">K14*Design!$C$12+A14</f>
        <v>113.96184719535455</v>
      </c>
      <c r="O14" s="166">
        <f ca="1">Constants!$D$22+Constants!$D$22*Constants!$C$23/100*(N14-25)</f>
        <v>196.16947775628364</v>
      </c>
      <c r="P14" s="165">
        <f ca="1">(1-Constants!$C$20/1000000000*Design!$B$33*1000000) * ($B14+D14-C14*O14/1000) - (D14+C14*(1+($A14-25)*Constants!$C$36/100)*IF(ISBLANK(Design!$B$42),Constants!$C$6/1000,Design!$B$42/1000))</f>
        <v>8.8838469741065946</v>
      </c>
      <c r="Q14" s="171">
        <f ca="1">IF(P14&gt;Design!$C$29,Design!$C$29,P14)</f>
        <v>4.9990521327014221</v>
      </c>
      <c r="R14" s="181">
        <f>2*Design!$D$7/3</f>
        <v>1.6666666666666667</v>
      </c>
      <c r="S14" s="116">
        <f ca="1">FORECAST(R14, OFFSET(Design!$C$15:$C$17,MATCH(R14,Design!$B$15:$B$17,1)-1,0,2), OFFSET(Design!$B$15:$B$17,MATCH(R14,Design!$B$15:$B$17,1)-1,0,2))+(AB14-25)*Design!$B$18/1000</f>
        <v>0.35873010430067048</v>
      </c>
      <c r="T14" s="182">
        <f ca="1">IF(100*(Design!$C$29+S14+R14*IF(ISBLANK(Design!$B$42),Constants!$C$6,Design!$B$42)/1000*(1+Constants!$C$36/100*(AC14-25)))/($B14+S14-R14*AD14/1000)&gt;Design!$C$36,Design!$C$36,100*(Design!$C$29+S14+R14*IF(ISBLANK(Design!$B$42),Constants!$C$6,Design!$B$42)/1000*(1+Constants!$C$36/100*(AC14-25)))/($B14+S14-R14*AD14/1000))</f>
        <v>54.975768868393892</v>
      </c>
      <c r="U14" s="117">
        <f ca="1">IF(($B14-R14*IF(ISBLANK(Design!$B$42),Constants!$C$6,Design!$B$42)/1000*(1+Constants!$C$36/100*(AC14-25))-Design!$C$29)/(Design!$B$41/1000000)*T14/100/(IF(ISBLANK(IF(ISBLANK(Design!$B$41),Design!$B$39,Design!$B$41)),Design!$B$32,Design!$B$33)*1000000)&lt;0,0,($B14-R14*IF(ISBLANK(Design!$B$42),Constants!$C$6,Design!$B$42)/1000*(1+Constants!$C$36/100*(AC14-25))-Design!$C$29)/(IF(ISBLANK(Design!$B$41),Design!$B$39,Design!$B$41)/1000000)*T14/100/(IF(ISBLANK(Design!$B$33),Design!$B$32,Design!$B$33)*1000000))</f>
        <v>0.61637126542373333</v>
      </c>
      <c r="V14" s="183">
        <f>$B14*Constants!$C$21/1000+IF(ISBLANK(Design!$B$33),Design!$B$32,Design!$B$33)*1000000*Constants!$D$25/1000000000*($B14-Constants!$C$24)</f>
        <v>3.9856249999999982E-2</v>
      </c>
      <c r="W14" s="183">
        <f>$B14*R14*($B14/(Constants!$C$26*1000000000)*IF(ISBLANK(Design!$B$33),Design!$B$32,Design!$B$33)*1000000/2+$B14/(Constants!$C$27*1000000000)*IF(ISBLANK(Design!$B$33),Design!$B$32,Design!$B$33)*1000000/2)</f>
        <v>6.8724270833333281E-2</v>
      </c>
      <c r="X14" s="183">
        <f t="shared" ca="1" si="2"/>
        <v>0.28414521450434344</v>
      </c>
      <c r="Y14" s="183">
        <f>Constants!$D$25/1000000000*Constants!$C$24*IF(ISBLANK(Design!$B$33),Design!$B$32,Design!$B$33)*1000000</f>
        <v>1.0624999999999999E-2</v>
      </c>
      <c r="Z14" s="183">
        <f t="shared" ca="1" si="10"/>
        <v>0.40335073533767668</v>
      </c>
      <c r="AA14" s="183">
        <f t="shared" ca="1" si="7"/>
        <v>0.26919245216497589</v>
      </c>
      <c r="AB14" s="184">
        <f ca="1">$A14+AA14*Design!$B$19</f>
        <v>100.34396977340363</v>
      </c>
      <c r="AC14" s="184">
        <f ca="1">Z14*Design!$C$12+$A14</f>
        <v>98.713925001481002</v>
      </c>
      <c r="AD14" s="184">
        <f ca="1">Constants!$D$22+Constants!$D$22*Constants!$C$23/100*(AC14-25)</f>
        <v>183.97114000118481</v>
      </c>
      <c r="AE14" s="183">
        <f ca="1">(1-Constants!$C$20/1000000000*Design!$B$33*1000000) * ($B14+S14-R14*AD14/1000) - (S14+R14*(1+($A14-25)*Constants!$C$36/100)*IF(ISBLANK(Design!$B$42),Constants!$C$6/1000,Design!$B$42/1000))</f>
        <v>9.1032809873677323</v>
      </c>
      <c r="AF14" s="117">
        <f ca="1">IF(AE14&gt;Design!$C$29,Design!$C$29,AE14)</f>
        <v>4.9990521327014221</v>
      </c>
      <c r="AG14" s="118">
        <f>Design!$D$7/3</f>
        <v>0.83333333333333337</v>
      </c>
      <c r="AH14" s="118">
        <f ca="1">FORECAST(AG14, OFFSET(Design!$C$15:$C$17,MATCH(AG14,Design!$B$15:$B$17,1)-1,0,2), OFFSET(Design!$B$15:$B$17,MATCH(AG14,Design!$B$15:$B$17,1)-1,0,2))+(AQ14-25)*Design!$B$18/1000</f>
        <v>0.30256326471429407</v>
      </c>
      <c r="AI14" s="194">
        <f ca="1">IF(100*(Design!$C$29+AH14+AG14*IF(ISBLANK(Design!$B$42),Constants!$C$6,Design!$B$42)/1000*(1+Constants!$C$36/100*(AR14-25)))/($B14+AH14-AG14*AS14/1000)&gt;Design!$C$36,Design!$C$36,100*(Design!$C$29+AH14+AG14*IF(ISBLANK(Design!$B$42),Constants!$C$6,Design!$B$42)/1000*(1+Constants!$C$36/100*(AR14-25)))/($B14+AH14-AG14*AS14/1000))</f>
        <v>53.4086511318853</v>
      </c>
      <c r="AJ14" s="119">
        <f ca="1">IF(($B14-AG14*IF(ISBLANK(Design!$B$42),Constants!$C$6,Design!$B$42)/1000*(1+Constants!$C$36/100*(AR14-25))-Design!$C$29)/(IF(ISBLANK(Design!$B$41),Design!$B$39,Design!$B$41)/1000000)*AI14/100/(IF(ISBLANK(Design!$B$33),Design!$B$32,Design!$B$33)*1000000)&lt;0,0,($B14-AG14*IF(ISBLANK(Design!$B$42),Constants!$C$6,Design!$B$42)/1000*(1+Constants!$C$36/100*(AR14-25))-Design!$C$29)/(IF(ISBLANK(Design!$B$41),Design!$B$39,Design!$B$41)/1000000)*AI14/100/(IF(ISBLANK(Design!$B$33),Design!$B$32,Design!$B$33)*1000000))</f>
        <v>0.60434353477641156</v>
      </c>
      <c r="AK14" s="195">
        <f>$B14*Constants!$C$21/1000+IF(ISBLANK(Design!$B$33),Design!$B$32,Design!$B$33)*1000000*Constants!$D$25/1000000000*($B14-Constants!$C$24)</f>
        <v>3.9856249999999982E-2</v>
      </c>
      <c r="AL14" s="195">
        <f>$B14*AG14*($B14/(Constants!$C$26*1000000000)*IF(ISBLANK(Design!$B$33),Design!$B$32,Design!$B$33)*1000000/2+$B14/(Constants!$C$27*1000000000)*IF(ISBLANK(Design!$B$33),Design!$B$32,Design!$B$33)*1000000/2)</f>
        <v>3.4362135416666641E-2</v>
      </c>
      <c r="AM14" s="195">
        <f t="shared" ca="1" si="3"/>
        <v>6.8592495830995956E-2</v>
      </c>
      <c r="AN14" s="195">
        <f>Constants!$D$25/1000000000*Constants!$C$24*IF(ISBLANK(Design!$B$33),Design!$B$32,Design!$B$33)*1000000</f>
        <v>1.0624999999999999E-2</v>
      </c>
      <c r="AO14" s="195">
        <f t="shared" ca="1" si="11"/>
        <v>0.15343588124766255</v>
      </c>
      <c r="AP14" s="195">
        <f t="shared" ca="1" si="9"/>
        <v>0.11747358850816179</v>
      </c>
      <c r="AQ14" s="196">
        <f ca="1">$A14+AP14*Design!$B$19</f>
        <v>91.695994544965217</v>
      </c>
      <c r="AR14" s="196">
        <f ca="1">AO14*Design!$C$12+$A14</f>
        <v>90.21681996242053</v>
      </c>
      <c r="AS14" s="196">
        <f ca="1">Constants!$D$22+Constants!$D$22*Constants!$C$23/100*(AR14-25)</f>
        <v>177.17345596993641</v>
      </c>
      <c r="AT14" s="195">
        <f ca="1">(1-Constants!$C$20/1000000000*Design!$B$33*1000000) * ($B14+AH14-AG14*AS14/1000) - (AH14+AG14*(1+($A14-25)*Constants!$C$36/100)*IF(ISBLANK(Design!$B$42),Constants!$C$6/1000,Design!$B$42/1000))</f>
        <v>9.2997344313346737</v>
      </c>
      <c r="AU14" s="119">
        <f ca="1">IF(AT14&gt;Design!$C$29,Design!$C$29,AT14)</f>
        <v>4.9990521327014221</v>
      </c>
    </row>
    <row r="15" spans="1:47" s="120" customFormat="1" ht="12.75" customHeight="1">
      <c r="A15" s="112">
        <f>Design!$D$13</f>
        <v>85</v>
      </c>
      <c r="B15" s="113">
        <f t="shared" si="0"/>
        <v>9.6349999999999962</v>
      </c>
      <c r="C15" s="114">
        <f>Design!$D$7</f>
        <v>2.5</v>
      </c>
      <c r="D15" s="114">
        <f ca="1">FORECAST(C15, OFFSET(Design!$C$15:$C$17,MATCH(C15,Design!$B$15:$B$17,1)-1,0,2), OFFSET(Design!$B$15:$B$17,MATCH(C15,Design!$B$15:$B$17,1)-1,0,2))+(M15-25)*Design!$B$18/1000</f>
        <v>0.38917422116498301</v>
      </c>
      <c r="E15" s="173">
        <f ca="1">IF(100*(Design!$C$29+D15+C15*IF(ISBLANK(Design!$B$42),Constants!$C$6,Design!$B$42)/1000*(1+Constants!$C$36/100*(N15-25)))/($B15+D15-C15*O15/1000)&gt;Design!$C$36,Design!$C$36,100*(Design!$C$29+D15+C15*IF(ISBLANK(Design!$B$42),Constants!$C$6,Design!$B$42)/1000*(1+Constants!$C$36/100*(N15-25)))/($B15+D15-C15*O15/1000))</f>
        <v>57.939229493359967</v>
      </c>
      <c r="F15" s="115">
        <f ca="1">IF(($B15-C15*IF(ISBLANK(Design!$B$42),Constants!$C$6,Design!$B$42)/1000*(1+Constants!$C$36/100*(N15-25))-Design!$C$29)/(IF(ISBLANK(Design!$B$41),Design!$B$39,Design!$B$41)/1000000)*E15/100/(IF(ISBLANK(Design!$B$33),Design!$B$32,Design!$B$33)*1000000)&lt;0, 0, ($B15-C15*IF(ISBLANK(Design!$B$42),Constants!$C$6,Design!$B$42)/1000*(1+Constants!$C$36/100*(N15-25))-Design!$C$29)/(IF(ISBLANK(Design!$B$41),Design!$B$39,Design!$B$41)/1000000)*E15/100/(IF(ISBLANK(Design!$B$33),Design!$B$32,Design!$B$33)*1000000))</f>
        <v>0.61358811270248548</v>
      </c>
      <c r="G15" s="165">
        <f>B15*Constants!$C$21/1000+IF(ISBLANK(Design!$B$33),Design!$B$32,Design!$B$33)*1000000*Constants!$D$25/1000000000*(B15-Constants!$C$24)</f>
        <v>3.875437499999998E-2</v>
      </c>
      <c r="H15" s="165">
        <f>B15*C15*(B15/(Constants!$C$26*1000000000)*IF(ISBLANK(Design!$B$33),Design!$B$32,Design!$B$33)*1000000/2+B15/(Constants!$C$27*1000000000)*IF(ISBLANK(Design!$B$33),Design!$B$32,Design!$B$33)*1000000/2)</f>
        <v>9.863530156249993E-2</v>
      </c>
      <c r="I15" s="165">
        <f t="shared" ca="1" si="1"/>
        <v>0.71504828612456661</v>
      </c>
      <c r="J15" s="165">
        <f>Constants!$D$25/1000000000*Constants!$C$24*IF(ISBLANK(Design!$B$33),Design!$B$32,Design!$B$33)*1000000</f>
        <v>1.0624999999999999E-2</v>
      </c>
      <c r="K15" s="165">
        <f t="shared" ca="1" si="4"/>
        <v>0.8630629626870665</v>
      </c>
      <c r="L15" s="165">
        <f t="shared" ca="1" si="5"/>
        <v>0.40922419008801802</v>
      </c>
      <c r="M15" s="166">
        <f ca="1">A15+L15*Design!$B$19</f>
        <v>108.32577883501702</v>
      </c>
      <c r="N15" s="166">
        <f ca="1">K15*Design!$C$12+A15</f>
        <v>114.34414073136026</v>
      </c>
      <c r="O15" s="166">
        <f ca="1">Constants!$D$22+Constants!$D$22*Constants!$C$23/100*(N15-25)</f>
        <v>196.4753125850882</v>
      </c>
      <c r="P15" s="165">
        <f ca="1">(1-Constants!$C$20/1000000000*Design!$B$33*1000000) * ($B15+D15-C15*O15/1000) - (D15+C15*(1+($A15-25)*Constants!$C$36/100)*IF(ISBLANK(Design!$B$42),Constants!$C$6/1000,Design!$B$42/1000))</f>
        <v>8.6758526014655324</v>
      </c>
      <c r="Q15" s="171">
        <f ca="1">IF(P15&gt;Design!$C$29,Design!$C$29,P15)</f>
        <v>4.9990521327014221</v>
      </c>
      <c r="R15" s="181">
        <f>2*Design!$D$7/3</f>
        <v>1.6666666666666667</v>
      </c>
      <c r="S15" s="116">
        <f ca="1">FORECAST(R15, OFFSET(Design!$C$15:$C$17,MATCH(R15,Design!$B$15:$B$17,1)-1,0,2), OFFSET(Design!$B$15:$B$17,MATCH(R15,Design!$B$15:$B$17,1)-1,0,2))+(AB15-25)*Design!$B$18/1000</f>
        <v>0.35913016024870326</v>
      </c>
      <c r="T15" s="182">
        <f ca="1">IF(100*(Design!$C$29+S15+R15*IF(ISBLANK(Design!$B$42),Constants!$C$6,Design!$B$42)/1000*(1+Constants!$C$36/100*(AC15-25)))/($B15+S15-R15*AD15/1000)&gt;Design!$C$36,Design!$C$36,100*(Design!$C$29+S15+R15*IF(ISBLANK(Design!$B$42),Constants!$C$6,Design!$B$42)/1000*(1+Constants!$C$36/100*(AC15-25)))/($B15+S15-R15*AD15/1000))</f>
        <v>56.198511440086421</v>
      </c>
      <c r="U15" s="117">
        <f ca="1">IF(($B15-R15*IF(ISBLANK(Design!$B$42),Constants!$C$6,Design!$B$42)/1000*(1+Constants!$C$36/100*(AC15-25))-Design!$C$29)/(Design!$B$41/1000000)*T15/100/(IF(ISBLANK(IF(ISBLANK(Design!$B$41),Design!$B$39,Design!$B$41)),Design!$B$32,Design!$B$33)*1000000)&lt;0,0,($B15-R15*IF(ISBLANK(Design!$B$42),Constants!$C$6,Design!$B$42)/1000*(1+Constants!$C$36/100*(AC15-25))-Design!$C$29)/(IF(ISBLANK(Design!$B$41),Design!$B$39,Design!$B$41)/1000000)*T15/100/(IF(ISBLANK(Design!$B$33),Design!$B$32,Design!$B$33)*1000000))</f>
        <v>0.60164786093286338</v>
      </c>
      <c r="V15" s="183">
        <f>$B15*Constants!$C$21/1000+IF(ISBLANK(Design!$B$33),Design!$B$32,Design!$B$33)*1000000*Constants!$D$25/1000000000*($B15-Constants!$C$24)</f>
        <v>3.875437499999998E-2</v>
      </c>
      <c r="W15" s="183">
        <f>$B15*R15*($B15/(Constants!$C$26*1000000000)*IF(ISBLANK(Design!$B$33),Design!$B$32,Design!$B$33)*1000000/2+$B15/(Constants!$C$27*1000000000)*IF(ISBLANK(Design!$B$33),Design!$B$32,Design!$B$33)*1000000/2)</f>
        <v>6.5756867708333278E-2</v>
      </c>
      <c r="X15" s="183">
        <f t="shared" ca="1" si="2"/>
        <v>0.290404516141267</v>
      </c>
      <c r="Y15" s="183">
        <f>Constants!$D$25/1000000000*Constants!$C$24*IF(ISBLANK(Design!$B$33),Design!$B$32,Design!$B$33)*1000000</f>
        <v>1.0624999999999999E-2</v>
      </c>
      <c r="Z15" s="183">
        <f t="shared" ca="1" si="10"/>
        <v>0.40554075884960028</v>
      </c>
      <c r="AA15" s="183">
        <f t="shared" ca="1" si="7"/>
        <v>0.2621739267608918</v>
      </c>
      <c r="AB15" s="184">
        <f ca="1">$A15+AA15*Design!$B$19</f>
        <v>99.943913825370828</v>
      </c>
      <c r="AC15" s="184">
        <f ca="1">Z15*Design!$C$12+$A15</f>
        <v>98.788385800886402</v>
      </c>
      <c r="AD15" s="184">
        <f ca="1">Constants!$D$22+Constants!$D$22*Constants!$C$23/100*(AC15-25)</f>
        <v>184.03070864070912</v>
      </c>
      <c r="AE15" s="183">
        <f ca="1">(1-Constants!$C$20/1000000000*Design!$B$33*1000000) * ($B15+S15-R15*AD15/1000) - (S15+R15*(1+($A15-25)*Constants!$C$36/100)*IF(ISBLANK(Design!$B$42),Constants!$C$6/1000,Design!$B$42/1000))</f>
        <v>8.8959377158092412</v>
      </c>
      <c r="AF15" s="117">
        <f ca="1">IF(AE15&gt;Design!$C$29,Design!$C$29,AE15)</f>
        <v>4.9990521327014221</v>
      </c>
      <c r="AG15" s="118">
        <f>Design!$D$7/3</f>
        <v>0.83333333333333337</v>
      </c>
      <c r="AH15" s="118">
        <f ca="1">FORECAST(AG15, OFFSET(Design!$C$15:$C$17,MATCH(AG15,Design!$B$15:$B$17,1)-1,0,2), OFFSET(Design!$B$15:$B$17,MATCH(AG15,Design!$B$15:$B$17,1)-1,0,2))+(AQ15-25)*Design!$B$18/1000</f>
        <v>0.30272835307649626</v>
      </c>
      <c r="AI15" s="194">
        <f ca="1">IF(100*(Design!$C$29+AH15+AG15*IF(ISBLANK(Design!$B$42),Constants!$C$6,Design!$B$42)/1000*(1+Constants!$C$36/100*(AR15-25)))/($B15+AH15-AG15*AS15/1000)&gt;Design!$C$36,Design!$C$36,100*(Design!$C$29+AH15+AG15*IF(ISBLANK(Design!$B$42),Constants!$C$6,Design!$B$42)/1000*(1+Constants!$C$36/100*(AR15-25)))/($B15+AH15-AG15*AS15/1000))</f>
        <v>54.582132679314384</v>
      </c>
      <c r="AJ15" s="119">
        <f ca="1">IF(($B15-AG15*IF(ISBLANK(Design!$B$42),Constants!$C$6,Design!$B$42)/1000*(1+Constants!$C$36/100*(AR15-25))-Design!$C$29)/(IF(ISBLANK(Design!$B$41),Design!$B$39,Design!$B$41)/1000000)*AI15/100/(IF(ISBLANK(Design!$B$33),Design!$B$32,Design!$B$33)*1000000)&lt;0,0,($B15-AG15*IF(ISBLANK(Design!$B$42),Constants!$C$6,Design!$B$42)/1000*(1+Constants!$C$36/100*(AR15-25))-Design!$C$29)/(IF(ISBLANK(Design!$B$41),Design!$B$39,Design!$B$41)/1000000)*AI15/100/(IF(ISBLANK(Design!$B$33),Design!$B$32,Design!$B$33)*1000000))</f>
        <v>0.59001058570005738</v>
      </c>
      <c r="AK15" s="195">
        <f>$B15*Constants!$C$21/1000+IF(ISBLANK(Design!$B$33),Design!$B$32,Design!$B$33)*1000000*Constants!$D$25/1000000000*($B15-Constants!$C$24)</f>
        <v>3.875437499999998E-2</v>
      </c>
      <c r="AL15" s="195">
        <f>$B15*AG15*($B15/(Constants!$C$26*1000000000)*IF(ISBLANK(Design!$B$33),Design!$B$32,Design!$B$33)*1000000/2+$B15/(Constants!$C$27*1000000000)*IF(ISBLANK(Design!$B$33),Design!$B$32,Design!$B$33)*1000000/2)</f>
        <v>3.2878433854166639E-2</v>
      </c>
      <c r="AM15" s="195">
        <f t="shared" ca="1" si="3"/>
        <v>6.9948431161923522E-2</v>
      </c>
      <c r="AN15" s="195">
        <f>Constants!$D$25/1000000000*Constants!$C$24*IF(ISBLANK(Design!$B$33),Design!$B$32,Design!$B$33)*1000000</f>
        <v>1.0624999999999999E-2</v>
      </c>
      <c r="AO15" s="195">
        <f t="shared" ca="1" si="11"/>
        <v>0.15220624001609012</v>
      </c>
      <c r="AP15" s="195">
        <f t="shared" ca="1" si="9"/>
        <v>0.11457730145198312</v>
      </c>
      <c r="AQ15" s="196">
        <f ca="1">$A15+AP15*Design!$B$19</f>
        <v>91.530906182763033</v>
      </c>
      <c r="AR15" s="196">
        <f ca="1">AO15*Design!$C$12+$A15</f>
        <v>90.17501216054707</v>
      </c>
      <c r="AS15" s="196">
        <f ca="1">Constants!$D$22+Constants!$D$22*Constants!$C$23/100*(AR15-25)</f>
        <v>177.14000972843766</v>
      </c>
      <c r="AT15" s="195">
        <f ca="1">(1-Constants!$C$20/1000000000*Design!$B$33*1000000) * ($B15+AH15-AG15*AS15/1000) - (AH15+AG15*(1+($A15-25)*Constants!$C$36/100)*IF(ISBLANK(Design!$B$42),Constants!$C$6/1000,Design!$B$42/1000))</f>
        <v>9.0925222075142766</v>
      </c>
      <c r="AU15" s="119">
        <f ca="1">IF(AT15&gt;Design!$C$29,Design!$C$29,AT15)</f>
        <v>4.9990521327014221</v>
      </c>
    </row>
    <row r="16" spans="1:47" s="120" customFormat="1" ht="12.75" customHeight="1">
      <c r="A16" s="112">
        <f>Design!$D$13</f>
        <v>85</v>
      </c>
      <c r="B16" s="113">
        <f t="shared" si="0"/>
        <v>9.4199999999999964</v>
      </c>
      <c r="C16" s="114">
        <f>Design!$D$7</f>
        <v>2.5</v>
      </c>
      <c r="D16" s="114">
        <f ca="1">FORECAST(C16, OFFSET(Design!$C$15:$C$17,MATCH(C16,Design!$B$15:$B$17,1)-1,0,2), OFFSET(Design!$B$15:$B$17,MATCH(C16,Design!$B$15:$B$17,1)-1,0,2))+(M16-25)*Design!$B$18/1000</f>
        <v>0.38988026589155833</v>
      </c>
      <c r="E16" s="173">
        <f ca="1">IF(100*(Design!$C$29+D16+C16*IF(ISBLANK(Design!$B$42),Constants!$C$6,Design!$B$42)/1000*(1+Constants!$C$36/100*(N16-25)))/($B16+D16-C16*O16/1000)&gt;Design!$C$36,Design!$C$36,100*(Design!$C$29+D16+C16*IF(ISBLANK(Design!$B$42),Constants!$C$6,Design!$B$42)/1000*(1+Constants!$C$36/100*(N16-25)))/($B16+D16-C16*O16/1000))</f>
        <v>59.286224493408497</v>
      </c>
      <c r="F16" s="115">
        <f ca="1">IF(($B16-C16*IF(ISBLANK(Design!$B$42),Constants!$C$6,Design!$B$42)/1000*(1+Constants!$C$36/100*(N16-25))-Design!$C$29)/(IF(ISBLANK(Design!$B$41),Design!$B$39,Design!$B$41)/1000000)*E16/100/(IF(ISBLANK(Design!$B$33),Design!$B$32,Design!$B$33)*1000000)&lt;0, 0, ($B16-C16*IF(ISBLANK(Design!$B$42),Constants!$C$6,Design!$B$42)/1000*(1+Constants!$C$36/100*(N16-25))-Design!$C$29)/(IF(ISBLANK(Design!$B$41),Design!$B$39,Design!$B$41)/1000000)*E16/100/(IF(ISBLANK(Design!$B$33),Design!$B$32,Design!$B$33)*1000000))</f>
        <v>0.59783842617769867</v>
      </c>
      <c r="G16" s="165">
        <f>B16*Constants!$C$21/1000+IF(ISBLANK(Design!$B$33),Design!$B$32,Design!$B$33)*1000000*Constants!$D$25/1000000000*(B16-Constants!$C$24)</f>
        <v>3.7652499999999985E-2</v>
      </c>
      <c r="H16" s="165">
        <f>B16*C16*(B16/(Constants!$C$26*1000000000)*IF(ISBLANK(Design!$B$33),Design!$B$32,Design!$B$33)*1000000/2+B16/(Constants!$C$27*1000000000)*IF(ISBLANK(Design!$B$33),Design!$B$32,Design!$B$33)*1000000/2)</f>
        <v>9.428242499999992E-2</v>
      </c>
      <c r="I16" s="165">
        <f t="shared" ca="1" si="1"/>
        <v>0.7327244421396617</v>
      </c>
      <c r="J16" s="165">
        <f>Constants!$D$25/1000000000*Constants!$C$24*IF(ISBLANK(Design!$B$33),Design!$B$32,Design!$B$33)*1000000</f>
        <v>1.0624999999999999E-2</v>
      </c>
      <c r="K16" s="165">
        <f t="shared" ca="1" si="4"/>
        <v>0.87528436713966162</v>
      </c>
      <c r="L16" s="165">
        <f t="shared" ca="1" si="5"/>
        <v>0.39683744049897773</v>
      </c>
      <c r="M16" s="166">
        <f ca="1">A16+L16*Design!$B$19</f>
        <v>107.61973410844173</v>
      </c>
      <c r="N16" s="166">
        <f ca="1">K16*Design!$C$12+A16</f>
        <v>114.75966848274849</v>
      </c>
      <c r="O16" s="166">
        <f ca="1">Constants!$D$22+Constants!$D$22*Constants!$C$23/100*(N16-25)</f>
        <v>196.80773478619881</v>
      </c>
      <c r="P16" s="165">
        <f ca="1">(1-Constants!$C$20/1000000000*Design!$B$33*1000000) * ($B16+D16-C16*O16/1000) - (D16+C16*(1+($A16-25)*Constants!$C$36/100)*IF(ISBLANK(Design!$B$42),Constants!$C$6/1000,Design!$B$42/1000))</f>
        <v>8.4677929369770464</v>
      </c>
      <c r="Q16" s="171">
        <f ca="1">IF(P16&gt;Design!$C$29,Design!$C$29,P16)</f>
        <v>4.9990521327014221</v>
      </c>
      <c r="R16" s="181">
        <f>2*Design!$D$7/3</f>
        <v>1.6666666666666667</v>
      </c>
      <c r="S16" s="116">
        <f ca="1">FORECAST(R16, OFFSET(Design!$C$15:$C$17,MATCH(R16,Design!$B$15:$B$17,1)-1,0,2), OFFSET(Design!$B$15:$B$17,MATCH(R16,Design!$B$15:$B$17,1)-1,0,2))+(AB16-25)*Design!$B$18/1000</f>
        <v>0.35954937797106412</v>
      </c>
      <c r="T16" s="182">
        <f ca="1">IF(100*(Design!$C$29+S16+R16*IF(ISBLANK(Design!$B$42),Constants!$C$6,Design!$B$42)/1000*(1+Constants!$C$36/100*(AC16-25)))/($B16+S16-R16*AD16/1000)&gt;Design!$C$36,Design!$C$36,100*(Design!$C$29+S16+R16*IF(ISBLANK(Design!$B$42),Constants!$C$6,Design!$B$42)/1000*(1+Constants!$C$36/100*(AC16-25)))/($B16+S16-R16*AD16/1000))</f>
        <v>57.4769010061462</v>
      </c>
      <c r="U16" s="117">
        <f ca="1">IF(($B16-R16*IF(ISBLANK(Design!$B$42),Constants!$C$6,Design!$B$42)/1000*(1+Constants!$C$36/100*(AC16-25))-Design!$C$29)/(Design!$B$41/1000000)*T16/100/(IF(ISBLANK(IF(ISBLANK(Design!$B$41),Design!$B$39,Design!$B$41)),Design!$B$32,Design!$B$33)*1000000)&lt;0,0,($B16-R16*IF(ISBLANK(Design!$B$42),Constants!$C$6,Design!$B$42)/1000*(1+Constants!$C$36/100*(AC16-25))-Design!$C$29)/(IF(ISBLANK(Design!$B$41),Design!$B$39,Design!$B$41)/1000000)*T16/100/(IF(ISBLANK(Design!$B$33),Design!$B$32,Design!$B$33)*1000000))</f>
        <v>0.58625436908213557</v>
      </c>
      <c r="V16" s="183">
        <f>$B16*Constants!$C$21/1000+IF(ISBLANK(Design!$B$33),Design!$B$32,Design!$B$33)*1000000*Constants!$D$25/1000000000*($B16-Constants!$C$24)</f>
        <v>3.7652499999999985E-2</v>
      </c>
      <c r="W16" s="183">
        <f>$B16*R16*($B16/(Constants!$C$26*1000000000)*IF(ISBLANK(Design!$B$33),Design!$B$32,Design!$B$33)*1000000/2+$B16/(Constants!$C$27*1000000000)*IF(ISBLANK(Design!$B$33),Design!$B$32,Design!$B$33)*1000000/2)</f>
        <v>6.2854949999999951E-2</v>
      </c>
      <c r="X16" s="183">
        <f t="shared" ca="1" si="2"/>
        <v>0.29696139762411605</v>
      </c>
      <c r="Y16" s="183">
        <f>Constants!$D$25/1000000000*Constants!$C$24*IF(ISBLANK(Design!$B$33),Design!$B$32,Design!$B$33)*1000000</f>
        <v>1.0624999999999999E-2</v>
      </c>
      <c r="Z16" s="183">
        <f t="shared" ca="1" si="10"/>
        <v>0.40809384762411599</v>
      </c>
      <c r="AA16" s="183">
        <f t="shared" ca="1" si="7"/>
        <v>0.25481922987736866</v>
      </c>
      <c r="AB16" s="184">
        <f ca="1">$A16+AA16*Design!$B$19</f>
        <v>99.524696103010015</v>
      </c>
      <c r="AC16" s="184">
        <f ca="1">Z16*Design!$C$12+$A16</f>
        <v>98.875190819219938</v>
      </c>
      <c r="AD16" s="184">
        <f ca="1">Constants!$D$22+Constants!$D$22*Constants!$C$23/100*(AC16-25)</f>
        <v>184.10015265537595</v>
      </c>
      <c r="AE16" s="183">
        <f ca="1">(1-Constants!$C$20/1000000000*Design!$B$33*1000000) * ($B16+S16-R16*AD16/1000) - (S16+R16*(1+($A16-25)*Constants!$C$36/100)*IF(ISBLANK(Design!$B$42),Constants!$C$6/1000,Design!$B$42/1000))</f>
        <v>8.6885778876529578</v>
      </c>
      <c r="AF16" s="117">
        <f ca="1">IF(AE16&gt;Design!$C$29,Design!$C$29,AE16)</f>
        <v>4.9990521327014221</v>
      </c>
      <c r="AG16" s="118">
        <f>Design!$D$7/3</f>
        <v>0.83333333333333337</v>
      </c>
      <c r="AH16" s="118">
        <f ca="1">FORECAST(AG16, OFFSET(Design!$C$15:$C$17,MATCH(AG16,Design!$B$15:$B$17,1)-1,0,2), OFFSET(Design!$B$15:$B$17,MATCH(AG16,Design!$B$15:$B$17,1)-1,0,2))+(AQ16-25)*Design!$B$18/1000</f>
        <v>0.30290104827225695</v>
      </c>
      <c r="AI16" s="194">
        <f ca="1">IF(100*(Design!$C$29+AH16+AG16*IF(ISBLANK(Design!$B$42),Constants!$C$6,Design!$B$42)/1000*(1+Constants!$C$36/100*(AR16-25)))/($B16+AH16-AG16*AS16/1000)&gt;Design!$C$36,Design!$C$36,100*(Design!$C$29+AH16+AG16*IF(ISBLANK(Design!$B$42),Constants!$C$6,Design!$B$42)/1000*(1+Constants!$C$36/100*(AR16-25)))/($B16+AH16-AG16*AS16/1000))</f>
        <v>55.808316222708832</v>
      </c>
      <c r="AJ16" s="119">
        <f ca="1">IF(($B16-AG16*IF(ISBLANK(Design!$B$42),Constants!$C$6,Design!$B$42)/1000*(1+Constants!$C$36/100*(AR16-25))-Design!$C$29)/(IF(ISBLANK(Design!$B$41),Design!$B$39,Design!$B$41)/1000000)*AI16/100/(IF(ISBLANK(Design!$B$33),Design!$B$32,Design!$B$33)*1000000)&lt;0,0,($B16-AG16*IF(ISBLANK(Design!$B$42),Constants!$C$6,Design!$B$42)/1000*(1+Constants!$C$36/100*(AR16-25))-Design!$C$29)/(IF(ISBLANK(Design!$B$41),Design!$B$39,Design!$B$41)/1000000)*AI16/100/(IF(ISBLANK(Design!$B$33),Design!$B$32,Design!$B$33)*1000000))</f>
        <v>0.57503335260633448</v>
      </c>
      <c r="AK16" s="195">
        <f>$B16*Constants!$C$21/1000+IF(ISBLANK(Design!$B$33),Design!$B$32,Design!$B$33)*1000000*Constants!$D$25/1000000000*($B16-Constants!$C$24)</f>
        <v>3.7652499999999985E-2</v>
      </c>
      <c r="AL16" s="195">
        <f>$B16*AG16*($B16/(Constants!$C$26*1000000000)*IF(ISBLANK(Design!$B$33),Design!$B$32,Design!$B$33)*1000000/2+$B16/(Constants!$C$27*1000000000)*IF(ISBLANK(Design!$B$33),Design!$B$32,Design!$B$33)*1000000/2)</f>
        <v>3.1427474999999976E-2</v>
      </c>
      <c r="AM16" s="195">
        <f t="shared" ca="1" si="3"/>
        <v>7.1363598671058071E-2</v>
      </c>
      <c r="AN16" s="195">
        <f>Constants!$D$25/1000000000*Constants!$C$24*IF(ISBLANK(Design!$B$33),Design!$B$32,Design!$B$33)*1000000</f>
        <v>1.0624999999999999E-2</v>
      </c>
      <c r="AO16" s="195">
        <f t="shared" ca="1" si="11"/>
        <v>0.15106857367105803</v>
      </c>
      <c r="AP16" s="195">
        <f t="shared" ca="1" si="9"/>
        <v>0.11154756117547988</v>
      </c>
      <c r="AQ16" s="196">
        <f ca="1">$A16+AP16*Design!$B$19</f>
        <v>91.358210987002352</v>
      </c>
      <c r="AR16" s="196">
        <f ca="1">AO16*Design!$C$12+$A16</f>
        <v>90.136331504815971</v>
      </c>
      <c r="AS16" s="196">
        <f ca="1">Constants!$D$22+Constants!$D$22*Constants!$C$23/100*(AR16-25)</f>
        <v>177.10906520385277</v>
      </c>
      <c r="AT16" s="195">
        <f ca="1">(1-Constants!$C$20/1000000000*Design!$B$33*1000000) * ($B16+AH16-AG16*AS16/1000) - (AH16+AG16*(1+($A16-25)*Constants!$C$36/100)*IF(ISBLANK(Design!$B$42),Constants!$C$6/1000,Design!$B$42/1000))</f>
        <v>8.8853076994450255</v>
      </c>
      <c r="AU16" s="119">
        <f ca="1">IF(AT16&gt;Design!$C$29,Design!$C$29,AT16)</f>
        <v>4.9990521327014221</v>
      </c>
    </row>
    <row r="17" spans="1:47" s="120" customFormat="1" ht="12.75" customHeight="1">
      <c r="A17" s="112">
        <f>Design!$D$13</f>
        <v>85</v>
      </c>
      <c r="B17" s="113">
        <f t="shared" si="0"/>
        <v>9.2049999999999965</v>
      </c>
      <c r="C17" s="114">
        <f>Design!$D$7</f>
        <v>2.5</v>
      </c>
      <c r="D17" s="114">
        <f ca="1">FORECAST(C17, OFFSET(Design!$C$15:$C$17,MATCH(C17,Design!$B$15:$B$17,1)-1,0,2), OFFSET(Design!$B$15:$B$17,MATCH(C17,Design!$B$15:$B$17,1)-1,0,2))+(M17-25)*Design!$B$18/1000</f>
        <v>0.39062284882818238</v>
      </c>
      <c r="E17" s="173">
        <f ca="1">IF(100*(Design!$C$29+D17+C17*IF(ISBLANK(Design!$B$42),Constants!$C$6,Design!$B$42)/1000*(1+Constants!$C$36/100*(N17-25)))/($B17+D17-C17*O17/1000)&gt;Design!$C$36,Design!$C$36,100*(Design!$C$29+D17+C17*IF(ISBLANK(Design!$B$42),Constants!$C$6,Design!$B$42)/1000*(1+Constants!$C$36/100*(N17-25)))/($B17+D17-C17*O17/1000))</f>
        <v>60.697673386757543</v>
      </c>
      <c r="F17" s="115">
        <f ca="1">IF(($B17-C17*IF(ISBLANK(Design!$B$42),Constants!$C$6,Design!$B$42)/1000*(1+Constants!$C$36/100*(N17-25))-Design!$C$29)/(IF(ISBLANK(Design!$B$41),Design!$B$39,Design!$B$41)/1000000)*E17/100/(IF(ISBLANK(Design!$B$33),Design!$B$32,Design!$B$33)*1000000)&lt;0, 0, ($B17-C17*IF(ISBLANK(Design!$B$42),Constants!$C$6,Design!$B$42)/1000*(1+Constants!$C$36/100*(N17-25))-Design!$C$29)/(IF(ISBLANK(Design!$B$41),Design!$B$39,Design!$B$41)/1000000)*E17/100/(IF(ISBLANK(Design!$B$33),Design!$B$32,Design!$B$33)*1000000))</f>
        <v>0.58134018051261138</v>
      </c>
      <c r="G17" s="165">
        <f>B17*Constants!$C$21/1000+IF(ISBLANK(Design!$B$33),Design!$B$32,Design!$B$33)*1000000*Constants!$D$25/1000000000*(B17-Constants!$C$24)</f>
        <v>3.6550624999999982E-2</v>
      </c>
      <c r="H17" s="165">
        <f>B17*C17*(B17/(Constants!$C$26*1000000000)*IF(ISBLANK(Design!$B$33),Design!$B$32,Design!$B$33)*1000000/2+B17/(Constants!$C$27*1000000000)*IF(ISBLANK(Design!$B$33),Design!$B$32,Design!$B$33)*1000000/2)</f>
        <v>9.0027776562499939E-2</v>
      </c>
      <c r="I17" s="165">
        <f t="shared" ca="1" si="1"/>
        <v>0.75135040819988308</v>
      </c>
      <c r="J17" s="165">
        <f>Constants!$D$25/1000000000*Constants!$C$24*IF(ISBLANK(Design!$B$33),Design!$B$32,Design!$B$33)*1000000</f>
        <v>1.0624999999999999E-2</v>
      </c>
      <c r="K17" s="165">
        <f t="shared" ca="1" si="4"/>
        <v>0.88855380976238296</v>
      </c>
      <c r="L17" s="165">
        <f t="shared" ca="1" si="5"/>
        <v>0.38380966968101143</v>
      </c>
      <c r="M17" s="166">
        <f ca="1">A17+L17*Design!$B$19</f>
        <v>106.87715117181764</v>
      </c>
      <c r="N17" s="166">
        <f ca="1">K17*Design!$C$12+A17</f>
        <v>115.21082953192102</v>
      </c>
      <c r="O17" s="166">
        <f ca="1">Constants!$D$22+Constants!$D$22*Constants!$C$23/100*(N17-25)</f>
        <v>197.16866362553682</v>
      </c>
      <c r="P17" s="165">
        <f ca="1">(1-Constants!$C$20/1000000000*Design!$B$33*1000000) * ($B17+D17-C17*O17/1000) - (D17+C17*(1+($A17-25)*Constants!$C$36/100)*IF(ISBLANK(Design!$B$42),Constants!$C$6/1000,Design!$B$42/1000))</f>
        <v>8.2596632604559179</v>
      </c>
      <c r="Q17" s="171">
        <f ca="1">IF(P17&gt;Design!$C$29,Design!$C$29,P17)</f>
        <v>4.9990521327014221</v>
      </c>
      <c r="R17" s="181">
        <f>2*Design!$D$7/3</f>
        <v>1.6666666666666667</v>
      </c>
      <c r="S17" s="116">
        <f ca="1">FORECAST(R17, OFFSET(Design!$C$15:$C$17,MATCH(R17,Design!$B$15:$B$17,1)-1,0,2), OFFSET(Design!$B$15:$B$17,MATCH(R17,Design!$B$15:$B$17,1)-1,0,2))+(AB17-25)*Design!$B$18/1000</f>
        <v>0.35998916721498031</v>
      </c>
      <c r="T17" s="182">
        <f ca="1">IF(100*(Design!$C$29+S17+R17*IF(ISBLANK(Design!$B$42),Constants!$C$6,Design!$B$42)/1000*(1+Constants!$C$36/100*(AC17-25)))/($B17+S17-R17*AD17/1000)&gt;Design!$C$36,Design!$C$36,100*(Design!$C$29+S17+R17*IF(ISBLANK(Design!$B$42),Constants!$C$6,Design!$B$42)/1000*(1+Constants!$C$36/100*(AC17-25)))/($B17+S17-R17*AD17/1000))</f>
        <v>58.814822509477032</v>
      </c>
      <c r="U17" s="117">
        <f ca="1">IF(($B17-R17*IF(ISBLANK(Design!$B$42),Constants!$C$6,Design!$B$42)/1000*(1+Constants!$C$36/100*(AC17-25))-Design!$C$29)/(Design!$B$41/1000000)*T17/100/(IF(ISBLANK(IF(ISBLANK(Design!$B$41),Design!$B$39,Design!$B$41)),Design!$B$32,Design!$B$33)*1000000)&lt;0,0,($B17-R17*IF(ISBLANK(Design!$B$42),Constants!$C$6,Design!$B$42)/1000*(1+Constants!$C$36/100*(AC17-25))-Design!$C$29)/(IF(ISBLANK(Design!$B$41),Design!$B$39,Design!$B$41)/1000000)*T17/100/(IF(ISBLANK(Design!$B$33),Design!$B$32,Design!$B$33)*1000000))</f>
        <v>0.5701439325606088</v>
      </c>
      <c r="V17" s="183">
        <f>$B17*Constants!$C$21/1000+IF(ISBLANK(Design!$B$33),Design!$B$32,Design!$B$33)*1000000*Constants!$D$25/1000000000*($B17-Constants!$C$24)</f>
        <v>3.6550624999999982E-2</v>
      </c>
      <c r="W17" s="183">
        <f>$B17*R17*($B17/(Constants!$C$26*1000000000)*IF(ISBLANK(Design!$B$33),Design!$B$32,Design!$B$33)*1000000/2+$B17/(Constants!$C$27*1000000000)*IF(ISBLANK(Design!$B$33),Design!$B$32,Design!$B$33)*1000000/2)</f>
        <v>6.0018517708333295E-2</v>
      </c>
      <c r="X17" s="183">
        <f t="shared" ca="1" si="2"/>
        <v>0.30383765871471796</v>
      </c>
      <c r="Y17" s="183">
        <f>Constants!$D$25/1000000000*Constants!$C$24*IF(ISBLANK(Design!$B$33),Design!$B$32,Design!$B$33)*1000000</f>
        <v>1.0624999999999999E-2</v>
      </c>
      <c r="Z17" s="183">
        <f t="shared" ca="1" si="10"/>
        <v>0.41103180142305124</v>
      </c>
      <c r="AA17" s="183">
        <f t="shared" ca="1" si="7"/>
        <v>0.24710362910690864</v>
      </c>
      <c r="AB17" s="184">
        <f ca="1">$A17+AA17*Design!$B$19</f>
        <v>99.084906859093792</v>
      </c>
      <c r="AC17" s="184">
        <f ca="1">Z17*Design!$C$12+$A17</f>
        <v>98.975081248383745</v>
      </c>
      <c r="AD17" s="184">
        <f ca="1">Constants!$D$22+Constants!$D$22*Constants!$C$23/100*(AC17-25)</f>
        <v>184.180064998707</v>
      </c>
      <c r="AE17" s="183">
        <f ca="1">(1-Constants!$C$20/1000000000*Design!$B$33*1000000) * ($B17+S17-R17*AD17/1000) - (S17+R17*(1+($A17-25)*Constants!$C$36/100)*IF(ISBLANK(Design!$B$42),Constants!$C$6/1000,Design!$B$42/1000))</f>
        <v>8.4812004994166426</v>
      </c>
      <c r="AF17" s="117">
        <f ca="1">IF(AE17&gt;Design!$C$29,Design!$C$29,AE17)</f>
        <v>4.9990521327014221</v>
      </c>
      <c r="AG17" s="118">
        <f>Design!$D$7/3</f>
        <v>0.83333333333333337</v>
      </c>
      <c r="AH17" s="118">
        <f ca="1">FORECAST(AG17, OFFSET(Design!$C$15:$C$17,MATCH(AG17,Design!$B$15:$B$17,1)-1,0,2), OFFSET(Design!$B$15:$B$17,MATCH(AG17,Design!$B$15:$B$17,1)-1,0,2))+(AQ17-25)*Design!$B$18/1000</f>
        <v>0.30308188807878061</v>
      </c>
      <c r="AI17" s="194">
        <f ca="1">IF(100*(Design!$C$29+AH17+AG17*IF(ISBLANK(Design!$B$42),Constants!$C$6,Design!$B$42)/1000*(1+Constants!$C$36/100*(AR17-25)))/($B17+AH17-AG17*AS17/1000)&gt;Design!$C$36,Design!$C$36,100*(Design!$C$29+AH17+AG17*IF(ISBLANK(Design!$B$42),Constants!$C$6,Design!$B$42)/1000*(1+Constants!$C$36/100*(AR17-25)))/($B17+AH17-AG17*AS17/1000))</f>
        <v>57.090830991781196</v>
      </c>
      <c r="AJ17" s="119">
        <f ca="1">IF(($B17-AG17*IF(ISBLANK(Design!$B$42),Constants!$C$6,Design!$B$42)/1000*(1+Constants!$C$36/100*(AR17-25))-Design!$C$29)/(IF(ISBLANK(Design!$B$41),Design!$B$39,Design!$B$41)/1000000)*AI17/100/(IF(ISBLANK(Design!$B$33),Design!$B$32,Design!$B$33)*1000000)&lt;0,0,($B17-AG17*IF(ISBLANK(Design!$B$42),Constants!$C$6,Design!$B$42)/1000*(1+Constants!$C$36/100*(AR17-25))-Design!$C$29)/(IF(ISBLANK(Design!$B$41),Design!$B$39,Design!$B$41)/1000000)*AI17/100/(IF(ISBLANK(Design!$B$33),Design!$B$32,Design!$B$33)*1000000))</f>
        <v>0.55936740694774578</v>
      </c>
      <c r="AK17" s="195">
        <f>$B17*Constants!$C$21/1000+IF(ISBLANK(Design!$B$33),Design!$B$32,Design!$B$33)*1000000*Constants!$D$25/1000000000*($B17-Constants!$C$24)</f>
        <v>3.6550624999999982E-2</v>
      </c>
      <c r="AL17" s="195">
        <f>$B17*AG17*($B17/(Constants!$C$26*1000000000)*IF(ISBLANK(Design!$B$33),Design!$B$32,Design!$B$33)*1000000/2+$B17/(Constants!$C$27*1000000000)*IF(ISBLANK(Design!$B$33),Design!$B$32,Design!$B$33)*1000000/2)</f>
        <v>3.0009258854166648E-2</v>
      </c>
      <c r="AM17" s="195">
        <f t="shared" ca="1" si="3"/>
        <v>7.2842187945239278E-2</v>
      </c>
      <c r="AN17" s="195">
        <f>Constants!$D$25/1000000000*Constants!$C$24*IF(ISBLANK(Design!$B$33),Design!$B$32,Design!$B$33)*1000000</f>
        <v>1.0624999999999999E-2</v>
      </c>
      <c r="AO17" s="195">
        <f t="shared" ca="1" si="11"/>
        <v>0.15002707179940589</v>
      </c>
      <c r="AP17" s="195">
        <f t="shared" ca="1" si="9"/>
        <v>0.1083749329908538</v>
      </c>
      <c r="AQ17" s="196">
        <f ca="1">$A17+AP17*Design!$B$19</f>
        <v>91.177371180478673</v>
      </c>
      <c r="AR17" s="196">
        <f ca="1">AO17*Design!$C$12+$A17</f>
        <v>90.100920441179795</v>
      </c>
      <c r="AS17" s="196">
        <f ca="1">Constants!$D$22+Constants!$D$22*Constants!$C$23/100*(AR17-25)</f>
        <v>177.08073635294383</v>
      </c>
      <c r="AT17" s="195">
        <f ca="1">(1-Constants!$C$20/1000000000*Design!$B$33*1000000) * ($B17+AH17-AG17*AS17/1000) - (AH17+AG17*(1+($A17-25)*Constants!$C$36/100)*IF(ISBLANK(Design!$B$42),Constants!$C$6/1000,Design!$B$42/1000))</f>
        <v>8.6780907961663249</v>
      </c>
      <c r="AU17" s="119">
        <f ca="1">IF(AT17&gt;Design!$C$29,Design!$C$29,AT17)</f>
        <v>4.9990521327014221</v>
      </c>
    </row>
    <row r="18" spans="1:47" s="120" customFormat="1" ht="12.75" customHeight="1">
      <c r="A18" s="112">
        <f>Design!$D$13</f>
        <v>85</v>
      </c>
      <c r="B18" s="113">
        <f t="shared" si="0"/>
        <v>8.9899999999999967</v>
      </c>
      <c r="C18" s="114">
        <f>Design!$D$7</f>
        <v>2.5</v>
      </c>
      <c r="D18" s="114">
        <f ca="1">FORECAST(C18, OFFSET(Design!$C$15:$C$17,MATCH(C18,Design!$B$15:$B$17,1)-1,0,2), OFFSET(Design!$B$15:$B$17,MATCH(C18,Design!$B$15:$B$17,1)-1,0,2))+(M18-25)*Design!$B$18/1000</f>
        <v>0.39140489200194706</v>
      </c>
      <c r="E18" s="173">
        <f ca="1">IF(100*(Design!$C$29+D18+C18*IF(ISBLANK(Design!$B$42),Constants!$C$6,Design!$B$42)/1000*(1+Constants!$C$36/100*(N18-25)))/($B18+D18-C18*O18/1000)&gt;Design!$C$36,Design!$C$36,100*(Design!$C$29+D18+C18*IF(ISBLANK(Design!$B$42),Constants!$C$6,Design!$B$42)/1000*(1+Constants!$C$36/100*(N18-25)))/($B18+D18-C18*O18/1000))</f>
        <v>62.178335369493752</v>
      </c>
      <c r="F18" s="115">
        <f ca="1">IF(($B18-C18*IF(ISBLANK(Design!$B$42),Constants!$C$6,Design!$B$42)/1000*(1+Constants!$C$36/100*(N18-25))-Design!$C$29)/(IF(ISBLANK(Design!$B$41),Design!$B$39,Design!$B$41)/1000000)*E18/100/(IF(ISBLANK(Design!$B$33),Design!$B$32,Design!$B$33)*1000000)&lt;0, 0, ($B18-C18*IF(ISBLANK(Design!$B$42),Constants!$C$6,Design!$B$42)/1000*(1+Constants!$C$36/100*(N18-25))-Design!$C$29)/(IF(ISBLANK(Design!$B$41),Design!$B$39,Design!$B$41)/1000000)*E18/100/(IF(ISBLANK(Design!$B$33),Design!$B$32,Design!$B$33)*1000000))</f>
        <v>0.56403835612501985</v>
      </c>
      <c r="G18" s="165">
        <f>B18*Constants!$C$21/1000+IF(ISBLANK(Design!$B$33),Design!$B$32,Design!$B$33)*1000000*Constants!$D$25/1000000000*(B18-Constants!$C$24)</f>
        <v>3.5448749999999987E-2</v>
      </c>
      <c r="H18" s="165">
        <f>B18*C18*(B18/(Constants!$C$26*1000000000)*IF(ISBLANK(Design!$B$33),Design!$B$32,Design!$B$33)*1000000/2+B18/(Constants!$C$27*1000000000)*IF(ISBLANK(Design!$B$33),Design!$B$32,Design!$B$33)*1000000/2)</f>
        <v>8.5871356249999919E-2</v>
      </c>
      <c r="I18" s="165">
        <f t="shared" ca="1" si="1"/>
        <v>0.77100457126265431</v>
      </c>
      <c r="J18" s="165">
        <f>Constants!$D$25/1000000000*Constants!$C$24*IF(ISBLANK(Design!$B$33),Design!$B$32,Design!$B$33)*1000000</f>
        <v>1.0624999999999999E-2</v>
      </c>
      <c r="K18" s="165">
        <f t="shared" ca="1" si="4"/>
        <v>0.9029496775126542</v>
      </c>
      <c r="L18" s="165">
        <f t="shared" ca="1" si="5"/>
        <v>0.37008961400092893</v>
      </c>
      <c r="M18" s="166">
        <f ca="1">A18+L18*Design!$B$19</f>
        <v>106.09510799805295</v>
      </c>
      <c r="N18" s="166">
        <f ca="1">K18*Design!$C$12+A18</f>
        <v>115.70028903543025</v>
      </c>
      <c r="O18" s="166">
        <f ca="1">Constants!$D$22+Constants!$D$22*Constants!$C$23/100*(N18-25)</f>
        <v>197.56023122834421</v>
      </c>
      <c r="P18" s="165">
        <f ca="1">(1-Constants!$C$20/1000000000*Design!$B$33*1000000) * ($B18+D18-C18*O18/1000) - (D18+C18*(1+($A18-25)*Constants!$C$36/100)*IF(ISBLANK(Design!$B$42),Constants!$C$6/1000,Design!$B$42/1000))</f>
        <v>8.0514583285883781</v>
      </c>
      <c r="Q18" s="171">
        <f ca="1">IF(P18&gt;Design!$C$29,Design!$C$29,P18)</f>
        <v>4.9990521327014221</v>
      </c>
      <c r="R18" s="181">
        <f>2*Design!$D$7/3</f>
        <v>1.6666666666666667</v>
      </c>
      <c r="S18" s="116">
        <f ca="1">FORECAST(R18, OFFSET(Design!$C$15:$C$17,MATCH(R18,Design!$B$15:$B$17,1)-1,0,2), OFFSET(Design!$B$15:$B$17,MATCH(R18,Design!$B$15:$B$17,1)-1,0,2))+(AB18-25)*Design!$B$18/1000</f>
        <v>0.3604510794327962</v>
      </c>
      <c r="T18" s="182">
        <f ca="1">IF(100*(Design!$C$29+S18+R18*IF(ISBLANK(Design!$B$42),Constants!$C$6,Design!$B$42)/1000*(1+Constants!$C$36/100*(AC18-25)))/($B18+S18-R18*AD18/1000)&gt;Design!$C$36,Design!$C$36,100*(Design!$C$29+S18+R18*IF(ISBLANK(Design!$B$42),Constants!$C$6,Design!$B$42)/1000*(1+Constants!$C$36/100*(AC18-25)))/($B18+S18-R18*AD18/1000))</f>
        <v>60.216530959471022</v>
      </c>
      <c r="U18" s="117">
        <f ca="1">IF(($B18-R18*IF(ISBLANK(Design!$B$42),Constants!$C$6,Design!$B$42)/1000*(1+Constants!$C$36/100*(AC18-25))-Design!$C$29)/(Design!$B$41/1000000)*T18/100/(IF(ISBLANK(IF(ISBLANK(Design!$B$41),Design!$B$39,Design!$B$41)),Design!$B$32,Design!$B$33)*1000000)&lt;0,0,($B18-R18*IF(ISBLANK(Design!$B$42),Constants!$C$6,Design!$B$42)/1000*(1+Constants!$C$36/100*(AC18-25))-Design!$C$29)/(IF(ISBLANK(Design!$B$41),Design!$B$39,Design!$B$41)/1000000)*T18/100/(IF(ISBLANK(Design!$B$33),Design!$B$32,Design!$B$33)*1000000))</f>
        <v>0.55326522394315392</v>
      </c>
      <c r="V18" s="183">
        <f>$B18*Constants!$C$21/1000+IF(ISBLANK(Design!$B$33),Design!$B$32,Design!$B$33)*1000000*Constants!$D$25/1000000000*($B18-Constants!$C$24)</f>
        <v>3.5448749999999987E-2</v>
      </c>
      <c r="W18" s="183">
        <f>$B18*R18*($B18/(Constants!$C$26*1000000000)*IF(ISBLANK(Design!$B$33),Design!$B$32,Design!$B$33)*1000000/2+$B18/(Constants!$C$27*1000000000)*IF(ISBLANK(Design!$B$33),Design!$B$32,Design!$B$33)*1000000/2)</f>
        <v>5.7247570833333289E-2</v>
      </c>
      <c r="X18" s="183">
        <f t="shared" ca="1" si="2"/>
        <v>0.31105731175501239</v>
      </c>
      <c r="Y18" s="183">
        <f>Constants!$D$25/1000000000*Constants!$C$24*IF(ISBLANK(Design!$B$33),Design!$B$32,Design!$B$33)*1000000</f>
        <v>1.0624999999999999E-2</v>
      </c>
      <c r="Z18" s="183">
        <f t="shared" ca="1" si="10"/>
        <v>0.41437863258834567</v>
      </c>
      <c r="AA18" s="183">
        <f t="shared" ca="1" si="7"/>
        <v>0.23899990598733165</v>
      </c>
      <c r="AB18" s="184">
        <f ca="1">$A18+AA18*Design!$B$19</f>
        <v>98.622994641277899</v>
      </c>
      <c r="AC18" s="184">
        <f ca="1">Z18*Design!$C$12+$A18</f>
        <v>99.088873508003758</v>
      </c>
      <c r="AD18" s="184">
        <f ca="1">Constants!$D$22+Constants!$D$22*Constants!$C$23/100*(AC18-25)</f>
        <v>184.27109880640302</v>
      </c>
      <c r="AE18" s="183">
        <f ca="1">(1-Constants!$C$20/1000000000*Design!$B$33*1000000) * ($B18+S18-R18*AD18/1000) - (S18+R18*(1+($A18-25)*Constants!$C$36/100)*IF(ISBLANK(Design!$B$42),Constants!$C$6/1000,Design!$B$42/1000))</f>
        <v>8.2738044458187847</v>
      </c>
      <c r="AF18" s="117">
        <f ca="1">IF(AE18&gt;Design!$C$29,Design!$C$29,AE18)</f>
        <v>4.9990521327014221</v>
      </c>
      <c r="AG18" s="118">
        <f>Design!$D$7/3</f>
        <v>0.83333333333333337</v>
      </c>
      <c r="AH18" s="118">
        <f ca="1">FORECAST(AG18, OFFSET(Design!$C$15:$C$17,MATCH(AG18,Design!$B$15:$B$17,1)-1,0,2), OFFSET(Design!$B$15:$B$17,MATCH(AG18,Design!$B$15:$B$17,1)-1,0,2))+(AQ18-25)*Design!$B$18/1000</f>
        <v>0.30327146215294115</v>
      </c>
      <c r="AI18" s="194">
        <f ca="1">IF(100*(Design!$C$29+AH18+AG18*IF(ISBLANK(Design!$B$42),Constants!$C$6,Design!$B$42)/1000*(1+Constants!$C$36/100*(AR18-25)))/($B18+AH18-AG18*AS18/1000)&gt;Design!$C$36,Design!$C$36,100*(Design!$C$29+AH18+AG18*IF(ISBLANK(Design!$B$42),Constants!$C$6,Design!$B$42)/1000*(1+Constants!$C$36/100*(AR18-25)))/($B18+AH18-AG18*AS18/1000))</f>
        <v>58.433647019108349</v>
      </c>
      <c r="AJ18" s="119">
        <f ca="1">IF(($B18-AG18*IF(ISBLANK(Design!$B$42),Constants!$C$6,Design!$B$42)/1000*(1+Constants!$C$36/100*(AR18-25))-Design!$C$29)/(IF(ISBLANK(Design!$B$41),Design!$B$39,Design!$B$41)/1000000)*AI18/100/(IF(ISBLANK(Design!$B$33),Design!$B$32,Design!$B$33)*1000000)&lt;0,0,($B18-AG18*IF(ISBLANK(Design!$B$42),Constants!$C$6,Design!$B$42)/1000*(1+Constants!$C$36/100*(AR18-25))-Design!$C$29)/(IF(ISBLANK(Design!$B$41),Design!$B$39,Design!$B$41)/1000000)*AI18/100/(IF(ISBLANK(Design!$B$33),Design!$B$32,Design!$B$33)*1000000))</f>
        <v>0.54296414239750768</v>
      </c>
      <c r="AK18" s="195">
        <f>$B18*Constants!$C$21/1000+IF(ISBLANK(Design!$B$33),Design!$B$32,Design!$B$33)*1000000*Constants!$D$25/1000000000*($B18-Constants!$C$24)</f>
        <v>3.5448749999999987E-2</v>
      </c>
      <c r="AL18" s="195">
        <f>$B18*AG18*($B18/(Constants!$C$26*1000000000)*IF(ISBLANK(Design!$B$33),Design!$B$32,Design!$B$33)*1000000/2+$B18/(Constants!$C$27*1000000000)*IF(ISBLANK(Design!$B$33),Design!$B$32,Design!$B$33)*1000000/2)</f>
        <v>2.8623785416666644E-2</v>
      </c>
      <c r="AM18" s="195">
        <f t="shared" ca="1" si="3"/>
        <v>7.4388818606826321E-2</v>
      </c>
      <c r="AN18" s="195">
        <f>Constants!$D$25/1000000000*Constants!$C$24*IF(ISBLANK(Design!$B$33),Design!$B$32,Design!$B$33)*1000000</f>
        <v>1.0624999999999999E-2</v>
      </c>
      <c r="AO18" s="195">
        <f t="shared" ca="1" si="11"/>
        <v>0.14908635402349296</v>
      </c>
      <c r="AP18" s="195">
        <f t="shared" ca="1" si="9"/>
        <v>0.10504907204066896</v>
      </c>
      <c r="AQ18" s="196">
        <f ca="1">$A18+AP18*Design!$B$19</f>
        <v>90.987797106318126</v>
      </c>
      <c r="AR18" s="196">
        <f ca="1">AO18*Design!$C$12+$A18</f>
        <v>90.06893603679876</v>
      </c>
      <c r="AS18" s="196">
        <f ca="1">Constants!$D$22+Constants!$D$22*Constants!$C$23/100*(AR18-25)</f>
        <v>177.05514882943902</v>
      </c>
      <c r="AT18" s="195">
        <f ca="1">(1-Constants!$C$20/1000000000*Design!$B$33*1000000) * ($B18+AH18-AG18*AS18/1000) - (AH18+AG18*(1+($A18-25)*Constants!$C$36/100)*IF(ISBLANK(Design!$B$42),Constants!$C$6/1000,Design!$B$42/1000))</f>
        <v>8.4708713754480751</v>
      </c>
      <c r="AU18" s="119">
        <f ca="1">IF(AT18&gt;Design!$C$29,Design!$C$29,AT18)</f>
        <v>4.9990521327014221</v>
      </c>
    </row>
    <row r="19" spans="1:47" s="120" customFormat="1" ht="12.75" customHeight="1">
      <c r="A19" s="112">
        <f>Design!$D$13</f>
        <v>85</v>
      </c>
      <c r="B19" s="113">
        <f t="shared" si="0"/>
        <v>8.7749999999999968</v>
      </c>
      <c r="C19" s="114">
        <f>Design!$D$7</f>
        <v>2.5</v>
      </c>
      <c r="D19" s="114">
        <f ca="1">FORECAST(C19, OFFSET(Design!$C$15:$C$17,MATCH(C19,Design!$B$15:$B$17,1)-1,0,2), OFFSET(Design!$B$15:$B$17,MATCH(C19,Design!$B$15:$B$17,1)-1,0,2))+(M19-25)*Design!$B$18/1000</f>
        <v>0.39222963890420609</v>
      </c>
      <c r="E19" s="173">
        <f ca="1">IF(100*(Design!$C$29+D19+C19*IF(ISBLANK(Design!$B$42),Constants!$C$6,Design!$B$42)/1000*(1+Constants!$C$36/100*(N19-25)))/($B19+D19-C19*O19/1000)&gt;Design!$C$36,Design!$C$36,100*(Design!$C$29+D19+C19*IF(ISBLANK(Design!$B$42),Constants!$C$6,Design!$B$42)/1000*(1+Constants!$C$36/100*(N19-25)))/($B19+D19-C19*O19/1000))</f>
        <v>63.733452566699</v>
      </c>
      <c r="F19" s="115">
        <f ca="1">IF(($B19-C19*IF(ISBLANK(Design!$B$42),Constants!$C$6,Design!$B$42)/1000*(1+Constants!$C$36/100*(N19-25))-Design!$C$29)/(IF(ISBLANK(Design!$B$41),Design!$B$39,Design!$B$41)/1000000)*E19/100/(IF(ISBLANK(Design!$B$33),Design!$B$32,Design!$B$33)*1000000)&lt;0, 0, ($B19-C19*IF(ISBLANK(Design!$B$42),Constants!$C$6,Design!$B$42)/1000*(1+Constants!$C$36/100*(N19-25))-Design!$C$29)/(IF(ISBLANK(Design!$B$41),Design!$B$39,Design!$B$41)/1000000)*E19/100/(IF(ISBLANK(Design!$B$33),Design!$B$32,Design!$B$33)*1000000))</f>
        <v>0.54587238411069483</v>
      </c>
      <c r="G19" s="165">
        <f>B19*Constants!$C$21/1000+IF(ISBLANK(Design!$B$33),Design!$B$32,Design!$B$33)*1000000*Constants!$D$25/1000000000*(B19-Constants!$C$24)</f>
        <v>3.4346874999999985E-2</v>
      </c>
      <c r="H19" s="165">
        <f>B19*C19*(B19/(Constants!$C$26*1000000000)*IF(ISBLANK(Design!$B$33),Design!$B$32,Design!$B$33)*1000000/2+B19/(Constants!$C$27*1000000000)*IF(ISBLANK(Design!$B$33),Design!$B$32,Design!$B$33)*1000000/2)</f>
        <v>8.1813164062499943E-2</v>
      </c>
      <c r="I19" s="165">
        <f t="shared" ca="1" si="1"/>
        <v>0.79177426933829709</v>
      </c>
      <c r="J19" s="165">
        <f>Constants!$D$25/1000000000*Constants!$C$24*IF(ISBLANK(Design!$B$33),Design!$B$32,Design!$B$33)*1000000</f>
        <v>1.0624999999999999E-2</v>
      </c>
      <c r="K19" s="165">
        <f t="shared" ca="1" si="4"/>
        <v>0.91855930840079703</v>
      </c>
      <c r="L19" s="165">
        <f t="shared" ca="1" si="5"/>
        <v>0.35562037010164782</v>
      </c>
      <c r="M19" s="166">
        <f ca="1">A19+L19*Design!$B$19</f>
        <v>105.27036109579393</v>
      </c>
      <c r="N19" s="166">
        <f ca="1">K19*Design!$C$12+A19</f>
        <v>116.23101648562709</v>
      </c>
      <c r="O19" s="166">
        <f ca="1">Constants!$D$22+Constants!$D$22*Constants!$C$23/100*(N19-25)</f>
        <v>197.98481318850168</v>
      </c>
      <c r="P19" s="165">
        <f ca="1">(1-Constants!$C$20/1000000000*Design!$B$33*1000000) * ($B19+D19-C19*O19/1000) - (D19+C19*(1+($A19-25)*Constants!$C$36/100)*IF(ISBLANK(Design!$B$42),Constants!$C$6/1000,Design!$B$42/1000))</f>
        <v>7.843172299764416</v>
      </c>
      <c r="Q19" s="171">
        <f ca="1">IF(P19&gt;Design!$C$29,Design!$C$29,P19)</f>
        <v>4.9990521327014221</v>
      </c>
      <c r="R19" s="181">
        <f>2*Design!$D$7/3</f>
        <v>1.6666666666666667</v>
      </c>
      <c r="S19" s="116">
        <f ca="1">FORECAST(R19, OFFSET(Design!$C$15:$C$17,MATCH(R19,Design!$B$15:$B$17,1)-1,0,2), OFFSET(Design!$B$15:$B$17,MATCH(R19,Design!$B$15:$B$17,1)-1,0,2))+(AB19-25)*Design!$B$18/1000</f>
        <v>0.36093682603857635</v>
      </c>
      <c r="T19" s="182">
        <f ca="1">IF(100*(Design!$C$29+S19+R19*IF(ISBLANK(Design!$B$42),Constants!$C$6,Design!$B$42)/1000*(1+Constants!$C$36/100*(AC19-25)))/($B19+S19-R19*AD19/1000)&gt;Design!$C$36,Design!$C$36,100*(Design!$C$29+S19+R19*IF(ISBLANK(Design!$B$42),Constants!$C$6,Design!$B$42)/1000*(1+Constants!$C$36/100*(AC19-25)))/($B19+S19-R19*AD19/1000))</f>
        <v>61.68669654907638</v>
      </c>
      <c r="U19" s="117">
        <f ca="1">IF(($B19-R19*IF(ISBLANK(Design!$B$42),Constants!$C$6,Design!$B$42)/1000*(1+Constants!$C$36/100*(AC19-25))-Design!$C$29)/(Design!$B$41/1000000)*T19/100/(IF(ISBLANK(IF(ISBLANK(Design!$B$41),Design!$B$39,Design!$B$41)),Design!$B$32,Design!$B$33)*1000000)&lt;0,0,($B19-R19*IF(ISBLANK(Design!$B$42),Constants!$C$6,Design!$B$42)/1000*(1+Constants!$C$36/100*(AC19-25))-Design!$C$29)/(IF(ISBLANK(Design!$B$41),Design!$B$39,Design!$B$41)/1000000)*T19/100/(IF(ISBLANK(Design!$B$33),Design!$B$32,Design!$B$33)*1000000))</f>
        <v>0.53556189987719083</v>
      </c>
      <c r="V19" s="183">
        <f>$B19*Constants!$C$21/1000+IF(ISBLANK(Design!$B$33),Design!$B$32,Design!$B$33)*1000000*Constants!$D$25/1000000000*($B19-Constants!$C$24)</f>
        <v>3.4346874999999985E-2</v>
      </c>
      <c r="W19" s="183">
        <f>$B19*R19*($B19/(Constants!$C$26*1000000000)*IF(ISBLANK(Design!$B$33),Design!$B$32,Design!$B$33)*1000000/2+$B19/(Constants!$C$27*1000000000)*IF(ISBLANK(Design!$B$33),Design!$B$32,Design!$B$33)*1000000/2)</f>
        <v>5.454210937499996E-2</v>
      </c>
      <c r="X19" s="183">
        <f t="shared" ca="1" si="2"/>
        <v>0.31864687346358816</v>
      </c>
      <c r="Y19" s="183">
        <f>Constants!$D$25/1000000000*Constants!$C$24*IF(ISBLANK(Design!$B$33),Design!$B$32,Design!$B$33)*1000000</f>
        <v>1.0624999999999999E-2</v>
      </c>
      <c r="Z19" s="183">
        <f t="shared" ca="1" si="10"/>
        <v>0.41816085783858814</v>
      </c>
      <c r="AA19" s="183">
        <f t="shared" ca="1" si="7"/>
        <v>0.23047803571048678</v>
      </c>
      <c r="AB19" s="184">
        <f ca="1">$A19+AA19*Design!$B$19</f>
        <v>98.137248035497748</v>
      </c>
      <c r="AC19" s="184">
        <f ca="1">Z19*Design!$C$12+$A19</f>
        <v>99.217469166511989</v>
      </c>
      <c r="AD19" s="184">
        <f ca="1">Constants!$D$22+Constants!$D$22*Constants!$C$23/100*(AC19-25)</f>
        <v>184.37397533320959</v>
      </c>
      <c r="AE19" s="183">
        <f ca="1">(1-Constants!$C$20/1000000000*Design!$B$33*1000000) * ($B19+S19-R19*AD19/1000) - (S19+R19*(1+($A19-25)*Constants!$C$36/100)*IF(ISBLANK(Design!$B$42),Constants!$C$6/1000,Design!$B$42/1000))</f>
        <v>8.0663885063688578</v>
      </c>
      <c r="AF19" s="117">
        <f ca="1">IF(AE19&gt;Design!$C$29,Design!$C$29,AE19)</f>
        <v>4.9990521327014221</v>
      </c>
      <c r="AG19" s="118">
        <f>Design!$D$7/3</f>
        <v>0.83333333333333337</v>
      </c>
      <c r="AH19" s="118">
        <f ca="1">FORECAST(AG19, OFFSET(Design!$C$15:$C$17,MATCH(AG19,Design!$B$15:$B$17,1)-1,0,2), OFFSET(Design!$B$15:$B$17,MATCH(AG19,Design!$B$15:$B$17,1)-1,0,2))+(AQ19-25)*Design!$B$18/1000</f>
        <v>0.3034704184374829</v>
      </c>
      <c r="AI19" s="194">
        <f ca="1">IF(100*(Design!$C$29+AH19+AG19*IF(ISBLANK(Design!$B$42),Constants!$C$6,Design!$B$42)/1000*(1+Constants!$C$36/100*(AR19-25)))/($B19+AH19-AG19*AS19/1000)&gt;Design!$C$36,Design!$C$36,100*(Design!$C$29+AH19+AG19*IF(ISBLANK(Design!$B$42),Constants!$C$6,Design!$B$42)/1000*(1+Constants!$C$36/100*(AR19-25)))/($B19+AH19-AG19*AS19/1000))</f>
        <v>59.841116074008589</v>
      </c>
      <c r="AJ19" s="119">
        <f ca="1">IF(($B19-AG19*IF(ISBLANK(Design!$B$42),Constants!$C$6,Design!$B$42)/1000*(1+Constants!$C$36/100*(AR19-25))-Design!$C$29)/(IF(ISBLANK(Design!$B$41),Design!$B$39,Design!$B$41)/1000000)*AI19/100/(IF(ISBLANK(Design!$B$33),Design!$B$32,Design!$B$33)*1000000)&lt;0,0,($B19-AG19*IF(ISBLANK(Design!$B$42),Constants!$C$6,Design!$B$42)/1000*(1+Constants!$C$36/100*(AR19-25))-Design!$C$29)/(IF(ISBLANK(Design!$B$41),Design!$B$39,Design!$B$41)/1000000)*AI19/100/(IF(ISBLANK(Design!$B$33),Design!$B$32,Design!$B$33)*1000000))</f>
        <v>0.52577027235107321</v>
      </c>
      <c r="AK19" s="195">
        <f>$B19*Constants!$C$21/1000+IF(ISBLANK(Design!$B$33),Design!$B$32,Design!$B$33)*1000000*Constants!$D$25/1000000000*($B19-Constants!$C$24)</f>
        <v>3.4346874999999985E-2</v>
      </c>
      <c r="AL19" s="195">
        <f>$B19*AG19*($B19/(Constants!$C$26*1000000000)*IF(ISBLANK(Design!$B$33),Design!$B$32,Design!$B$33)*1000000/2+$B19/(Constants!$C$27*1000000000)*IF(ISBLANK(Design!$B$33),Design!$B$32,Design!$B$33)*1000000/2)</f>
        <v>2.727105468749998E-2</v>
      </c>
      <c r="AM19" s="195">
        <f t="shared" ca="1" si="3"/>
        <v>7.6008599837695492E-2</v>
      </c>
      <c r="AN19" s="195">
        <f>Constants!$D$25/1000000000*Constants!$C$24*IF(ISBLANK(Design!$B$33),Design!$B$32,Design!$B$33)*1000000</f>
        <v>1.0624999999999999E-2</v>
      </c>
      <c r="AO19" s="195">
        <f t="shared" ca="1" si="11"/>
        <v>0.14825152952519544</v>
      </c>
      <c r="AP19" s="195">
        <f t="shared" ca="1" si="9"/>
        <v>0.10155861090835767</v>
      </c>
      <c r="AQ19" s="196">
        <f ca="1">$A19+AP19*Design!$B$19</f>
        <v>90.78884082177639</v>
      </c>
      <c r="AR19" s="196">
        <f ca="1">AO19*Design!$C$12+$A19</f>
        <v>90.040552003856646</v>
      </c>
      <c r="AS19" s="196">
        <f ca="1">Constants!$D$22+Constants!$D$22*Constants!$C$23/100*(AR19-25)</f>
        <v>177.03244160308532</v>
      </c>
      <c r="AT19" s="195">
        <f ca="1">(1-Constants!$C$20/1000000000*Design!$B$33*1000000) * ($B19+AH19-AG19*AS19/1000) - (AH19+AG19*(1+($A19-25)*Constants!$C$36/100)*IF(ISBLANK(Design!$B$42),Constants!$C$6/1000,Design!$B$42/1000))</f>
        <v>8.2636493022587967</v>
      </c>
      <c r="AU19" s="119">
        <f ca="1">IF(AT19&gt;Design!$C$29,Design!$C$29,AT19)</f>
        <v>4.9990521327014221</v>
      </c>
    </row>
    <row r="20" spans="1:47" s="120" customFormat="1" ht="12.75" customHeight="1">
      <c r="A20" s="112">
        <f>Design!$D$13</f>
        <v>85</v>
      </c>
      <c r="B20" s="113">
        <f t="shared" si="0"/>
        <v>8.5599999999999969</v>
      </c>
      <c r="C20" s="114">
        <f>Design!$D$7</f>
        <v>2.5</v>
      </c>
      <c r="D20" s="114">
        <f ca="1">FORECAST(C20, OFFSET(Design!$C$15:$C$17,MATCH(C20,Design!$B$15:$B$17,1)-1,0,2), OFFSET(Design!$B$15:$B$17,MATCH(C20,Design!$B$15:$B$17,1)-1,0,2))+(M20-25)*Design!$B$18/1000</f>
        <v>0.39310070016601473</v>
      </c>
      <c r="E20" s="173">
        <f ca="1">IF(100*(Design!$C$29+D20+C20*IF(ISBLANK(Design!$B$42),Constants!$C$6,Design!$B$42)/1000*(1+Constants!$C$36/100*(N20-25)))/($B20+D20-C20*O20/1000)&gt;Design!$C$36,Design!$C$36,100*(Design!$C$29+D20+C20*IF(ISBLANK(Design!$B$42),Constants!$C$6,Design!$B$42)/1000*(1+Constants!$C$36/100*(N20-25)))/($B20+D20-C20*O20/1000))</f>
        <v>65.368813290339318</v>
      </c>
      <c r="F20" s="115">
        <f ca="1">IF(($B20-C20*IF(ISBLANK(Design!$B$42),Constants!$C$6,Design!$B$42)/1000*(1+Constants!$C$36/100*(N20-25))-Design!$C$29)/(IF(ISBLANK(Design!$B$41),Design!$B$39,Design!$B$41)/1000000)*E20/100/(IF(ISBLANK(Design!$B$33),Design!$B$32,Design!$B$33)*1000000)&lt;0, 0, ($B20-C20*IF(ISBLANK(Design!$B$42),Constants!$C$6,Design!$B$42)/1000*(1+Constants!$C$36/100*(N20-25))-Design!$C$29)/(IF(ISBLANK(Design!$B$41),Design!$B$39,Design!$B$41)/1000000)*E20/100/(IF(ISBLANK(Design!$B$33),Design!$B$32,Design!$B$33)*1000000))</f>
        <v>0.52677542466321692</v>
      </c>
      <c r="G20" s="165">
        <f>B20*Constants!$C$21/1000+IF(ISBLANK(Design!$B$33),Design!$B$32,Design!$B$33)*1000000*Constants!$D$25/1000000000*(B20-Constants!$C$24)</f>
        <v>3.3244999999999983E-2</v>
      </c>
      <c r="H20" s="165">
        <f>B20*C20*(B20/(Constants!$C$26*1000000000)*IF(ISBLANK(Design!$B$33),Design!$B$32,Design!$B$33)*1000000/2+B20/(Constants!$C$27*1000000000)*IF(ISBLANK(Design!$B$33),Design!$B$32,Design!$B$33)*1000000/2)</f>
        <v>7.7853199999999942E-2</v>
      </c>
      <c r="I20" s="165">
        <f t="shared" ca="1" si="1"/>
        <v>0.81375711842039611</v>
      </c>
      <c r="J20" s="165">
        <f>Constants!$D$25/1000000000*Constants!$C$24*IF(ISBLANK(Design!$B$33),Design!$B$32,Design!$B$33)*1000000</f>
        <v>1.0624999999999999E-2</v>
      </c>
      <c r="K20" s="165">
        <f t="shared" ca="1" si="4"/>
        <v>0.93548031842039603</v>
      </c>
      <c r="L20" s="165">
        <f t="shared" ca="1" si="5"/>
        <v>0.3403385935786899</v>
      </c>
      <c r="M20" s="166">
        <f ca="1">A20+L20*Design!$B$19</f>
        <v>104.39929983398532</v>
      </c>
      <c r="N20" s="166">
        <f ca="1">K20*Design!$C$12+A20</f>
        <v>116.80633082629346</v>
      </c>
      <c r="O20" s="166">
        <f ca="1">Constants!$D$22+Constants!$D$22*Constants!$C$23/100*(N20-25)</f>
        <v>198.44506466103479</v>
      </c>
      <c r="P20" s="165">
        <f ca="1">(1-Constants!$C$20/1000000000*Design!$B$33*1000000) * ($B20+D20-C20*O20/1000) - (D20+C20*(1+($A20-25)*Constants!$C$36/100)*IF(ISBLANK(Design!$B$42),Constants!$C$6/1000,Design!$B$42/1000))</f>
        <v>7.6347986454561116</v>
      </c>
      <c r="Q20" s="171">
        <f ca="1">IF(P20&gt;Design!$C$29,Design!$C$29,P20)</f>
        <v>4.9990521327014221</v>
      </c>
      <c r="R20" s="181">
        <f>2*Design!$D$7/3</f>
        <v>1.6666666666666667</v>
      </c>
      <c r="S20" s="116">
        <f ca="1">FORECAST(R20, OFFSET(Design!$C$15:$C$17,MATCH(R20,Design!$B$15:$B$17,1)-1,0,2), OFFSET(Design!$B$15:$B$17,MATCH(R20,Design!$B$15:$B$17,1)-1,0,2))+(AB20-25)*Design!$B$18/1000</f>
        <v>0.36144829956086716</v>
      </c>
      <c r="T20" s="182">
        <f ca="1">IF(100*(Design!$C$29+S20+R20*IF(ISBLANK(Design!$B$42),Constants!$C$6,Design!$B$42)/1000*(1+Constants!$C$36/100*(AC20-25)))/($B20+S20-R20*AD20/1000)&gt;Design!$C$36,Design!$C$36,100*(Design!$C$29+S20+R20*IF(ISBLANK(Design!$B$42),Constants!$C$6,Design!$B$42)/1000*(1+Constants!$C$36/100*(AC20-25)))/($B20+S20-R20*AD20/1000))</f>
        <v>63.230456534400133</v>
      </c>
      <c r="U20" s="117">
        <f ca="1">IF(($B20-R20*IF(ISBLANK(Design!$B$42),Constants!$C$6,Design!$B$42)/1000*(1+Constants!$C$36/100*(AC20-25))-Design!$C$29)/(Design!$B$41/1000000)*T20/100/(IF(ISBLANK(IF(ISBLANK(Design!$B$41),Design!$B$39,Design!$B$41)),Design!$B$32,Design!$B$33)*1000000)&lt;0,0,($B20-R20*IF(ISBLANK(Design!$B$42),Constants!$C$6,Design!$B$42)/1000*(1+Constants!$C$36/100*(AC20-25))-Design!$C$29)/(IF(ISBLANK(Design!$B$41),Design!$B$39,Design!$B$41)/1000000)*T20/100/(IF(ISBLANK(Design!$B$33),Design!$B$32,Design!$B$33)*1000000))</f>
        <v>0.51697197333300382</v>
      </c>
      <c r="V20" s="183">
        <f>$B20*Constants!$C$21/1000+IF(ISBLANK(Design!$B$33),Design!$B$32,Design!$B$33)*1000000*Constants!$D$25/1000000000*($B20-Constants!$C$24)</f>
        <v>3.3244999999999983E-2</v>
      </c>
      <c r="W20" s="183">
        <f>$B20*R20*($B20/(Constants!$C$26*1000000000)*IF(ISBLANK(Design!$B$33),Design!$B$32,Design!$B$33)*1000000/2+$B20/(Constants!$C$27*1000000000)*IF(ISBLANK(Design!$B$33),Design!$B$32,Design!$B$33)*1000000/2)</f>
        <v>5.1902133333333295E-2</v>
      </c>
      <c r="X20" s="183">
        <f t="shared" ca="1" si="2"/>
        <v>0.32663570473130921</v>
      </c>
      <c r="Y20" s="183">
        <f>Constants!$D$25/1000000000*Constants!$C$24*IF(ISBLANK(Design!$B$33),Design!$B$32,Design!$B$33)*1000000</f>
        <v>1.0624999999999999E-2</v>
      </c>
      <c r="Z20" s="183">
        <f t="shared" ca="1" si="10"/>
        <v>0.42240783806464249</v>
      </c>
      <c r="AA20" s="183">
        <f t="shared" ca="1" si="7"/>
        <v>0.22150481602117444</v>
      </c>
      <c r="AB20" s="184">
        <f ca="1">$A20+AA20*Design!$B$19</f>
        <v>97.625774513206949</v>
      </c>
      <c r="AC20" s="184">
        <f ca="1">Z20*Design!$C$12+$A20</f>
        <v>99.361866494197841</v>
      </c>
      <c r="AD20" s="184">
        <f ca="1">Constants!$D$22+Constants!$D$22*Constants!$C$23/100*(AC20-25)</f>
        <v>184.48949319535828</v>
      </c>
      <c r="AE20" s="183">
        <f ca="1">(1-Constants!$C$20/1000000000*Design!$B$33*1000000) * ($B20+S20-R20*AD20/1000) - (S20+R20*(1+($A20-25)*Constants!$C$36/100)*IF(ISBLANK(Design!$B$42),Constants!$C$6/1000,Design!$B$42/1000))</f>
        <v>7.858951329755568</v>
      </c>
      <c r="AF20" s="117">
        <f ca="1">IF(AE20&gt;Design!$C$29,Design!$C$29,AE20)</f>
        <v>4.9990521327014221</v>
      </c>
      <c r="AG20" s="118">
        <f>Design!$D$7/3</f>
        <v>0.83333333333333337</v>
      </c>
      <c r="AH20" s="118">
        <f ca="1">FORECAST(AG20, OFFSET(Design!$C$15:$C$17,MATCH(AG20,Design!$B$15:$B$17,1)-1,0,2), OFFSET(Design!$B$15:$B$17,MATCH(AG20,Design!$B$15:$B$17,1)-1,0,2))+(AQ20-25)*Design!$B$18/1000</f>
        <v>0.30367947053983807</v>
      </c>
      <c r="AI20" s="194">
        <f ca="1">IF(100*(Design!$C$29+AH20+AG20*IF(ISBLANK(Design!$B$42),Constants!$C$6,Design!$B$42)/1000*(1+Constants!$C$36/100*(AR20-25)))/($B20+AH20-AG20*AS20/1000)&gt;Design!$C$36,Design!$C$36,100*(Design!$C$29+AH20+AG20*IF(ISBLANK(Design!$B$42),Constants!$C$6,Design!$B$42)/1000*(1+Constants!$C$36/100*(AR20-25)))/($B20+AH20-AG20*AS20/1000))</f>
        <v>61.318018636715422</v>
      </c>
      <c r="AJ20" s="119">
        <f ca="1">IF(($B20-AG20*IF(ISBLANK(Design!$B$42),Constants!$C$6,Design!$B$42)/1000*(1+Constants!$C$36/100*(AR20-25))-Design!$C$29)/(IF(ISBLANK(Design!$B$41),Design!$B$39,Design!$B$41)/1000000)*AI20/100/(IF(ISBLANK(Design!$B$33),Design!$B$32,Design!$B$33)*1000000)&lt;0,0,($B20-AG20*IF(ISBLANK(Design!$B$42),Constants!$C$6,Design!$B$42)/1000*(1+Constants!$C$36/100*(AR20-25))-Design!$C$29)/(IF(ISBLANK(Design!$B$41),Design!$B$39,Design!$B$41)/1000000)*AI20/100/(IF(ISBLANK(Design!$B$33),Design!$B$32,Design!$B$33)*1000000))</f>
        <v>0.507727253172223</v>
      </c>
      <c r="AK20" s="195">
        <f>$B20*Constants!$C$21/1000+IF(ISBLANK(Design!$B$33),Design!$B$32,Design!$B$33)*1000000*Constants!$D$25/1000000000*($B20-Constants!$C$24)</f>
        <v>3.3244999999999983E-2</v>
      </c>
      <c r="AL20" s="195">
        <f>$B20*AG20*($B20/(Constants!$C$26*1000000000)*IF(ISBLANK(Design!$B$33),Design!$B$32,Design!$B$33)*1000000/2+$B20/(Constants!$C$27*1000000000)*IF(ISBLANK(Design!$B$33),Design!$B$32,Design!$B$33)*1000000/2)</f>
        <v>2.5951066666666647E-2</v>
      </c>
      <c r="AM20" s="195">
        <f t="shared" ca="1" si="3"/>
        <v>7.7707200415794028E-2</v>
      </c>
      <c r="AN20" s="195">
        <f>Constants!$D$25/1000000000*Constants!$C$24*IF(ISBLANK(Design!$B$33),Design!$B$32,Design!$B$33)*1000000</f>
        <v>1.0624999999999999E-2</v>
      </c>
      <c r="AO20" s="195">
        <f t="shared" ca="1" si="11"/>
        <v>0.14752826708246064</v>
      </c>
      <c r="AP20" s="195">
        <f t="shared" ca="1" si="9"/>
        <v>9.789103016528454E-2</v>
      </c>
      <c r="AQ20" s="196">
        <f ca="1">$A20+AP20*Design!$B$19</f>
        <v>90.579788719421217</v>
      </c>
      <c r="AR20" s="196">
        <f ca="1">AO20*Design!$C$12+$A20</f>
        <v>90.015961080803663</v>
      </c>
      <c r="AS20" s="196">
        <f ca="1">Constants!$D$22+Constants!$D$22*Constants!$C$23/100*(AR20-25)</f>
        <v>177.01276886464294</v>
      </c>
      <c r="AT20" s="195">
        <f ca="1">(1-Constants!$C$20/1000000000*Design!$B$33*1000000) * ($B20+AH20-AG20*AS20/1000) - (AH20+AG20*(1+($A20-25)*Constants!$C$36/100)*IF(ISBLANK(Design!$B$42),Constants!$C$6/1000,Design!$B$42/1000))</f>
        <v>8.0564244269689063</v>
      </c>
      <c r="AU20" s="119">
        <f ca="1">IF(AT20&gt;Design!$C$29,Design!$C$29,AT20)</f>
        <v>4.9990521327014221</v>
      </c>
    </row>
    <row r="21" spans="1:47" s="120" customFormat="1" ht="12.75" customHeight="1">
      <c r="A21" s="112">
        <f>Design!$D$13</f>
        <v>85</v>
      </c>
      <c r="B21" s="113">
        <f t="shared" si="0"/>
        <v>8.3449999999999971</v>
      </c>
      <c r="C21" s="114">
        <f>Design!$D$7</f>
        <v>2.5</v>
      </c>
      <c r="D21" s="114">
        <f ca="1">FORECAST(C21, OFFSET(Design!$C$15:$C$17,MATCH(C21,Design!$B$15:$B$17,1)-1,0,2), OFFSET(Design!$B$15:$B$17,MATCH(C21,Design!$B$15:$B$17,1)-1,0,2))+(M21-25)*Design!$B$18/1000</f>
        <v>0.3940221072927626</v>
      </c>
      <c r="E21" s="173">
        <f ca="1">IF(100*(Design!$C$29+D21+C21*IF(ISBLANK(Design!$B$42),Constants!$C$6,Design!$B$42)/1000*(1+Constants!$C$36/100*(N21-25)))/($B21+D21-C21*O21/1000)&gt;Design!$C$36,Design!$C$36,100*(Design!$C$29+D21+C21*IF(ISBLANK(Design!$B$42),Constants!$C$6,Design!$B$42)/1000*(1+Constants!$C$36/100*(N21-25)))/($B21+D21-C21*O21/1000))</f>
        <v>67.090825588985638</v>
      </c>
      <c r="F21" s="115">
        <f ca="1">IF(($B21-C21*IF(ISBLANK(Design!$B$42),Constants!$C$6,Design!$B$42)/1000*(1+Constants!$C$36/100*(N21-25))-Design!$C$29)/(IF(ISBLANK(Design!$B$41),Design!$B$39,Design!$B$41)/1000000)*E21/100/(IF(ISBLANK(Design!$B$33),Design!$B$32,Design!$B$33)*1000000)&lt;0, 0, ($B21-C21*IF(ISBLANK(Design!$B$42),Constants!$C$6,Design!$B$42)/1000*(1+Constants!$C$36/100*(N21-25))-Design!$C$29)/(IF(ISBLANK(Design!$B$41),Design!$B$39,Design!$B$41)/1000000)*E21/100/(IF(ISBLANK(Design!$B$33),Design!$B$32,Design!$B$33)*1000000))</f>
        <v>0.5066735291352602</v>
      </c>
      <c r="G21" s="165">
        <f>B21*Constants!$C$21/1000+IF(ISBLANK(Design!$B$33),Design!$B$32,Design!$B$33)*1000000*Constants!$D$25/1000000000*(B21-Constants!$C$24)</f>
        <v>3.2143124999999981E-2</v>
      </c>
      <c r="H21" s="165">
        <f>B21*C21*(B21/(Constants!$C$26*1000000000)*IF(ISBLANK(Design!$B$33),Design!$B$32,Design!$B$33)*1000000/2+B21/(Constants!$C$27*1000000000)*IF(ISBLANK(Design!$B$33),Design!$B$32,Design!$B$33)*1000000/2)</f>
        <v>7.3991464062499943E-2</v>
      </c>
      <c r="I21" s="165">
        <f t="shared" ca="1" si="1"/>
        <v>0.8370625847747839</v>
      </c>
      <c r="J21" s="165">
        <f>Constants!$D$25/1000000000*Constants!$C$24*IF(ISBLANK(Design!$B$33),Design!$B$32,Design!$B$33)*1000000</f>
        <v>1.0624999999999999E-2</v>
      </c>
      <c r="K21" s="165">
        <f t="shared" ca="1" si="4"/>
        <v>0.95382217383728385</v>
      </c>
      <c r="L21" s="165">
        <f t="shared" ca="1" si="5"/>
        <v>0.32417355626732347</v>
      </c>
      <c r="M21" s="166">
        <f ca="1">A21+L21*Design!$B$19</f>
        <v>103.47789270723743</v>
      </c>
      <c r="N21" s="166">
        <f ca="1">K21*Design!$C$12+A21</f>
        <v>117.42995391046765</v>
      </c>
      <c r="O21" s="166">
        <f ca="1">Constants!$D$22+Constants!$D$22*Constants!$C$23/100*(N21-25)</f>
        <v>198.94396312837412</v>
      </c>
      <c r="P21" s="165">
        <f ca="1">(1-Constants!$C$20/1000000000*Design!$B$33*1000000) * ($B21+D21-C21*O21/1000) - (D21+C21*(1+($A21-25)*Constants!$C$36/100)*IF(ISBLANK(Design!$B$42),Constants!$C$6/1000,Design!$B$42/1000))</f>
        <v>7.4263300452231418</v>
      </c>
      <c r="Q21" s="171">
        <f ca="1">IF(P21&gt;Design!$C$29,Design!$C$29,P21)</f>
        <v>4.9990521327014221</v>
      </c>
      <c r="R21" s="181">
        <f>2*Design!$D$7/3</f>
        <v>1.6666666666666667</v>
      </c>
      <c r="S21" s="116">
        <f ca="1">FORECAST(R21, OFFSET(Design!$C$15:$C$17,MATCH(R21,Design!$B$15:$B$17,1)-1,0,2), OFFSET(Design!$B$15:$B$17,MATCH(R21,Design!$B$15:$B$17,1)-1,0,2))+(AB21-25)*Design!$B$18/1000</f>
        <v>0.36198759824203625</v>
      </c>
      <c r="T21" s="182">
        <f ca="1">IF(100*(Design!$C$29+S21+R21*IF(ISBLANK(Design!$B$42),Constants!$C$6,Design!$B$42)/1000*(1+Constants!$C$36/100*(AC21-25)))/($B21+S21-R21*AD21/1000)&gt;Design!$C$36,Design!$C$36,100*(Design!$C$29+S21+R21*IF(ISBLANK(Design!$B$42),Constants!$C$6,Design!$B$42)/1000*(1+Constants!$C$36/100*(AC21-25)))/($B21+S21-R21*AD21/1000))</f>
        <v>64.853475089275079</v>
      </c>
      <c r="U21" s="117">
        <f ca="1">IF(($B21-R21*IF(ISBLANK(Design!$B$42),Constants!$C$6,Design!$B$42)/1000*(1+Constants!$C$36/100*(AC21-25))-Design!$C$29)/(Design!$B$41/1000000)*T21/100/(IF(ISBLANK(IF(ISBLANK(Design!$B$41),Design!$B$39,Design!$B$41)),Design!$B$32,Design!$B$33)*1000000)&lt;0,0,($B21-R21*IF(ISBLANK(Design!$B$42),Constants!$C$6,Design!$B$42)/1000*(1+Constants!$C$36/100*(AC21-25))-Design!$C$29)/(IF(ISBLANK(Design!$B$41),Design!$B$39,Design!$B$41)/1000000)*T21/100/(IF(ISBLANK(Design!$B$33),Design!$B$32,Design!$B$33)*1000000))</f>
        <v>0.49742708920590362</v>
      </c>
      <c r="V21" s="183">
        <f>$B21*Constants!$C$21/1000+IF(ISBLANK(Design!$B$33),Design!$B$32,Design!$B$33)*1000000*Constants!$D$25/1000000000*($B21-Constants!$C$24)</f>
        <v>3.2143124999999981E-2</v>
      </c>
      <c r="W21" s="183">
        <f>$B21*R21*($B21/(Constants!$C$26*1000000000)*IF(ISBLANK(Design!$B$33),Design!$B$32,Design!$B$33)*1000000/2+$B21/(Constants!$C$27*1000000000)*IF(ISBLANK(Design!$B$33),Design!$B$32,Design!$B$33)*1000000/2)</f>
        <v>4.9327642708333293E-2</v>
      </c>
      <c r="X21" s="183">
        <f t="shared" ca="1" si="2"/>
        <v>0.33505640798650571</v>
      </c>
      <c r="Y21" s="183">
        <f>Constants!$D$25/1000000000*Constants!$C$24*IF(ISBLANK(Design!$B$33),Design!$B$32,Design!$B$33)*1000000</f>
        <v>1.0624999999999999E-2</v>
      </c>
      <c r="Z21" s="183">
        <f t="shared" ca="1" si="10"/>
        <v>0.42715217569483899</v>
      </c>
      <c r="AA21" s="183">
        <f t="shared" ca="1" si="7"/>
        <v>0.21204343564978687</v>
      </c>
      <c r="AB21" s="184">
        <f ca="1">$A21+AA21*Design!$B$19</f>
        <v>97.086475832037848</v>
      </c>
      <c r="AC21" s="184">
        <f ca="1">Z21*Design!$C$12+$A21</f>
        <v>99.523173973624523</v>
      </c>
      <c r="AD21" s="184">
        <f ca="1">Constants!$D$22+Constants!$D$22*Constants!$C$23/100*(AC21-25)</f>
        <v>184.61853917889962</v>
      </c>
      <c r="AE21" s="183">
        <f ca="1">(1-Constants!$C$20/1000000000*Design!$B$33*1000000) * ($B21+S21-R21*AD21/1000) - (S21+R21*(1+($A21-25)*Constants!$C$36/100)*IF(ISBLANK(Design!$B$42),Constants!$C$6/1000,Design!$B$42/1000))</f>
        <v>7.6514914155950677</v>
      </c>
      <c r="AF21" s="117">
        <f ca="1">IF(AE21&gt;Design!$C$29,Design!$C$29,AE21)</f>
        <v>4.9990521327014221</v>
      </c>
      <c r="AG21" s="118">
        <f>Design!$D$7/3</f>
        <v>0.83333333333333337</v>
      </c>
      <c r="AH21" s="118">
        <f ca="1">FORECAST(AG21, OFFSET(Design!$C$15:$C$17,MATCH(AG21,Design!$B$15:$B$17,1)-1,0,2), OFFSET(Design!$B$15:$B$17,MATCH(AG21,Design!$B$15:$B$17,1)-1,0,2))+(AQ21-25)*Design!$B$18/1000</f>
        <v>0.30389940626018913</v>
      </c>
      <c r="AI21" s="194">
        <f ca="1">IF(100*(Design!$C$29+AH21+AG21*IF(ISBLANK(Design!$B$42),Constants!$C$6,Design!$B$42)/1000*(1+Constants!$C$36/100*(AR21-25)))/($B21+AH21-AG21*AS21/1000)&gt;Design!$C$36,Design!$C$36,100*(Design!$C$29+AH21+AG21*IF(ISBLANK(Design!$B$42),Constants!$C$6,Design!$B$42)/1000*(1+Constants!$C$36/100*(AR21-25)))/($B21+AH21-AG21*AS21/1000))</f>
        <v>62.869617978084726</v>
      </c>
      <c r="AJ21" s="119">
        <f ca="1">IF(($B21-AG21*IF(ISBLANK(Design!$B$42),Constants!$C$6,Design!$B$42)/1000*(1+Constants!$C$36/100*(AR21-25))-Design!$C$29)/(IF(ISBLANK(Design!$B$41),Design!$B$39,Design!$B$41)/1000000)*AI21/100/(IF(ISBLANK(Design!$B$33),Design!$B$32,Design!$B$33)*1000000)&lt;0,0,($B21-AG21*IF(ISBLANK(Design!$B$42),Constants!$C$6,Design!$B$42)/1000*(1+Constants!$C$36/100*(AR21-25))-Design!$C$29)/(IF(ISBLANK(Design!$B$41),Design!$B$39,Design!$B$41)/1000000)*AI21/100/(IF(ISBLANK(Design!$B$33),Design!$B$32,Design!$B$33)*1000000))</f>
        <v>0.48877062006972882</v>
      </c>
      <c r="AK21" s="195">
        <f>$B21*Constants!$C$21/1000+IF(ISBLANK(Design!$B$33),Design!$B$32,Design!$B$33)*1000000*Constants!$D$25/1000000000*($B21-Constants!$C$24)</f>
        <v>3.2143124999999981E-2</v>
      </c>
      <c r="AL21" s="195">
        <f>$B21*AG21*($B21/(Constants!$C$26*1000000000)*IF(ISBLANK(Design!$B$33),Design!$B$32,Design!$B$33)*1000000/2+$B21/(Constants!$C$27*1000000000)*IF(ISBLANK(Design!$B$33),Design!$B$32,Design!$B$33)*1000000/2)</f>
        <v>2.4663821354166646E-2</v>
      </c>
      <c r="AM21" s="195">
        <f t="shared" ca="1" si="3"/>
        <v>7.9490931534216505E-2</v>
      </c>
      <c r="AN21" s="195">
        <f>Constants!$D$25/1000000000*Constants!$C$24*IF(ISBLANK(Design!$B$33),Design!$B$32,Design!$B$33)*1000000</f>
        <v>1.0624999999999999E-2</v>
      </c>
      <c r="AO21" s="195">
        <f t="shared" ca="1" si="11"/>
        <v>0.14692287788838312</v>
      </c>
      <c r="AP21" s="195">
        <f t="shared" ca="1" si="9"/>
        <v>9.4032508755617111E-2</v>
      </c>
      <c r="AQ21" s="196">
        <f ca="1">$A21+AP21*Design!$B$19</f>
        <v>90.359852999070171</v>
      </c>
      <c r="AR21" s="196">
        <f ca="1">AO21*Design!$C$12+$A21</f>
        <v>89.995377848205024</v>
      </c>
      <c r="AS21" s="196">
        <f ca="1">Constants!$D$22+Constants!$D$22*Constants!$C$23/100*(AR21-25)</f>
        <v>176.99630227856403</v>
      </c>
      <c r="AT21" s="195">
        <f ca="1">(1-Constants!$C$20/1000000000*Design!$B$33*1000000) * ($B21+AH21-AG21*AS21/1000) - (AH21+AG21*(1+($A21-25)*Constants!$C$36/100)*IF(ISBLANK(Design!$B$42),Constants!$C$6/1000,Design!$B$42/1000))</f>
        <v>7.8491965832332236</v>
      </c>
      <c r="AU21" s="119">
        <f ca="1">IF(AT21&gt;Design!$C$29,Design!$C$29,AT21)</f>
        <v>4.9990521327014221</v>
      </c>
    </row>
    <row r="22" spans="1:47" s="120" customFormat="1" ht="12.75" customHeight="1">
      <c r="A22" s="112">
        <f>Design!$D$13</f>
        <v>85</v>
      </c>
      <c r="B22" s="113">
        <f t="shared" si="0"/>
        <v>8.1299999999999972</v>
      </c>
      <c r="C22" s="114">
        <f>Design!$D$7</f>
        <v>2.5</v>
      </c>
      <c r="D22" s="114">
        <f ca="1">FORECAST(C22, OFFSET(Design!$C$15:$C$17,MATCH(C22,Design!$B$15:$B$17,1)-1,0,2), OFFSET(Design!$B$15:$B$17,MATCH(C22,Design!$B$15:$B$17,1)-1,0,2))+(M22-25)*Design!$B$18/1000</f>
        <v>0.39499837617781686</v>
      </c>
      <c r="E22" s="173">
        <f ca="1">IF(100*(Design!$C$29+D22+C22*IF(ISBLANK(Design!$B$42),Constants!$C$6,Design!$B$42)/1000*(1+Constants!$C$36/100*(N22-25)))/($B22+D22-C22*O22/1000)&gt;Design!$C$36,Design!$C$36,100*(Design!$C$29+D22+C22*IF(ISBLANK(Design!$B$42),Constants!$C$6,Design!$B$42)/1000*(1+Constants!$C$36/100*(N22-25)))/($B22+D22-C22*O22/1000))</f>
        <v>68.906603116778072</v>
      </c>
      <c r="F22" s="115">
        <f ca="1">IF(($B22-C22*IF(ISBLANK(Design!$B$42),Constants!$C$6,Design!$B$42)/1000*(1+Constants!$C$36/100*(N22-25))-Design!$C$29)/(IF(ISBLANK(Design!$B$41),Design!$B$39,Design!$B$41)/1000000)*E22/100/(IF(ISBLANK(Design!$B$33),Design!$B$32,Design!$B$33)*1000000)&lt;0, 0, ($B22-C22*IF(ISBLANK(Design!$B$42),Constants!$C$6,Design!$B$42)/1000*(1+Constants!$C$36/100*(N22-25))-Design!$C$29)/(IF(ISBLANK(Design!$B$41),Design!$B$39,Design!$B$41)/1000000)*E22/100/(IF(ISBLANK(Design!$B$33),Design!$B$32,Design!$B$33)*1000000))</f>
        <v>0.48548466306442745</v>
      </c>
      <c r="G22" s="165">
        <f>B22*Constants!$C$21/1000+IF(ISBLANK(Design!$B$33),Design!$B$32,Design!$B$33)*1000000*Constants!$D$25/1000000000*(B22-Constants!$C$24)</f>
        <v>3.1041249999999989E-2</v>
      </c>
      <c r="H22" s="165">
        <f>B22*C22*(B22/(Constants!$C$26*1000000000)*IF(ISBLANK(Design!$B$33),Design!$B$32,Design!$B$33)*1000000/2+B22/(Constants!$C$27*1000000000)*IF(ISBLANK(Design!$B$33),Design!$B$32,Design!$B$33)*1000000/2)</f>
        <v>7.0227956249999945E-2</v>
      </c>
      <c r="I22" s="165">
        <f t="shared" ca="1" si="1"/>
        <v>0.86181385765276952</v>
      </c>
      <c r="J22" s="165">
        <f>Constants!$D$25/1000000000*Constants!$C$24*IF(ISBLANK(Design!$B$33),Design!$B$32,Design!$B$33)*1000000</f>
        <v>1.0624999999999999E-2</v>
      </c>
      <c r="K22" s="165">
        <f t="shared" ca="1" si="4"/>
        <v>0.97370806390276943</v>
      </c>
      <c r="L22" s="165">
        <f t="shared" ca="1" si="5"/>
        <v>0.3070460319681263</v>
      </c>
      <c r="M22" s="166">
        <f ca="1">A22+L22*Design!$B$19</f>
        <v>102.50162382218321</v>
      </c>
      <c r="N22" s="166">
        <f ca="1">K22*Design!$C$12+A22</f>
        <v>118.10607417269415</v>
      </c>
      <c r="O22" s="166">
        <f ca="1">Constants!$D$22+Constants!$D$22*Constants!$C$23/100*(N22-25)</f>
        <v>199.48485933815533</v>
      </c>
      <c r="P22" s="165">
        <f ca="1">(1-Constants!$C$20/1000000000*Design!$B$33*1000000) * ($B22+D22-C22*O22/1000) - (D22+C22*(1+($A22-25)*Constants!$C$36/100)*IF(ISBLANK(Design!$B$42),Constants!$C$6/1000,Design!$B$42/1000))</f>
        <v>7.2177582616741631</v>
      </c>
      <c r="Q22" s="171">
        <f ca="1">IF(P22&gt;Design!$C$29,Design!$C$29,P22)</f>
        <v>4.9990521327014221</v>
      </c>
      <c r="R22" s="181">
        <f>2*Design!$D$7/3</f>
        <v>1.6666666666666667</v>
      </c>
      <c r="S22" s="116">
        <f ca="1">FORECAST(R22, OFFSET(Design!$C$15:$C$17,MATCH(R22,Design!$B$15:$B$17,1)-1,0,2), OFFSET(Design!$B$15:$B$17,MATCH(R22,Design!$B$15:$B$17,1)-1,0,2))+(AB22-25)*Design!$B$18/1000</f>
        <v>0.36255705475748162</v>
      </c>
      <c r="T22" s="182">
        <f ca="1">IF(100*(Design!$C$29+S22+R22*IF(ISBLANK(Design!$B$42),Constants!$C$6,Design!$B$42)/1000*(1+Constants!$C$36/100*(AC22-25)))/($B22+S22-R22*AD22/1000)&gt;Design!$C$36,Design!$C$36,100*(Design!$C$29+S22+R22*IF(ISBLANK(Design!$B$42),Constants!$C$6,Design!$B$42)/1000*(1+Constants!$C$36/100*(AC22-25)))/($B22+S22-R22*AD22/1000))</f>
        <v>66.562012602122948</v>
      </c>
      <c r="U22" s="117">
        <f ca="1">IF(($B22-R22*IF(ISBLANK(Design!$B$42),Constants!$C$6,Design!$B$42)/1000*(1+Constants!$C$36/100*(AC22-25))-Design!$C$29)/(Design!$B$41/1000000)*T22/100/(IF(ISBLANK(IF(ISBLANK(Design!$B$41),Design!$B$39,Design!$B$41)),Design!$B$32,Design!$B$33)*1000000)&lt;0,0,($B22-R22*IF(ISBLANK(Design!$B$42),Constants!$C$6,Design!$B$42)/1000*(1+Constants!$C$36/100*(AC22-25))-Design!$C$29)/(IF(ISBLANK(Design!$B$41),Design!$B$39,Design!$B$41)/1000000)*T22/100/(IF(ISBLANK(Design!$B$33),Design!$B$32,Design!$B$33)*1000000))</f>
        <v>0.47685168546127948</v>
      </c>
      <c r="V22" s="183">
        <f>$B22*Constants!$C$21/1000+IF(ISBLANK(Design!$B$33),Design!$B$32,Design!$B$33)*1000000*Constants!$D$25/1000000000*($B22-Constants!$C$24)</f>
        <v>3.1041249999999989E-2</v>
      </c>
      <c r="W22" s="183">
        <f>$B22*R22*($B22/(Constants!$C$26*1000000000)*IF(ISBLANK(Design!$B$33),Design!$B$32,Design!$B$33)*1000000/2+$B22/(Constants!$C$27*1000000000)*IF(ISBLANK(Design!$B$33),Design!$B$32,Design!$B$33)*1000000/2)</f>
        <v>4.6818637499999968E-2</v>
      </c>
      <c r="X22" s="183">
        <f t="shared" ca="1" si="2"/>
        <v>0.34394529396456291</v>
      </c>
      <c r="Y22" s="183">
        <f>Constants!$D$25/1000000000*Constants!$C$24*IF(ISBLANK(Design!$B$33),Design!$B$32,Design!$B$33)*1000000</f>
        <v>1.0624999999999999E-2</v>
      </c>
      <c r="Z22" s="183">
        <f t="shared" ca="1" si="10"/>
        <v>0.43243018146456286</v>
      </c>
      <c r="AA22" s="183">
        <f t="shared" ca="1" si="7"/>
        <v>0.20205297046653486</v>
      </c>
      <c r="AB22" s="184">
        <f ca="1">$A22+AA22*Design!$B$19</f>
        <v>96.517019316592481</v>
      </c>
      <c r="AC22" s="184">
        <f ca="1">Z22*Design!$C$12+$A22</f>
        <v>99.702626169795138</v>
      </c>
      <c r="AD22" s="184">
        <f ca="1">Constants!$D$22+Constants!$D$22*Constants!$C$23/100*(AC22-25)</f>
        <v>184.76210093583612</v>
      </c>
      <c r="AE22" s="183">
        <f ca="1">(1-Constants!$C$20/1000000000*Design!$B$33*1000000) * ($B22+S22-R22*AD22/1000) - (S22+R22*(1+($A22-25)*Constants!$C$36/100)*IF(ISBLANK(Design!$B$42),Constants!$C$6/1000,Design!$B$42/1000))</f>
        <v>7.4440070929976674</v>
      </c>
      <c r="AF22" s="117">
        <f ca="1">IF(AE22&gt;Design!$C$29,Design!$C$29,AE22)</f>
        <v>4.9990521327014221</v>
      </c>
      <c r="AG22" s="118">
        <f>Design!$D$7/3</f>
        <v>0.83333333333333337</v>
      </c>
      <c r="AH22" s="118">
        <f ca="1">FORECAST(AG22, OFFSET(Design!$C$15:$C$17,MATCH(AG22,Design!$B$15:$B$17,1)-1,0,2), OFFSET(Design!$B$15:$B$17,MATCH(AG22,Design!$B$15:$B$17,1)-1,0,2))+(AQ22-25)*Design!$B$18/1000</f>
        <v>0.3041310974830152</v>
      </c>
      <c r="AI22" s="194">
        <f ca="1">IF(100*(Design!$C$29+AH22+AG22*IF(ISBLANK(Design!$B$42),Constants!$C$6,Design!$B$42)/1000*(1+Constants!$C$36/100*(AR22-25)))/($B22+AH22-AG22*AS22/1000)&gt;Design!$C$36,Design!$C$36,100*(Design!$C$29+AH22+AG22*IF(ISBLANK(Design!$B$42),Constants!$C$6,Design!$B$42)/1000*(1+Constants!$C$36/100*(AR22-25)))/($B22+AH22-AG22*AS22/1000))</f>
        <v>64.5017226301444</v>
      </c>
      <c r="AJ22" s="119">
        <f ca="1">IF(($B22-AG22*IF(ISBLANK(Design!$B$42),Constants!$C$6,Design!$B$42)/1000*(1+Constants!$C$36/100*(AR22-25))-Design!$C$29)/(IF(ISBLANK(Design!$B$41),Design!$B$39,Design!$B$41)/1000000)*AI22/100/(IF(ISBLANK(Design!$B$33),Design!$B$32,Design!$B$33)*1000000)&lt;0,0,($B22-AG22*IF(ISBLANK(Design!$B$42),Constants!$C$6,Design!$B$42)/1000*(1+Constants!$C$36/100*(AR22-25))-Design!$C$29)/(IF(ISBLANK(Design!$B$41),Design!$B$39,Design!$B$41)/1000000)*AI22/100/(IF(ISBLANK(Design!$B$33),Design!$B$32,Design!$B$33)*1000000))</f>
        <v>0.46882921977750991</v>
      </c>
      <c r="AK22" s="195">
        <f>$B22*Constants!$C$21/1000+IF(ISBLANK(Design!$B$33),Design!$B$32,Design!$B$33)*1000000*Constants!$D$25/1000000000*($B22-Constants!$C$24)</f>
        <v>3.1041249999999989E-2</v>
      </c>
      <c r="AL22" s="195">
        <f>$B22*AG22*($B22/(Constants!$C$26*1000000000)*IF(ISBLANK(Design!$B$33),Design!$B$32,Design!$B$33)*1000000/2+$B22/(Constants!$C$27*1000000000)*IF(ISBLANK(Design!$B$33),Design!$B$32,Design!$B$33)*1000000/2)</f>
        <v>2.3409318749999984E-2</v>
      </c>
      <c r="AM22" s="195">
        <f t="shared" ca="1" si="3"/>
        <v>8.1366845253257727E-2</v>
      </c>
      <c r="AN22" s="195">
        <f>Constants!$D$25/1000000000*Constants!$C$24*IF(ISBLANK(Design!$B$33),Design!$B$32,Design!$B$33)*1000000</f>
        <v>1.0624999999999999E-2</v>
      </c>
      <c r="AO22" s="195">
        <f t="shared" ca="1" si="11"/>
        <v>0.14644241400325769</v>
      </c>
      <c r="AP22" s="195">
        <f t="shared" ca="1" si="9"/>
        <v>8.9967750460422227E-2</v>
      </c>
      <c r="AQ22" s="196">
        <f ca="1">$A22+AP22*Design!$B$19</f>
        <v>90.12816177624407</v>
      </c>
      <c r="AR22" s="196">
        <f ca="1">AO22*Design!$C$12+$A22</f>
        <v>89.979042076110758</v>
      </c>
      <c r="AS22" s="196">
        <f ca="1">Constants!$D$22+Constants!$D$22*Constants!$C$23/100*(AR22-25)</f>
        <v>176.9832336608886</v>
      </c>
      <c r="AT22" s="195">
        <f ca="1">(1-Constants!$C$20/1000000000*Design!$B$33*1000000) * ($B22+AH22-AG22*AS22/1000) - (AH22+AG22*(1+($A22-25)*Constants!$C$36/100)*IF(ISBLANK(Design!$B$42),Constants!$C$6/1000,Design!$B$42/1000))</f>
        <v>7.6419655854826827</v>
      </c>
      <c r="AU22" s="119">
        <f ca="1">IF(AT22&gt;Design!$C$29,Design!$C$29,AT22)</f>
        <v>4.9990521327014221</v>
      </c>
    </row>
    <row r="23" spans="1:47" s="120" customFormat="1" ht="12.75" customHeight="1">
      <c r="A23" s="112">
        <f>Design!$D$13</f>
        <v>85</v>
      </c>
      <c r="B23" s="113">
        <f t="shared" si="0"/>
        <v>7.9149999999999974</v>
      </c>
      <c r="C23" s="114">
        <f>Design!$D$7</f>
        <v>2.5</v>
      </c>
      <c r="D23" s="114">
        <f ca="1">FORECAST(C23, OFFSET(Design!$C$15:$C$17,MATCH(C23,Design!$B$15:$B$17,1)-1,0,2), OFFSET(Design!$B$15:$B$17,MATCH(C23,Design!$B$15:$B$17,1)-1,0,2))+(M23-25)*Design!$B$18/1000</f>
        <v>0.39603458255063451</v>
      </c>
      <c r="E23" s="173">
        <f ca="1">IF(100*(Design!$C$29+D23+C23*IF(ISBLANK(Design!$B$42),Constants!$C$6,Design!$B$42)/1000*(1+Constants!$C$36/100*(N23-25)))/($B23+D23-C23*O23/1000)&gt;Design!$C$36,Design!$C$36,100*(Design!$C$29+D23+C23*IF(ISBLANK(Design!$B$42),Constants!$C$6,Design!$B$42)/1000*(1+Constants!$C$36/100*(N23-25)))/($B23+D23-C23*O23/1000))</f>
        <v>70.824065824205817</v>
      </c>
      <c r="F23" s="115">
        <f ca="1">IF(($B23-C23*IF(ISBLANK(Design!$B$42),Constants!$C$6,Design!$B$42)/1000*(1+Constants!$C$36/100*(N23-25))-Design!$C$29)/(IF(ISBLANK(Design!$B$41),Design!$B$39,Design!$B$41)/1000000)*E23/100/(IF(ISBLANK(Design!$B$33),Design!$B$32,Design!$B$33)*1000000)&lt;0, 0, ($B23-C23*IF(ISBLANK(Design!$B$42),Constants!$C$6,Design!$B$42)/1000*(1+Constants!$C$36/100*(N23-25))-Design!$C$29)/(IF(ISBLANK(Design!$B$41),Design!$B$39,Design!$B$41)/1000000)*E23/100/(IF(ISBLANK(Design!$B$33),Design!$B$32,Design!$B$33)*1000000))</f>
        <v>0.46311756223981454</v>
      </c>
      <c r="G23" s="165">
        <f>B23*Constants!$C$21/1000+IF(ISBLANK(Design!$B$33),Design!$B$32,Design!$B$33)*1000000*Constants!$D$25/1000000000*(B23-Constants!$C$24)</f>
        <v>2.9939374999999987E-2</v>
      </c>
      <c r="H23" s="165">
        <f>B23*C23*(B23/(Constants!$C$26*1000000000)*IF(ISBLANK(Design!$B$33),Design!$B$32,Design!$B$33)*1000000/2+B23/(Constants!$C$27*1000000000)*IF(ISBLANK(Design!$B$33),Design!$B$32,Design!$B$33)*1000000/2)</f>
        <v>6.6562676562499951E-2</v>
      </c>
      <c r="I23" s="165">
        <f t="shared" ca="1" si="1"/>
        <v>0.88815009220189578</v>
      </c>
      <c r="J23" s="165">
        <f>Constants!$D$25/1000000000*Constants!$C$24*IF(ISBLANK(Design!$B$33),Design!$B$32,Design!$B$33)*1000000</f>
        <v>1.0624999999999999E-2</v>
      </c>
      <c r="K23" s="165">
        <f t="shared" ca="1" si="4"/>
        <v>0.99527714376439569</v>
      </c>
      <c r="L23" s="165">
        <f t="shared" ca="1" si="5"/>
        <v>0.28886697279588602</v>
      </c>
      <c r="M23" s="166">
        <f ca="1">A23+L23*Design!$B$19</f>
        <v>101.4654174493655</v>
      </c>
      <c r="N23" s="166">
        <f ca="1">K23*Design!$C$12+A23</f>
        <v>118.83942288798946</v>
      </c>
      <c r="O23" s="166">
        <f ca="1">Constants!$D$22+Constants!$D$22*Constants!$C$23/100*(N23-25)</f>
        <v>200.07153831039159</v>
      </c>
      <c r="P23" s="165">
        <f ca="1">(1-Constants!$C$20/1000000000*Design!$B$33*1000000) * ($B23+D23-C23*O23/1000) - (D23+C23*(1+($A23-25)*Constants!$C$36/100)*IF(ISBLANK(Design!$B$42),Constants!$C$6/1000,Design!$B$42/1000))</f>
        <v>7.0090739907330342</v>
      </c>
      <c r="Q23" s="171">
        <f ca="1">IF(P23&gt;Design!$C$29,Design!$C$29,P23)</f>
        <v>4.9990521327014221</v>
      </c>
      <c r="R23" s="181">
        <f>2*Design!$D$7/3</f>
        <v>1.6666666666666667</v>
      </c>
      <c r="S23" s="116">
        <f ca="1">FORECAST(R23, OFFSET(Design!$C$15:$C$17,MATCH(R23,Design!$B$15:$B$17,1)-1,0,2), OFFSET(Design!$B$15:$B$17,MATCH(R23,Design!$B$15:$B$17,1)-1,0,2))+(AB23-25)*Design!$B$18/1000</f>
        <v>0.36315926988261782</v>
      </c>
      <c r="T23" s="182">
        <f ca="1">IF(100*(Design!$C$29+S23+R23*IF(ISBLANK(Design!$B$42),Constants!$C$6,Design!$B$42)/1000*(1+Constants!$C$36/100*(AC23-25)))/($B23+S23-R23*AD23/1000)&gt;Design!$C$36,Design!$C$36,100*(Design!$C$29+S23+R23*IF(ISBLANK(Design!$B$42),Constants!$C$6,Design!$B$42)/1000*(1+Constants!$C$36/100*(AC23-25)))/($B23+S23-R23*AD23/1000))</f>
        <v>68.363006199270131</v>
      </c>
      <c r="U23" s="117">
        <f ca="1">IF(($B23-R23*IF(ISBLANK(Design!$B$42),Constants!$C$6,Design!$B$42)/1000*(1+Constants!$C$36/100*(AC23-25))-Design!$C$29)/(Design!$B$41/1000000)*T23/100/(IF(ISBLANK(IF(ISBLANK(Design!$B$41),Design!$B$39,Design!$B$41)),Design!$B$32,Design!$B$33)*1000000)&lt;0,0,($B23-R23*IF(ISBLANK(Design!$B$42),Constants!$C$6,Design!$B$42)/1000*(1+Constants!$C$36/100*(AC23-25))-Design!$C$29)/(IF(ISBLANK(Design!$B$41),Design!$B$39,Design!$B$41)/1000000)*T23/100/(IF(ISBLANK(Design!$B$33),Design!$B$32,Design!$B$33)*1000000))</f>
        <v>0.45516201816320856</v>
      </c>
      <c r="V23" s="183">
        <f>$B23*Constants!$C$21/1000+IF(ISBLANK(Design!$B$33),Design!$B$32,Design!$B$33)*1000000*Constants!$D$25/1000000000*($B23-Constants!$C$24)</f>
        <v>2.9939374999999987E-2</v>
      </c>
      <c r="W23" s="183">
        <f>$B23*R23*($B23/(Constants!$C$26*1000000000)*IF(ISBLANK(Design!$B$33),Design!$B$32,Design!$B$33)*1000000/2+$B23/(Constants!$C$27*1000000000)*IF(ISBLANK(Design!$B$33),Design!$B$32,Design!$B$33)*1000000/2)</f>
        <v>4.43751177083333E-2</v>
      </c>
      <c r="X23" s="183">
        <f t="shared" ca="1" si="2"/>
        <v>0.35334293260643912</v>
      </c>
      <c r="Y23" s="183">
        <f>Constants!$D$25/1000000000*Constants!$C$24*IF(ISBLANK(Design!$B$33),Design!$B$32,Design!$B$33)*1000000</f>
        <v>1.0624999999999999E-2</v>
      </c>
      <c r="Z23" s="183">
        <f t="shared" ca="1" si="10"/>
        <v>0.43828242531477241</v>
      </c>
      <c r="AA23" s="183">
        <f t="shared" ca="1" si="7"/>
        <v>0.19148779283256612</v>
      </c>
      <c r="AB23" s="184">
        <f ca="1">$A23+AA23*Design!$B$19</f>
        <v>95.91480419145627</v>
      </c>
      <c r="AC23" s="184">
        <f ca="1">Z23*Design!$C$12+$A23</f>
        <v>99.901602460702264</v>
      </c>
      <c r="AD23" s="184">
        <f ca="1">Constants!$D$22+Constants!$D$22*Constants!$C$23/100*(AC23-25)</f>
        <v>184.9212819685618</v>
      </c>
      <c r="AE23" s="183">
        <f ca="1">(1-Constants!$C$20/1000000000*Design!$B$33*1000000) * ($B23+S23-R23*AD23/1000) - (S23+R23*(1+($A23-25)*Constants!$C$36/100)*IF(ISBLANK(Design!$B$42),Constants!$C$6/1000,Design!$B$42/1000))</f>
        <v>7.2364964952797415</v>
      </c>
      <c r="AF23" s="117">
        <f ca="1">IF(AE23&gt;Design!$C$29,Design!$C$29,AE23)</f>
        <v>4.9990521327014221</v>
      </c>
      <c r="AG23" s="118">
        <f>Design!$D$7/3</f>
        <v>0.83333333333333337</v>
      </c>
      <c r="AH23" s="118">
        <f ca="1">FORECAST(AG23, OFFSET(Design!$C$15:$C$17,MATCH(AG23,Design!$B$15:$B$17,1)-1,0,2), OFFSET(Design!$B$15:$B$17,MATCH(AG23,Design!$B$15:$B$17,1)-1,0,2))+(AQ23-25)*Design!$B$18/1000</f>
        <v>0.3043755116932223</v>
      </c>
      <c r="AI23" s="194">
        <f ca="1">IF(100*(Design!$C$29+AH23+AG23*IF(ISBLANK(Design!$B$42),Constants!$C$6,Design!$B$42)/1000*(1+Constants!$C$36/100*(AR23-25)))/($B23+AH23-AG23*AS23/1000)&gt;Design!$C$36,Design!$C$36,100*(Design!$C$29+AH23+AG23*IF(ISBLANK(Design!$B$42),Constants!$C$6,Design!$B$42)/1000*(1+Constants!$C$36/100*(AR23-25)))/($B23+AH23-AG23*AS23/1000))</f>
        <v>66.220758805332409</v>
      </c>
      <c r="AJ23" s="119">
        <f ca="1">IF(($B23-AG23*IF(ISBLANK(Design!$B$42),Constants!$C$6,Design!$B$42)/1000*(1+Constants!$C$36/100*(AR23-25))-Design!$C$29)/(IF(ISBLANK(Design!$B$41),Design!$B$39,Design!$B$41)/1000000)*AI23/100/(IF(ISBLANK(Design!$B$33),Design!$B$32,Design!$B$33)*1000000)&lt;0,0,($B23-AG23*IF(ISBLANK(Design!$B$42),Constants!$C$6,Design!$B$42)/1000*(1+Constants!$C$36/100*(AR23-25))-Design!$C$29)/(IF(ISBLANK(Design!$B$41),Design!$B$39,Design!$B$41)/1000000)*AI23/100/(IF(ISBLANK(Design!$B$33),Design!$B$32,Design!$B$33)*1000000))</f>
        <v>0.44782432085046031</v>
      </c>
      <c r="AK23" s="195">
        <f>$B23*Constants!$C$21/1000+IF(ISBLANK(Design!$B$33),Design!$B$32,Design!$B$33)*1000000*Constants!$D$25/1000000000*($B23-Constants!$C$24)</f>
        <v>2.9939374999999987E-2</v>
      </c>
      <c r="AL23" s="195">
        <f>$B23*AG23*($B23/(Constants!$C$26*1000000000)*IF(ISBLANK(Design!$B$33),Design!$B$32,Design!$B$33)*1000000/2+$B23/(Constants!$C$27*1000000000)*IF(ISBLANK(Design!$B$33),Design!$B$32,Design!$B$33)*1000000/2)</f>
        <v>2.218755885416665E-2</v>
      </c>
      <c r="AM23" s="195">
        <f t="shared" ca="1" si="3"/>
        <v>8.334285218818166E-2</v>
      </c>
      <c r="AN23" s="195">
        <f>Constants!$D$25/1000000000*Constants!$C$24*IF(ISBLANK(Design!$B$33),Design!$B$32,Design!$B$33)*1000000</f>
        <v>1.0624999999999999E-2</v>
      </c>
      <c r="AO23" s="195">
        <f t="shared" ca="1" si="11"/>
        <v>0.1460947860423483</v>
      </c>
      <c r="AP23" s="195">
        <f t="shared" ca="1" si="9"/>
        <v>8.5679781860297677E-2</v>
      </c>
      <c r="AQ23" s="196">
        <f ca="1">$A23+AP23*Design!$B$19</f>
        <v>89.883747566036973</v>
      </c>
      <c r="AR23" s="196">
        <f ca="1">AO23*Design!$C$12+$A23</f>
        <v>89.967222725439839</v>
      </c>
      <c r="AS23" s="196">
        <f ca="1">Constants!$D$22+Constants!$D$22*Constants!$C$23/100*(AR23-25)</f>
        <v>176.97377818035187</v>
      </c>
      <c r="AT23" s="195">
        <f ca="1">(1-Constants!$C$20/1000000000*Design!$B$33*1000000) * ($B23+AH23-AG23*AS23/1000) - (AH23+AG23*(1+($A23-25)*Constants!$C$36/100)*IF(ISBLANK(Design!$B$42),Constants!$C$6/1000,Design!$B$42/1000))</f>
        <v>7.4347312259370906</v>
      </c>
      <c r="AU23" s="119">
        <f ca="1">IF(AT23&gt;Design!$C$29,Design!$C$29,AT23)</f>
        <v>4.9990521327014221</v>
      </c>
    </row>
    <row r="24" spans="1:47" s="120" customFormat="1" ht="12.75" customHeight="1">
      <c r="A24" s="112">
        <f>Design!$D$13</f>
        <v>85</v>
      </c>
      <c r="B24" s="113">
        <f t="shared" si="0"/>
        <v>7.6999999999999975</v>
      </c>
      <c r="C24" s="114">
        <f>Design!$D$7</f>
        <v>2.5</v>
      </c>
      <c r="D24" s="114">
        <f ca="1">FORECAST(C24, OFFSET(Design!$C$15:$C$17,MATCH(C24,Design!$B$15:$B$17,1)-1,0,2), OFFSET(Design!$B$15:$B$17,MATCH(C24,Design!$B$15:$B$17,1)-1,0,2))+(M24-25)*Design!$B$18/1000</f>
        <v>0.39713645207966108</v>
      </c>
      <c r="E24" s="173">
        <f ca="1">IF(100*(Design!$C$29+D24+C24*IF(ISBLANK(Design!$B$42),Constants!$C$6,Design!$B$42)/1000*(1+Constants!$C$36/100*(N24-25)))/($B24+D24-C24*O24/1000)&gt;Design!$C$36,Design!$C$36,100*(Design!$C$29+D24+C24*IF(ISBLANK(Design!$B$42),Constants!$C$6,Design!$B$42)/1000*(1+Constants!$C$36/100*(N24-25)))/($B24+D24-C24*O24/1000))</f>
        <v>72.85205857930832</v>
      </c>
      <c r="F24" s="115">
        <f ca="1">IF(($B24-C24*IF(ISBLANK(Design!$B$42),Constants!$C$6,Design!$B$42)/1000*(1+Constants!$C$36/100*(N24-25))-Design!$C$29)/(IF(ISBLANK(Design!$B$41),Design!$B$39,Design!$B$41)/1000000)*E24/100/(IF(ISBLANK(Design!$B$33),Design!$B$32,Design!$B$33)*1000000)&lt;0, 0, ($B24-C24*IF(ISBLANK(Design!$B$42),Constants!$C$6,Design!$B$42)/1000*(1+Constants!$C$36/100*(N24-25))-Design!$C$29)/(IF(ISBLANK(Design!$B$41),Design!$B$39,Design!$B$41)/1000000)*E24/100/(IF(ISBLANK(Design!$B$33),Design!$B$32,Design!$B$33)*1000000))</f>
        <v>0.4394703872151085</v>
      </c>
      <c r="G24" s="165">
        <f>B24*Constants!$C$21/1000+IF(ISBLANK(Design!$B$33),Design!$B$32,Design!$B$33)*1000000*Constants!$D$25/1000000000*(B24-Constants!$C$24)</f>
        <v>2.8837499999999992E-2</v>
      </c>
      <c r="H24" s="165">
        <f>B24*C24*(B24/(Constants!$C$26*1000000000)*IF(ISBLANK(Design!$B$33),Design!$B$32,Design!$B$33)*1000000/2+B24/(Constants!$C$27*1000000000)*IF(ISBLANK(Design!$B$33),Design!$B$32,Design!$B$33)*1000000/2)</f>
        <v>6.2995624999999958E-2</v>
      </c>
      <c r="I24" s="165">
        <f t="shared" ca="1" si="1"/>
        <v>0.91622911166216092</v>
      </c>
      <c r="J24" s="165">
        <f>Constants!$D$25/1000000000*Constants!$C$24*IF(ISBLANK(Design!$B$33),Design!$B$32,Design!$B$33)*1000000</f>
        <v>1.0624999999999999E-2</v>
      </c>
      <c r="K24" s="165">
        <f t="shared" ca="1" si="4"/>
        <v>1.0186872366621609</v>
      </c>
      <c r="L24" s="165">
        <f t="shared" ca="1" si="5"/>
        <v>0.26953592842699919</v>
      </c>
      <c r="M24" s="166">
        <f ca="1">A24+L24*Design!$B$19</f>
        <v>100.36354792033896</v>
      </c>
      <c r="N24" s="166">
        <f ca="1">K24*Design!$C$12+A24</f>
        <v>119.63536604651347</v>
      </c>
      <c r="O24" s="166">
        <f ca="1">Constants!$D$22+Constants!$D$22*Constants!$C$23/100*(N24-25)</f>
        <v>200.70829283721076</v>
      </c>
      <c r="P24" s="165">
        <f ca="1">(1-Constants!$C$20/1000000000*Design!$B$33*1000000) * ($B24+D24-C24*O24/1000) - (D24+C24*(1+($A24-25)*Constants!$C$36/100)*IF(ISBLANK(Design!$B$42),Constants!$C$6/1000,Design!$B$42/1000))</f>
        <v>6.8002666812724533</v>
      </c>
      <c r="Q24" s="171">
        <f ca="1">IF(P24&gt;Design!$C$29,Design!$C$29,P24)</f>
        <v>4.9990521327014221</v>
      </c>
      <c r="R24" s="181">
        <f>2*Design!$D$7/3</f>
        <v>1.6666666666666667</v>
      </c>
      <c r="S24" s="116">
        <f ca="1">FORECAST(R24, OFFSET(Design!$C$15:$C$17,MATCH(R24,Design!$B$15:$B$17,1)-1,0,2), OFFSET(Design!$B$15:$B$17,MATCH(R24,Design!$B$15:$B$17,1)-1,0,2))+(AB24-25)*Design!$B$18/1000</f>
        <v>0.36379715213129088</v>
      </c>
      <c r="T24" s="182">
        <f ca="1">IF(100*(Design!$C$29+S24+R24*IF(ISBLANK(Design!$B$42),Constants!$C$6,Design!$B$42)/1000*(1+Constants!$C$36/100*(AC24-25)))/($B24+S24-R24*AD24/1000)&gt;Design!$C$36,Design!$C$36,100*(Design!$C$29+S24+R24*IF(ISBLANK(Design!$B$42),Constants!$C$6,Design!$B$42)/1000*(1+Constants!$C$36/100*(AC24-25)))/($B24+S24-R24*AD24/1000))</f>
        <v>70.2641636747978</v>
      </c>
      <c r="U24" s="117">
        <f ca="1">IF(($B24-R24*IF(ISBLANK(Design!$B$42),Constants!$C$6,Design!$B$42)/1000*(1+Constants!$C$36/100*(AC24-25))-Design!$C$29)/(Design!$B$41/1000000)*T24/100/(IF(ISBLANK(IF(ISBLANK(Design!$B$41),Design!$B$39,Design!$B$41)),Design!$B$32,Design!$B$33)*1000000)&lt;0,0,($B24-R24*IF(ISBLANK(Design!$B$42),Constants!$C$6,Design!$B$42)/1000*(1+Constants!$C$36/100*(AC24-25))-Design!$C$29)/(IF(ISBLANK(Design!$B$41),Design!$B$39,Design!$B$41)/1000000)*T24/100/(IF(ISBLANK(Design!$B$33),Design!$B$32,Design!$B$33)*1000000))</f>
        <v>0.4322650239144501</v>
      </c>
      <c r="V24" s="183">
        <f>$B24*Constants!$C$21/1000+IF(ISBLANK(Design!$B$33),Design!$B$32,Design!$B$33)*1000000*Constants!$D$25/1000000000*($B24-Constants!$C$24)</f>
        <v>2.8837499999999992E-2</v>
      </c>
      <c r="W24" s="183">
        <f>$B24*R24*($B24/(Constants!$C$26*1000000000)*IF(ISBLANK(Design!$B$33),Design!$B$32,Design!$B$33)*1000000/2+$B24/(Constants!$C$27*1000000000)*IF(ISBLANK(Design!$B$33),Design!$B$32,Design!$B$33)*1000000/2)</f>
        <v>4.199708333333331E-2</v>
      </c>
      <c r="X24" s="183">
        <f t="shared" ca="1" si="2"/>
        <v>0.36329480652465646</v>
      </c>
      <c r="Y24" s="183">
        <f>Constants!$D$25/1000000000*Constants!$C$24*IF(ISBLANK(Design!$B$33),Design!$B$32,Design!$B$33)*1000000</f>
        <v>1.0624999999999999E-2</v>
      </c>
      <c r="Z24" s="183">
        <f t="shared" ca="1" si="10"/>
        <v>0.44475438985798976</v>
      </c>
      <c r="AA24" s="183">
        <f t="shared" ca="1" si="7"/>
        <v>0.18029687618917919</v>
      </c>
      <c r="AB24" s="184">
        <f ca="1">$A24+AA24*Design!$B$19</f>
        <v>95.276921942783218</v>
      </c>
      <c r="AC24" s="184">
        <f ca="1">Z24*Design!$C$12+$A24</f>
        <v>100.12164925517165</v>
      </c>
      <c r="AD24" s="184">
        <f ca="1">Constants!$D$22+Constants!$D$22*Constants!$C$23/100*(AC24-25)</f>
        <v>185.09731940413732</v>
      </c>
      <c r="AE24" s="183">
        <f ca="1">(1-Constants!$C$20/1000000000*Design!$B$33*1000000) * ($B24+S24-R24*AD24/1000) - (S24+R24*(1+($A24-25)*Constants!$C$36/100)*IF(ISBLANK(Design!$B$42),Constants!$C$6/1000,Design!$B$42/1000))</f>
        <v>7.0289575299781504</v>
      </c>
      <c r="AF24" s="117">
        <f ca="1">IF(AE24&gt;Design!$C$29,Design!$C$29,AE24)</f>
        <v>4.9990521327014221</v>
      </c>
      <c r="AG24" s="118">
        <f>Design!$D$7/3</f>
        <v>0.83333333333333337</v>
      </c>
      <c r="AH24" s="118">
        <f ca="1">FORECAST(AG24, OFFSET(Design!$C$15:$C$17,MATCH(AG24,Design!$B$15:$B$17,1)-1,0,2), OFFSET(Design!$B$15:$B$17,MATCH(AG24,Design!$B$15:$B$17,1)-1,0,2))+(AQ24-25)*Design!$B$18/1000</f>
        <v>0.30463372543666389</v>
      </c>
      <c r="AI24" s="194">
        <f ca="1">IF(100*(Design!$C$29+AH24+AG24*IF(ISBLANK(Design!$B$42),Constants!$C$6,Design!$B$42)/1000*(1+Constants!$C$36/100*(AR24-25)))/($B24+AH24-AG24*AS24/1000)&gt;Design!$C$36,Design!$C$36,100*(Design!$C$29+AH24+AG24*IF(ISBLANK(Design!$B$42),Constants!$C$6,Design!$B$42)/1000*(1+Constants!$C$36/100*(AR24-25)))/($B24+AH24-AG24*AS24/1000))</f>
        <v>68.033854661536068</v>
      </c>
      <c r="AJ24" s="119">
        <f ca="1">IF(($B24-AG24*IF(ISBLANK(Design!$B$42),Constants!$C$6,Design!$B$42)/1000*(1+Constants!$C$36/100*(AR24-25))-Design!$C$29)/(IF(ISBLANK(Design!$B$41),Design!$B$39,Design!$B$41)/1000000)*AI24/100/(IF(ISBLANK(Design!$B$33),Design!$B$32,Design!$B$33)*1000000)&lt;0,0,($B24-AG24*IF(ISBLANK(Design!$B$42),Constants!$C$6,Design!$B$42)/1000*(1+Constants!$C$36/100*(AR24-25))-Design!$C$29)/(IF(ISBLANK(Design!$B$41),Design!$B$39,Design!$B$41)/1000000)*AI24/100/(IF(ISBLANK(Design!$B$33),Design!$B$32,Design!$B$33)*1000000))</f>
        <v>0.42566857820334242</v>
      </c>
      <c r="AK24" s="195">
        <f>$B24*Constants!$C$21/1000+IF(ISBLANK(Design!$B$33),Design!$B$32,Design!$B$33)*1000000*Constants!$D$25/1000000000*($B24-Constants!$C$24)</f>
        <v>2.8837499999999992E-2</v>
      </c>
      <c r="AL24" s="195">
        <f>$B24*AG24*($B24/(Constants!$C$26*1000000000)*IF(ISBLANK(Design!$B$33),Design!$B$32,Design!$B$33)*1000000/2+$B24/(Constants!$C$27*1000000000)*IF(ISBLANK(Design!$B$33),Design!$B$32,Design!$B$33)*1000000/2)</f>
        <v>2.0998541666666655E-2</v>
      </c>
      <c r="AM24" s="195">
        <f t="shared" ca="1" si="3"/>
        <v>8.5427863017407818E-2</v>
      </c>
      <c r="AN24" s="195">
        <f>Constants!$D$25/1000000000*Constants!$C$24*IF(ISBLANK(Design!$B$33),Design!$B$32,Design!$B$33)*1000000</f>
        <v>1.0624999999999999E-2</v>
      </c>
      <c r="AO24" s="195">
        <f t="shared" ca="1" si="11"/>
        <v>0.14588890468407445</v>
      </c>
      <c r="AP24" s="195">
        <f t="shared" ca="1" si="9"/>
        <v>8.1149716185884305E-2</v>
      </c>
      <c r="AQ24" s="196">
        <f ca="1">$A24+AP24*Design!$B$19</f>
        <v>89.625533822595401</v>
      </c>
      <c r="AR24" s="196">
        <f ca="1">AO24*Design!$C$12+$A24</f>
        <v>89.960222759258528</v>
      </c>
      <c r="AS24" s="196">
        <f ca="1">Constants!$D$22+Constants!$D$22*Constants!$C$23/100*(AR24-25)</f>
        <v>176.96817820740682</v>
      </c>
      <c r="AT24" s="195">
        <f ca="1">(1-Constants!$C$20/1000000000*Design!$B$33*1000000) * ($B24+AH24-AG24*AS24/1000) - (AH24+AG24*(1+($A24-25)*Constants!$C$36/100)*IF(ISBLANK(Design!$B$42),Constants!$C$6/1000,Design!$B$42/1000))</f>
        <v>7.2274932710272113</v>
      </c>
      <c r="AU24" s="119">
        <f ca="1">IF(AT24&gt;Design!$C$29,Design!$C$29,AT24)</f>
        <v>4.9990521327014221</v>
      </c>
    </row>
    <row r="25" spans="1:47" s="120" customFormat="1" ht="12.75" customHeight="1">
      <c r="A25" s="112">
        <f>Design!$D$13</f>
        <v>85</v>
      </c>
      <c r="B25" s="113">
        <f t="shared" si="0"/>
        <v>7.4849999999999977</v>
      </c>
      <c r="C25" s="114">
        <f>Design!$D$7</f>
        <v>2.5</v>
      </c>
      <c r="D25" s="114">
        <f ca="1">FORECAST(C25, OFFSET(Design!$C$15:$C$17,MATCH(C25,Design!$B$15:$B$17,1)-1,0,2), OFFSET(Design!$B$15:$B$17,MATCH(C25,Design!$B$15:$B$17,1)-1,0,2))+(M25-25)*Design!$B$18/1000</f>
        <v>0.39831046858881947</v>
      </c>
      <c r="E25" s="173">
        <f ca="1">IF(100*(Design!$C$29+D25+C25*IF(ISBLANK(Design!$B$42),Constants!$C$6,Design!$B$42)/1000*(1+Constants!$C$36/100*(N25-25)))/($B25+D25-C25*O25/1000)&gt;Design!$C$36,Design!$C$36,100*(Design!$C$29+D25+C25*IF(ISBLANK(Design!$B$42),Constants!$C$6,Design!$B$42)/1000*(1+Constants!$C$36/100*(N25-25)))/($B25+D25-C25*O25/1000))</f>
        <v>75.000491606806904</v>
      </c>
      <c r="F25" s="115">
        <f ca="1">IF(($B25-C25*IF(ISBLANK(Design!$B$42),Constants!$C$6,Design!$B$42)/1000*(1+Constants!$C$36/100*(N25-25))-Design!$C$29)/(IF(ISBLANK(Design!$B$41),Design!$B$39,Design!$B$41)/1000000)*E25/100/(IF(ISBLANK(Design!$B$33),Design!$B$32,Design!$B$33)*1000000)&lt;0, 0, ($B25-C25*IF(ISBLANK(Design!$B$42),Constants!$C$6,Design!$B$42)/1000*(1+Constants!$C$36/100*(N25-25))-Design!$C$29)/(IF(ISBLANK(Design!$B$41),Design!$B$39,Design!$B$41)/1000000)*E25/100/(IF(ISBLANK(Design!$B$33),Design!$B$32,Design!$B$33)*1000000))</f>
        <v>0.41442913313136909</v>
      </c>
      <c r="G25" s="165">
        <f>B25*Constants!$C$21/1000+IF(ISBLANK(Design!$B$33),Design!$B$32,Design!$B$33)*1000000*Constants!$D$25/1000000000*(B25-Constants!$C$24)</f>
        <v>2.7735624999999986E-2</v>
      </c>
      <c r="H25" s="165">
        <f>B25*C25*(B25/(Constants!$C$26*1000000000)*IF(ISBLANK(Design!$B$33),Design!$B$32,Design!$B$33)*1000000/2+B25/(Constants!$C$27*1000000000)*IF(ISBLANK(Design!$B$33),Design!$B$32,Design!$B$33)*1000000/2)</f>
        <v>5.9526801562499961E-2</v>
      </c>
      <c r="I25" s="165">
        <f t="shared" ca="1" si="1"/>
        <v>0.94623068353068007</v>
      </c>
      <c r="J25" s="165">
        <f>Constants!$D$25/1000000000*Constants!$C$24*IF(ISBLANK(Design!$B$33),Design!$B$32,Design!$B$33)*1000000</f>
        <v>1.0624999999999999E-2</v>
      </c>
      <c r="K25" s="165">
        <f t="shared" ca="1" si="4"/>
        <v>1.04411811009318</v>
      </c>
      <c r="L25" s="165">
        <f t="shared" ca="1" si="5"/>
        <v>0.24893914756457164</v>
      </c>
      <c r="M25" s="166">
        <f ca="1">A25+L25*Design!$B$19</f>
        <v>99.189531411180582</v>
      </c>
      <c r="N25" s="166">
        <f ca="1">K25*Design!$C$12+A25</f>
        <v>120.50001574316812</v>
      </c>
      <c r="O25" s="166">
        <f ca="1">Constants!$D$22+Constants!$D$22*Constants!$C$23/100*(N25-25)</f>
        <v>201.4000125945345</v>
      </c>
      <c r="P25" s="165">
        <f ca="1">(1-Constants!$C$20/1000000000*Design!$B$33*1000000) * ($B25+D25-C25*O25/1000) - (D25+C25*(1+($A25-25)*Constants!$C$36/100)*IF(ISBLANK(Design!$B$42),Constants!$C$6/1000,Design!$B$42/1000))</f>
        <v>6.5913243164733348</v>
      </c>
      <c r="Q25" s="171">
        <f ca="1">IF(P25&gt;Design!$C$29,Design!$C$29,P25)</f>
        <v>4.9990521327014221</v>
      </c>
      <c r="R25" s="181">
        <f>2*Design!$D$7/3</f>
        <v>1.6666666666666667</v>
      </c>
      <c r="S25" s="116">
        <f ca="1">FORECAST(R25, OFFSET(Design!$C$15:$C$17,MATCH(R25,Design!$B$15:$B$17,1)-1,0,2), OFFSET(Design!$B$15:$B$17,MATCH(R25,Design!$B$15:$B$17,1)-1,0,2))+(AB25-25)*Design!$B$18/1000</f>
        <v>0.36447396463867587</v>
      </c>
      <c r="T25" s="182">
        <f ca="1">IF(100*(Design!$C$29+S25+R25*IF(ISBLANK(Design!$B$42),Constants!$C$6,Design!$B$42)/1000*(1+Constants!$C$36/100*(AC25-25)))/($B25+S25-R25*AD25/1000)&gt;Design!$C$36,Design!$C$36,100*(Design!$C$29+S25+R25*IF(ISBLANK(Design!$B$42),Constants!$C$6,Design!$B$42)/1000*(1+Constants!$C$36/100*(AC25-25)))/($B25+S25-R25*AD25/1000))</f>
        <v>72.274073504622464</v>
      </c>
      <c r="U25" s="117">
        <f ca="1">IF(($B25-R25*IF(ISBLANK(Design!$B$42),Constants!$C$6,Design!$B$42)/1000*(1+Constants!$C$36/100*(AC25-25))-Design!$C$29)/(Design!$B$41/1000000)*T25/100/(IF(ISBLANK(IF(ISBLANK(Design!$B$41),Design!$B$39,Design!$B$41)),Design!$B$32,Design!$B$33)*1000000)&lt;0,0,($B25-R25*IF(ISBLANK(Design!$B$42),Constants!$C$6,Design!$B$42)/1000*(1+Constants!$C$36/100*(AC25-25))-Design!$C$29)/(IF(ISBLANK(Design!$B$41),Design!$B$39,Design!$B$41)/1000000)*T25/100/(IF(ISBLANK(Design!$B$33),Design!$B$32,Design!$B$33)*1000000))</f>
        <v>0.40805698718552164</v>
      </c>
      <c r="V25" s="183">
        <f>$B25*Constants!$C$21/1000+IF(ISBLANK(Design!$B$33),Design!$B$32,Design!$B$33)*1000000*Constants!$D$25/1000000000*($B25-Constants!$C$24)</f>
        <v>2.7735624999999986E-2</v>
      </c>
      <c r="W25" s="183">
        <f>$B25*R25*($B25/(Constants!$C$26*1000000000)*IF(ISBLANK(Design!$B$33),Design!$B$32,Design!$B$33)*1000000/2+$B25/(Constants!$C$27*1000000000)*IF(ISBLANK(Design!$B$33),Design!$B$32,Design!$B$33)*1000000/2)</f>
        <v>3.9684534374999969E-2</v>
      </c>
      <c r="X25" s="183">
        <f t="shared" ca="1" si="2"/>
        <v>0.37385209028477506</v>
      </c>
      <c r="Y25" s="183">
        <f>Constants!$D$25/1000000000*Constants!$C$24*IF(ISBLANK(Design!$B$33),Design!$B$32,Design!$B$33)*1000000</f>
        <v>1.0624999999999999E-2</v>
      </c>
      <c r="Z25" s="183">
        <f t="shared" ca="1" si="10"/>
        <v>0.45189724965977501</v>
      </c>
      <c r="AA25" s="183">
        <f t="shared" ca="1" si="7"/>
        <v>0.16842297255084601</v>
      </c>
      <c r="AB25" s="184">
        <f ca="1">$A25+AA25*Design!$B$19</f>
        <v>94.600109435398224</v>
      </c>
      <c r="AC25" s="184">
        <f ca="1">Z25*Design!$C$12+$A25</f>
        <v>100.36450648843235</v>
      </c>
      <c r="AD25" s="184">
        <f ca="1">Constants!$D$22+Constants!$D$22*Constants!$C$23/100*(AC25-25)</f>
        <v>185.29160519074588</v>
      </c>
      <c r="AE25" s="183">
        <f ca="1">(1-Constants!$C$20/1000000000*Design!$B$33*1000000) * ($B25+S25-R25*AD25/1000) - (S25+R25*(1+($A25-25)*Constants!$C$36/100)*IF(ISBLANK(Design!$B$42),Constants!$C$6/1000,Design!$B$42/1000))</f>
        <v>6.8213878431053763</v>
      </c>
      <c r="AF25" s="117">
        <f ca="1">IF(AE25&gt;Design!$C$29,Design!$C$29,AE25)</f>
        <v>4.9990521327014221</v>
      </c>
      <c r="AG25" s="118">
        <f>Design!$D$7/3</f>
        <v>0.83333333333333337</v>
      </c>
      <c r="AH25" s="118">
        <f ca="1">FORECAST(AG25, OFFSET(Design!$C$15:$C$17,MATCH(AG25,Design!$B$15:$B$17,1)-1,0,2), OFFSET(Design!$B$15:$B$17,MATCH(AG25,Design!$B$15:$B$17,1)-1,0,2))+(AQ25-25)*Design!$B$18/1000</f>
        <v>0.30490694011883834</v>
      </c>
      <c r="AI25" s="194">
        <f ca="1">IF(100*(Design!$C$29+AH25+AG25*IF(ISBLANK(Design!$B$42),Constants!$C$6,Design!$B$42)/1000*(1+Constants!$C$36/100*(AR25-25)))/($B25+AH25-AG25*AS25/1000)&gt;Design!$C$36,Design!$C$36,100*(Design!$C$29+AH25+AG25*IF(ISBLANK(Design!$B$42),Constants!$C$6,Design!$B$42)/1000*(1+Constants!$C$36/100*(AR25-25)))/($B25+AH25-AG25*AS25/1000))</f>
        <v>69.948938734693655</v>
      </c>
      <c r="AJ25" s="119">
        <f ca="1">IF(($B25-AG25*IF(ISBLANK(Design!$B$42),Constants!$C$6,Design!$B$42)/1000*(1+Constants!$C$36/100*(AR25-25))-Design!$C$29)/(IF(ISBLANK(Design!$B$41),Design!$B$39,Design!$B$41)/1000000)*AI25/100/(IF(ISBLANK(Design!$B$33),Design!$B$32,Design!$B$33)*1000000)&lt;0,0,($B25-AG25*IF(ISBLANK(Design!$B$42),Constants!$C$6,Design!$B$42)/1000*(1+Constants!$C$36/100*(AR25-25))-Design!$C$29)/(IF(ISBLANK(Design!$B$41),Design!$B$39,Design!$B$41)/1000000)*AI25/100/(IF(ISBLANK(Design!$B$33),Design!$B$32,Design!$B$33)*1000000))</f>
        <v>0.4022648232808152</v>
      </c>
      <c r="AK25" s="195">
        <f>$B25*Constants!$C$21/1000+IF(ISBLANK(Design!$B$33),Design!$B$32,Design!$B$33)*1000000*Constants!$D$25/1000000000*($B25-Constants!$C$24)</f>
        <v>2.7735624999999986E-2</v>
      </c>
      <c r="AL25" s="195">
        <f>$B25*AG25*($B25/(Constants!$C$26*1000000000)*IF(ISBLANK(Design!$B$33),Design!$B$32,Design!$B$33)*1000000/2+$B25/(Constants!$C$27*1000000000)*IF(ISBLANK(Design!$B$33),Design!$B$32,Design!$B$33)*1000000/2)</f>
        <v>1.9842267187499985E-2</v>
      </c>
      <c r="AM25" s="195">
        <f t="shared" ca="1" si="3"/>
        <v>8.7631959687281602E-2</v>
      </c>
      <c r="AN25" s="195">
        <f>Constants!$D$25/1000000000*Constants!$C$24*IF(ISBLANK(Design!$B$33),Design!$B$32,Design!$B$33)*1000000</f>
        <v>1.0624999999999999E-2</v>
      </c>
      <c r="AO25" s="195">
        <f t="shared" ca="1" si="11"/>
        <v>0.14583485187478157</v>
      </c>
      <c r="AP25" s="195">
        <f t="shared" ca="1" si="9"/>
        <v>7.6356476147735872E-2</v>
      </c>
      <c r="AQ25" s="196">
        <f ca="1">$A25+AP25*Design!$B$19</f>
        <v>89.352319140420946</v>
      </c>
      <c r="AR25" s="196">
        <f ca="1">AO25*Design!$C$12+$A25</f>
        <v>89.958384963742574</v>
      </c>
      <c r="AS25" s="196">
        <f ca="1">Constants!$D$22+Constants!$D$22*Constants!$C$23/100*(AR25-25)</f>
        <v>176.96670797099407</v>
      </c>
      <c r="AT25" s="195">
        <f ca="1">(1-Constants!$C$20/1000000000*Design!$B$33*1000000) * ($B25+AH25-AG25*AS25/1000) - (AH25+AG25*(1+($A25-25)*Constants!$C$36/100)*IF(ISBLANK(Design!$B$42),Constants!$C$6/1000,Design!$B$42/1000))</f>
        <v>7.020251457083587</v>
      </c>
      <c r="AU25" s="119">
        <f ca="1">IF(AT25&gt;Design!$C$29,Design!$C$29,AT25)</f>
        <v>4.9990521327014221</v>
      </c>
    </row>
    <row r="26" spans="1:47" s="120" customFormat="1" ht="12.75" customHeight="1">
      <c r="A26" s="112">
        <f>Design!$D$13</f>
        <v>85</v>
      </c>
      <c r="B26" s="113">
        <f t="shared" si="0"/>
        <v>7.2699999999999978</v>
      </c>
      <c r="C26" s="114">
        <f>Design!$D$7</f>
        <v>2.5</v>
      </c>
      <c r="D26" s="114">
        <f ca="1">FORECAST(C26, OFFSET(Design!$C$15:$C$17,MATCH(C26,Design!$B$15:$B$17,1)-1,0,2), OFFSET(Design!$B$15:$B$17,MATCH(C26,Design!$B$15:$B$17,1)-1,0,2))+(M26-25)*Design!$B$18/1000</f>
        <v>0.39956400482050525</v>
      </c>
      <c r="E26" s="173">
        <f ca="1">IF(100*(Design!$C$29+D26+C26*IF(ISBLANK(Design!$B$42),Constants!$C$6,Design!$B$42)/1000*(1+Constants!$C$36/100*(N26-25)))/($B26+D26-C26*O26/1000)&gt;Design!$C$36,Design!$C$36,100*(Design!$C$29+D26+C26*IF(ISBLANK(Design!$B$42),Constants!$C$6,Design!$B$42)/1000*(1+Constants!$C$36/100*(N26-25)))/($B26+D26-C26*O26/1000))</f>
        <v>77.280507642049898</v>
      </c>
      <c r="F26" s="115">
        <f ca="1">IF(($B26-C26*IF(ISBLANK(Design!$B$42),Constants!$C$6,Design!$B$42)/1000*(1+Constants!$C$36/100*(N26-25))-Design!$C$29)/(IF(ISBLANK(Design!$B$41),Design!$B$39,Design!$B$41)/1000000)*E26/100/(IF(ISBLANK(Design!$B$33),Design!$B$32,Design!$B$33)*1000000)&lt;0, 0, ($B26-C26*IF(ISBLANK(Design!$B$42),Constants!$C$6,Design!$B$42)/1000*(1+Constants!$C$36/100*(N26-25))-Design!$C$29)/(IF(ISBLANK(Design!$B$41),Design!$B$39,Design!$B$41)/1000000)*E26/100/(IF(ISBLANK(Design!$B$33),Design!$B$32,Design!$B$33)*1000000))</f>
        <v>0.38786574068531304</v>
      </c>
      <c r="G26" s="165">
        <f>B26*Constants!$C$21/1000+IF(ISBLANK(Design!$B$33),Design!$B$32,Design!$B$33)*1000000*Constants!$D$25/1000000000*(B26-Constants!$C$24)</f>
        <v>2.6633749999999991E-2</v>
      </c>
      <c r="H26" s="165">
        <f>B26*C26*(B26/(Constants!$C$26*1000000000)*IF(ISBLANK(Design!$B$33),Design!$B$32,Design!$B$33)*1000000/2+B26/(Constants!$C$27*1000000000)*IF(ISBLANK(Design!$B$33),Design!$B$32,Design!$B$33)*1000000/2)</f>
        <v>5.6156206249999958E-2</v>
      </c>
      <c r="I26" s="165">
        <f t="shared" ca="1" si="1"/>
        <v>0.97836051862544993</v>
      </c>
      <c r="J26" s="165">
        <f>Constants!$D$25/1000000000*Constants!$C$24*IF(ISBLANK(Design!$B$33),Design!$B$32,Design!$B$33)*1000000</f>
        <v>1.0624999999999999E-2</v>
      </c>
      <c r="K26" s="165">
        <f t="shared" ca="1" si="4"/>
        <v>1.07177547487545</v>
      </c>
      <c r="L26" s="165">
        <f t="shared" ca="1" si="5"/>
        <v>0.22694728385078514</v>
      </c>
      <c r="M26" s="166">
        <f ca="1">A26+L26*Design!$B$19</f>
        <v>97.935995179494753</v>
      </c>
      <c r="N26" s="166">
        <f ca="1">K26*Design!$C$12+A26</f>
        <v>121.4403661457653</v>
      </c>
      <c r="O26" s="166">
        <f ca="1">Constants!$D$22+Constants!$D$22*Constants!$C$23/100*(N26-25)</f>
        <v>202.15229291661223</v>
      </c>
      <c r="P26" s="165">
        <f ca="1">(1-Constants!$C$20/1000000000*Design!$B$33*1000000) * ($B26+D26-C26*O26/1000) - (D26+C26*(1+($A26-25)*Constants!$C$36/100)*IF(ISBLANK(Design!$B$42),Constants!$C$6/1000,Design!$B$42/1000))</f>
        <v>6.3822331469883595</v>
      </c>
      <c r="Q26" s="171">
        <f ca="1">IF(P26&gt;Design!$C$29,Design!$C$29,P26)</f>
        <v>4.9990521327014221</v>
      </c>
      <c r="R26" s="181">
        <f>2*Design!$D$7/3</f>
        <v>1.6666666666666667</v>
      </c>
      <c r="S26" s="116">
        <f ca="1">FORECAST(R26, OFFSET(Design!$C$15:$C$17,MATCH(R26,Design!$B$15:$B$17,1)-1,0,2), OFFSET(Design!$B$15:$B$17,MATCH(R26,Design!$B$15:$B$17,1)-1,0,2))+(AB26-25)*Design!$B$18/1000</f>
        <v>0.36519338088163733</v>
      </c>
      <c r="T26" s="182">
        <f ca="1">IF(100*(Design!$C$29+S26+R26*IF(ISBLANK(Design!$B$42),Constants!$C$6,Design!$B$42)/1000*(1+Constants!$C$36/100*(AC26-25)))/($B26+S26-R26*AD26/1000)&gt;Design!$C$36,Design!$C$36,100*(Design!$C$29+S26+R26*IF(ISBLANK(Design!$B$42),Constants!$C$6,Design!$B$42)/1000*(1+Constants!$C$36/100*(AC26-25)))/($B26+S26-R26*AD26/1000))</f>
        <v>74.402334251694327</v>
      </c>
      <c r="U26" s="117">
        <f ca="1">IF(($B26-R26*IF(ISBLANK(Design!$B$42),Constants!$C$6,Design!$B$42)/1000*(1+Constants!$C$36/100*(AC26-25))-Design!$C$29)/(Design!$B$41/1000000)*T26/100/(IF(ISBLANK(IF(ISBLANK(Design!$B$41),Design!$B$39,Design!$B$41)),Design!$B$32,Design!$B$33)*1000000)&lt;0,0,($B26-R26*IF(ISBLANK(Design!$B$42),Constants!$C$6,Design!$B$42)/1000*(1+Constants!$C$36/100*(AC26-25))-Design!$C$29)/(IF(ISBLANK(Design!$B$41),Design!$B$39,Design!$B$41)/1000000)*T26/100/(IF(ISBLANK(Design!$B$33),Design!$B$32,Design!$B$33)*1000000))</f>
        <v>0.38242197235908948</v>
      </c>
      <c r="V26" s="183">
        <f>$B26*Constants!$C$21/1000+IF(ISBLANK(Design!$B$33),Design!$B$32,Design!$B$33)*1000000*Constants!$D$25/1000000000*($B26-Constants!$C$24)</f>
        <v>2.6633749999999991E-2</v>
      </c>
      <c r="W26" s="183">
        <f>$B26*R26*($B26/(Constants!$C$26*1000000000)*IF(ISBLANK(Design!$B$33),Design!$B$32,Design!$B$33)*1000000/2+$B26/(Constants!$C$27*1000000000)*IF(ISBLANK(Design!$B$33),Design!$B$32,Design!$B$33)*1000000/2)</f>
        <v>3.7437470833333306E-2</v>
      </c>
      <c r="X26" s="183">
        <f t="shared" ca="1" si="2"/>
        <v>0.38507258502819686</v>
      </c>
      <c r="Y26" s="183">
        <f>Constants!$D$25/1000000000*Constants!$C$24*IF(ISBLANK(Design!$B$33),Design!$B$32,Design!$B$33)*1000000</f>
        <v>1.0624999999999999E-2</v>
      </c>
      <c r="Z26" s="183">
        <f t="shared" ca="1" si="10"/>
        <v>0.45976880586153013</v>
      </c>
      <c r="AA26" s="183">
        <f t="shared" ca="1" si="7"/>
        <v>0.1558016349550306</v>
      </c>
      <c r="AB26" s="184">
        <f ca="1">$A26+AA26*Design!$B$19</f>
        <v>93.880693192436752</v>
      </c>
      <c r="AC26" s="184">
        <f ca="1">Z26*Design!$C$12+$A26</f>
        <v>100.63213939929203</v>
      </c>
      <c r="AD26" s="184">
        <f ca="1">Constants!$D$22+Constants!$D$22*Constants!$C$23/100*(AC26-25)</f>
        <v>185.50571151943362</v>
      </c>
      <c r="AE26" s="183">
        <f ca="1">(1-Constants!$C$20/1000000000*Design!$B$33*1000000) * ($B26+S26-R26*AD26/1000) - (S26+R26*(1+($A26-25)*Constants!$C$36/100)*IF(ISBLANK(Design!$B$42),Constants!$C$6/1000,Design!$B$42/1000))</f>
        <v>6.613784776297658</v>
      </c>
      <c r="AF26" s="117">
        <f ca="1">IF(AE26&gt;Design!$C$29,Design!$C$29,AE26)</f>
        <v>4.9990521327014221</v>
      </c>
      <c r="AG26" s="118">
        <f>Design!$D$7/3</f>
        <v>0.83333333333333337</v>
      </c>
      <c r="AH26" s="118">
        <f ca="1">FORECAST(AG26, OFFSET(Design!$C$15:$C$17,MATCH(AG26,Design!$B$15:$B$17,1)-1,0,2), OFFSET(Design!$B$15:$B$17,MATCH(AG26,Design!$B$15:$B$17,1)-1,0,2))+(AQ26-25)*Design!$B$18/1000</f>
        <v>0.30519650062933962</v>
      </c>
      <c r="AI26" s="194">
        <f ca="1">IF(100*(Design!$C$29+AH26+AG26*IF(ISBLANK(Design!$B$42),Constants!$C$6,Design!$B$42)/1000*(1+Constants!$C$36/100*(AR26-25)))/($B26+AH26-AG26*AS26/1000)&gt;Design!$C$36,Design!$C$36,100*(Design!$C$29+AH26+AG26*IF(ISBLANK(Design!$B$42),Constants!$C$6,Design!$B$42)/1000*(1+Constants!$C$36/100*(AR26-25)))/($B26+AH26-AG26*AS26/1000))</f>
        <v>71.974855395289694</v>
      </c>
      <c r="AJ26" s="119">
        <f ca="1">IF(($B26-AG26*IF(ISBLANK(Design!$B$42),Constants!$C$6,Design!$B$42)/1000*(1+Constants!$C$36/100*(AR26-25))-Design!$C$29)/(IF(ISBLANK(Design!$B$41),Design!$B$39,Design!$B$41)/1000000)*AI26/100/(IF(ISBLANK(Design!$B$33),Design!$B$32,Design!$B$33)*1000000)&lt;0,0,($B26-AG26*IF(ISBLANK(Design!$B$42),Constants!$C$6,Design!$B$42)/1000*(1+Constants!$C$36/100*(AR26-25))-Design!$C$29)/(IF(ISBLANK(Design!$B$41),Design!$B$39,Design!$B$41)/1000000)*AI26/100/(IF(ISBLANK(Design!$B$33),Design!$B$32,Design!$B$33)*1000000))</f>
        <v>0.37750464464916944</v>
      </c>
      <c r="AK26" s="195">
        <f>$B26*Constants!$C$21/1000+IF(ISBLANK(Design!$B$33),Design!$B$32,Design!$B$33)*1000000*Constants!$D$25/1000000000*($B26-Constants!$C$24)</f>
        <v>2.6633749999999991E-2</v>
      </c>
      <c r="AL26" s="195">
        <f>$B26*AG26*($B26/(Constants!$C$26*1000000000)*IF(ISBLANK(Design!$B$33),Design!$B$32,Design!$B$33)*1000000/2+$B26/(Constants!$C$27*1000000000)*IF(ISBLANK(Design!$B$33),Design!$B$32,Design!$B$33)*1000000/2)</f>
        <v>1.8718735416666653E-2</v>
      </c>
      <c r="AM26" s="195">
        <f t="shared" ca="1" si="3"/>
        <v>8.9966603901590558E-2</v>
      </c>
      <c r="AN26" s="195">
        <f>Constants!$D$25/1000000000*Constants!$C$24*IF(ISBLANK(Design!$B$33),Design!$B$32,Design!$B$33)*1000000</f>
        <v>1.0624999999999999E-2</v>
      </c>
      <c r="AO26" s="195">
        <f t="shared" ca="1" si="11"/>
        <v>0.1459440893182572</v>
      </c>
      <c r="AP26" s="195">
        <f t="shared" ca="1" si="9"/>
        <v>7.1276467191573364E-2</v>
      </c>
      <c r="AQ26" s="196">
        <f ca="1">$A26+AP26*Design!$B$19</f>
        <v>89.062758629919685</v>
      </c>
      <c r="AR26" s="196">
        <f ca="1">AO26*Design!$C$12+$A26</f>
        <v>89.962099036820746</v>
      </c>
      <c r="AS26" s="196">
        <f ca="1">Constants!$D$22+Constants!$D$22*Constants!$C$23/100*(AR26-25)</f>
        <v>176.9696792294566</v>
      </c>
      <c r="AT26" s="195">
        <f ca="1">(1-Constants!$C$20/1000000000*Design!$B$33*1000000) * ($B26+AH26-AG26*AS26/1000) - (AH26+AG26*(1+($A26-25)*Constants!$C$36/100)*IF(ISBLANK(Design!$B$42),Constants!$C$6/1000,Design!$B$42/1000))</f>
        <v>6.8130054851086861</v>
      </c>
      <c r="AU26" s="119">
        <f ca="1">IF(AT26&gt;Design!$C$29,Design!$C$29,AT26)</f>
        <v>4.9990521327014221</v>
      </c>
    </row>
    <row r="27" spans="1:47" s="120" customFormat="1" ht="12.75" customHeight="1">
      <c r="A27" s="112">
        <f>Design!$D$13</f>
        <v>85</v>
      </c>
      <c r="B27" s="113">
        <f t="shared" si="0"/>
        <v>7.0549999999999979</v>
      </c>
      <c r="C27" s="114">
        <f>Design!$D$7</f>
        <v>2.5</v>
      </c>
      <c r="D27" s="114">
        <f ca="1">FORECAST(C27, OFFSET(Design!$C$15:$C$17,MATCH(C27,Design!$B$15:$B$17,1)-1,0,2), OFFSET(Design!$B$15:$B$17,MATCH(C27,Design!$B$15:$B$17,1)-1,0,2))+(M27-25)*Design!$B$18/1000</f>
        <v>0.40090548147522698</v>
      </c>
      <c r="E27" s="173">
        <f ca="1">IF(100*(Design!$C$29+D27+C27*IF(ISBLANK(Design!$B$42),Constants!$C$6,Design!$B$42)/1000*(1+Constants!$C$36/100*(N27-25)))/($B27+D27-C27*O27/1000)&gt;Design!$C$36,Design!$C$36,100*(Design!$C$29+D27+C27*IF(ISBLANK(Design!$B$42),Constants!$C$6,Design!$B$42)/1000*(1+Constants!$C$36/100*(N27-25)))/($B27+D27-C27*O27/1000))</f>
        <v>79.704682016392738</v>
      </c>
      <c r="F27" s="115">
        <f ca="1">IF(($B27-C27*IF(ISBLANK(Design!$B$42),Constants!$C$6,Design!$B$42)/1000*(1+Constants!$C$36/100*(N27-25))-Design!$C$29)/(IF(ISBLANK(Design!$B$41),Design!$B$39,Design!$B$41)/1000000)*E27/100/(IF(ISBLANK(Design!$B$33),Design!$B$32,Design!$B$33)*1000000)&lt;0, 0, ($B27-C27*IF(ISBLANK(Design!$B$42),Constants!$C$6,Design!$B$42)/1000*(1+Constants!$C$36/100*(N27-25))-Design!$C$29)/(IF(ISBLANK(Design!$B$41),Design!$B$39,Design!$B$41)/1000000)*E27/100/(IF(ISBLANK(Design!$B$33),Design!$B$32,Design!$B$33)*1000000))</f>
        <v>0.35963583972246393</v>
      </c>
      <c r="G27" s="165">
        <f>B27*Constants!$C$21/1000+IF(ISBLANK(Design!$B$33),Design!$B$32,Design!$B$33)*1000000*Constants!$D$25/1000000000*(B27-Constants!$C$24)</f>
        <v>2.5531874999999989E-2</v>
      </c>
      <c r="H27" s="165">
        <f>B27*C27*(B27/(Constants!$C$26*1000000000)*IF(ISBLANK(Design!$B$33),Design!$B$32,Design!$B$33)*1000000/2+B27/(Constants!$C$27*1000000000)*IF(ISBLANK(Design!$B$33),Design!$B$32,Design!$B$33)*1000000/2)</f>
        <v>5.2883839062499965E-2</v>
      </c>
      <c r="I27" s="165">
        <f t="shared" ca="1" si="1"/>
        <v>1.0128551882835748</v>
      </c>
      <c r="J27" s="165">
        <f>Constants!$D$25/1000000000*Constants!$C$24*IF(ISBLANK(Design!$B$33),Design!$B$32,Design!$B$33)*1000000</f>
        <v>1.0624999999999999E-2</v>
      </c>
      <c r="K27" s="165">
        <f t="shared" ca="1" si="4"/>
        <v>1.1018959023460748</v>
      </c>
      <c r="L27" s="165">
        <f t="shared" ca="1" si="5"/>
        <v>0.20341260569777259</v>
      </c>
      <c r="M27" s="166">
        <f ca="1">A27+L27*Design!$B$19</f>
        <v>96.594518524773036</v>
      </c>
      <c r="N27" s="166">
        <f ca="1">K27*Design!$C$12+A27</f>
        <v>122.46446067976655</v>
      </c>
      <c r="O27" s="166">
        <f ca="1">Constants!$D$22+Constants!$D$22*Constants!$C$23/100*(N27-25)</f>
        <v>202.97156854381325</v>
      </c>
      <c r="P27" s="165">
        <f ca="1">(1-Constants!$C$20/1000000000*Design!$B$33*1000000) * ($B27+D27-C27*O27/1000) - (D27+C27*(1+($A27-25)*Constants!$C$36/100)*IF(ISBLANK(Design!$B$42),Constants!$C$6/1000,Design!$B$42/1000))</f>
        <v>6.1729773629062858</v>
      </c>
      <c r="Q27" s="171">
        <f ca="1">IF(P27&gt;Design!$C$29,Design!$C$29,P27)</f>
        <v>4.9990521327014221</v>
      </c>
      <c r="R27" s="181">
        <f>2*Design!$D$7/3</f>
        <v>1.6666666666666667</v>
      </c>
      <c r="S27" s="116">
        <f ca="1">FORECAST(R27, OFFSET(Design!$C$15:$C$17,MATCH(R27,Design!$B$15:$B$17,1)-1,0,2), OFFSET(Design!$B$15:$B$17,MATCH(R27,Design!$B$15:$B$17,1)-1,0,2))+(AB27-25)*Design!$B$18/1000</f>
        <v>0.36595955124286894</v>
      </c>
      <c r="T27" s="182">
        <f ca="1">IF(100*(Design!$C$29+S27+R27*IF(ISBLANK(Design!$B$42),Constants!$C$6,Design!$B$42)/1000*(1+Constants!$C$36/100*(AC27-25)))/($B27+S27-R27*AD27/1000)&gt;Design!$C$36,Design!$C$36,100*(Design!$C$29+S27+R27*IF(ISBLANK(Design!$B$42),Constants!$C$6,Design!$B$42)/1000*(1+Constants!$C$36/100*(AC27-25)))/($B27+S27-R27*AD27/1000))</f>
        <v>76.659707469836349</v>
      </c>
      <c r="U27" s="117">
        <f ca="1">IF(($B27-R27*IF(ISBLANK(Design!$B$42),Constants!$C$6,Design!$B$42)/1000*(1+Constants!$C$36/100*(AC27-25))-Design!$C$29)/(Design!$B$41/1000000)*T27/100/(IF(ISBLANK(IF(ISBLANK(Design!$B$41),Design!$B$39,Design!$B$41)),Design!$B$32,Design!$B$33)*1000000)&lt;0,0,($B27-R27*IF(ISBLANK(Design!$B$42),Constants!$C$6,Design!$B$42)/1000*(1+Constants!$C$36/100*(AC27-25))-Design!$C$29)/(IF(ISBLANK(Design!$B$41),Design!$B$39,Design!$B$41)/1000000)*T27/100/(IF(ISBLANK(Design!$B$33),Design!$B$32,Design!$B$33)*1000000))</f>
        <v>0.35522997057780692</v>
      </c>
      <c r="V27" s="183">
        <f>$B27*Constants!$C$21/1000+IF(ISBLANK(Design!$B$33),Design!$B$32,Design!$B$33)*1000000*Constants!$D$25/1000000000*($B27-Constants!$C$24)</f>
        <v>2.5531874999999989E-2</v>
      </c>
      <c r="W27" s="183">
        <f>$B27*R27*($B27/(Constants!$C$26*1000000000)*IF(ISBLANK(Design!$B$33),Design!$B$32,Design!$B$33)*1000000/2+$B27/(Constants!$C$27*1000000000)*IF(ISBLANK(Design!$B$33),Design!$B$32,Design!$B$33)*1000000/2)</f>
        <v>3.5255892708333313E-2</v>
      </c>
      <c r="X27" s="183">
        <f t="shared" ca="1" si="2"/>
        <v>0.39702184622625325</v>
      </c>
      <c r="Y27" s="183">
        <f>Constants!$D$25/1000000000*Constants!$C$24*IF(ISBLANK(Design!$B$33),Design!$B$32,Design!$B$33)*1000000</f>
        <v>1.0624999999999999E-2</v>
      </c>
      <c r="Z27" s="183">
        <f t="shared" ca="1" si="10"/>
        <v>0.46843461393458652</v>
      </c>
      <c r="AA27" s="183">
        <f t="shared" ca="1" si="7"/>
        <v>0.14236004967026628</v>
      </c>
      <c r="AB27" s="184">
        <f ca="1">$A27+AA27*Design!$B$19</f>
        <v>93.114522831205178</v>
      </c>
      <c r="AC27" s="184">
        <f ca="1">Z27*Design!$C$12+$A27</f>
        <v>100.92677687377594</v>
      </c>
      <c r="AD27" s="184">
        <f ca="1">Constants!$D$22+Constants!$D$22*Constants!$C$23/100*(AC27-25)</f>
        <v>185.74142149902076</v>
      </c>
      <c r="AE27" s="183">
        <f ca="1">(1-Constants!$C$20/1000000000*Design!$B$33*1000000) * ($B27+S27-R27*AD27/1000) - (S27+R27*(1+($A27-25)*Constants!$C$36/100)*IF(ISBLANK(Design!$B$42),Constants!$C$6/1000,Design!$B$42/1000))</f>
        <v>6.4061453151324024</v>
      </c>
      <c r="AF27" s="117">
        <f ca="1">IF(AE27&gt;Design!$C$29,Design!$C$29,AE27)</f>
        <v>4.9990521327014221</v>
      </c>
      <c r="AG27" s="118">
        <f>Design!$D$7/3</f>
        <v>0.83333333333333337</v>
      </c>
      <c r="AH27" s="118">
        <f ca="1">FORECAST(AG27, OFFSET(Design!$C$15:$C$17,MATCH(AG27,Design!$B$15:$B$17,1)-1,0,2), OFFSET(Design!$B$15:$B$17,MATCH(AG27,Design!$B$15:$B$17,1)-1,0,2))+(AQ27-25)*Design!$B$18/1000</f>
        <v>0.30550391739931404</v>
      </c>
      <c r="AI27" s="194">
        <f ca="1">IF(100*(Design!$C$29+AH27+AG27*IF(ISBLANK(Design!$B$42),Constants!$C$6,Design!$B$42)/1000*(1+Constants!$C$36/100*(AR27-25)))/($B27+AH27-AG27*AS27/1000)&gt;Design!$C$36,Design!$C$36,100*(Design!$C$29+AH27+AG27*IF(ISBLANK(Design!$B$42),Constants!$C$6,Design!$B$42)/1000*(1+Constants!$C$36/100*(AR27-25)))/($B27+AH27-AG27*AS27/1000))</f>
        <v>74.12150086210184</v>
      </c>
      <c r="AJ27" s="119">
        <f ca="1">IF(($B27-AG27*IF(ISBLANK(Design!$B$42),Constants!$C$6,Design!$B$42)/1000*(1+Constants!$C$36/100*(AR27-25))-Design!$C$29)/(IF(ISBLANK(Design!$B$41),Design!$B$39,Design!$B$41)/1000000)*AI27/100/(IF(ISBLANK(Design!$B$33),Design!$B$32,Design!$B$33)*1000000)&lt;0,0,($B27-AG27*IF(ISBLANK(Design!$B$42),Constants!$C$6,Design!$B$42)/1000*(1+Constants!$C$36/100*(AR27-25))-Design!$C$29)/(IF(ISBLANK(Design!$B$41),Design!$B$39,Design!$B$41)/1000000)*AI27/100/(IF(ISBLANK(Design!$B$33),Design!$B$32,Design!$B$33)*1000000))</f>
        <v>0.35126671544233223</v>
      </c>
      <c r="AK27" s="195">
        <f>$B27*Constants!$C$21/1000+IF(ISBLANK(Design!$B$33),Design!$B$32,Design!$B$33)*1000000*Constants!$D$25/1000000000*($B27-Constants!$C$24)</f>
        <v>2.5531874999999989E-2</v>
      </c>
      <c r="AL27" s="195">
        <f>$B27*AG27*($B27/(Constants!$C$26*1000000000)*IF(ISBLANK(Design!$B$33),Design!$B$32,Design!$B$33)*1000000/2+$B27/(Constants!$C$27*1000000000)*IF(ISBLANK(Design!$B$33),Design!$B$32,Design!$B$33)*1000000/2)</f>
        <v>1.7627946354166656E-2</v>
      </c>
      <c r="AM27" s="195">
        <f t="shared" ca="1" si="3"/>
        <v>9.2444892772397272E-2</v>
      </c>
      <c r="AN27" s="195">
        <f>Constants!$D$25/1000000000*Constants!$C$24*IF(ISBLANK(Design!$B$33),Design!$B$32,Design!$B$33)*1000000</f>
        <v>1.0624999999999999E-2</v>
      </c>
      <c r="AO27" s="195">
        <f t="shared" ca="1" si="11"/>
        <v>0.14622971412656391</v>
      </c>
      <c r="AP27" s="195">
        <f t="shared" ca="1" si="9"/>
        <v>6.5883190525355489E-2</v>
      </c>
      <c r="AQ27" s="196">
        <f ca="1">$A27+AP27*Design!$B$19</f>
        <v>88.755341859945261</v>
      </c>
      <c r="AR27" s="196">
        <f ca="1">AO27*Design!$C$12+$A27</f>
        <v>89.971810280303174</v>
      </c>
      <c r="AS27" s="196">
        <f ca="1">Constants!$D$22+Constants!$D$22*Constants!$C$23/100*(AR27-25)</f>
        <v>176.97744822424255</v>
      </c>
      <c r="AT27" s="195">
        <f ca="1">(1-Constants!$C$20/1000000000*Design!$B$33*1000000) * ($B27+AH27-AG27*AS27/1000) - (AH27+AG27*(1+($A27-25)*Constants!$C$36/100)*IF(ISBLANK(Design!$B$42),Constants!$C$6/1000,Design!$B$42/1000))</f>
        <v>6.6057550143946626</v>
      </c>
      <c r="AU27" s="119">
        <f ca="1">IF(AT27&gt;Design!$C$29,Design!$C$29,AT27)</f>
        <v>4.9990521327014221</v>
      </c>
    </row>
    <row r="28" spans="1:47" s="120" customFormat="1" ht="12.75" customHeight="1">
      <c r="A28" s="112">
        <f>Design!$D$13</f>
        <v>85</v>
      </c>
      <c r="B28" s="113">
        <f t="shared" si="0"/>
        <v>6.8399999999999981</v>
      </c>
      <c r="C28" s="114">
        <f>Design!$D$7</f>
        <v>2.5</v>
      </c>
      <c r="D28" s="114">
        <f ca="1">FORECAST(C28, OFFSET(Design!$C$15:$C$17,MATCH(C28,Design!$B$15:$B$17,1)-1,0,2), OFFSET(Design!$B$15:$B$17,MATCH(C28,Design!$B$15:$B$17,1)-1,0,2))+(M28-25)*Design!$B$18/1000</f>
        <v>0.40234456200340984</v>
      </c>
      <c r="E28" s="173">
        <f ca="1">IF(100*(Design!$C$29+D28+C28*IF(ISBLANK(Design!$B$42),Constants!$C$6,Design!$B$42)/1000*(1+Constants!$C$36/100*(N28-25)))/($B28+D28-C28*O28/1000)&gt;Design!$C$36,Design!$C$36,100*(Design!$C$29+D28+C28*IF(ISBLANK(Design!$B$42),Constants!$C$6,Design!$B$42)/1000*(1+Constants!$C$36/100*(N28-25)))/($B28+D28-C28*O28/1000))</f>
        <v>82.287263632902139</v>
      </c>
      <c r="F28" s="115">
        <f ca="1">IF(($B28-C28*IF(ISBLANK(Design!$B$42),Constants!$C$6,Design!$B$42)/1000*(1+Constants!$C$36/100*(N28-25))-Design!$C$29)/(IF(ISBLANK(Design!$B$41),Design!$B$39,Design!$B$41)/1000000)*E28/100/(IF(ISBLANK(Design!$B$33),Design!$B$32,Design!$B$33)*1000000)&lt;0, 0, ($B28-C28*IF(ISBLANK(Design!$B$42),Constants!$C$6,Design!$B$42)/1000*(1+Constants!$C$36/100*(N28-25))-Design!$C$29)/(IF(ISBLANK(Design!$B$41),Design!$B$39,Design!$B$41)/1000000)*E28/100/(IF(ISBLANK(Design!$B$33),Design!$B$32,Design!$B$33)*1000000))</f>
        <v>0.32957603807080749</v>
      </c>
      <c r="G28" s="165">
        <f>B28*Constants!$C$21/1000+IF(ISBLANK(Design!$B$33),Design!$B$32,Design!$B$33)*1000000*Constants!$D$25/1000000000*(B28-Constants!$C$24)</f>
        <v>2.4429999999999993E-2</v>
      </c>
      <c r="H28" s="165">
        <f>B28*C28*(B28/(Constants!$C$26*1000000000)*IF(ISBLANK(Design!$B$33),Design!$B$32,Design!$B$33)*1000000/2+B28/(Constants!$C$27*1000000000)*IF(ISBLANK(Design!$B$33),Design!$B$32,Design!$B$33)*1000000/2)</f>
        <v>4.9709699999999968E-2</v>
      </c>
      <c r="I28" s="165">
        <f t="shared" ca="1" si="1"/>
        <v>1.0499882182410512</v>
      </c>
      <c r="J28" s="165">
        <f>Constants!$D$25/1000000000*Constants!$C$24*IF(ISBLANK(Design!$B$33),Design!$B$32,Design!$B$33)*1000000</f>
        <v>1.0624999999999999E-2</v>
      </c>
      <c r="K28" s="165">
        <f t="shared" ca="1" si="4"/>
        <v>1.1347529182410512</v>
      </c>
      <c r="L28" s="165">
        <f t="shared" ca="1" si="5"/>
        <v>0.17816557888754642</v>
      </c>
      <c r="M28" s="166">
        <f ca="1">A28+L28*Design!$B$19</f>
        <v>95.155437996590152</v>
      </c>
      <c r="N28" s="166">
        <f ca="1">K28*Design!$C$12+A28</f>
        <v>123.58159922019574</v>
      </c>
      <c r="O28" s="166">
        <f ca="1">Constants!$D$22+Constants!$D$22*Constants!$C$23/100*(N28-25)</f>
        <v>203.86527937615659</v>
      </c>
      <c r="P28" s="165">
        <f ca="1">(1-Constants!$C$20/1000000000*Design!$B$33*1000000) * ($B28+D28-C28*O28/1000) - (D28+C28*(1+($A28-25)*Constants!$C$36/100)*IF(ISBLANK(Design!$B$42),Constants!$C$6/1000,Design!$B$42/1000))</f>
        <v>5.9635386873008933</v>
      </c>
      <c r="Q28" s="171">
        <f ca="1">IF(P28&gt;Design!$C$29,Design!$C$29,P28)</f>
        <v>4.9990521327014221</v>
      </c>
      <c r="R28" s="181">
        <f>2*Design!$D$7/3</f>
        <v>1.6666666666666667</v>
      </c>
      <c r="S28" s="116">
        <f ca="1">FORECAST(R28, OFFSET(Design!$C$15:$C$17,MATCH(R28,Design!$B$15:$B$17,1)-1,0,2), OFFSET(Design!$B$15:$B$17,MATCH(R28,Design!$B$15:$B$17,1)-1,0,2))+(AB28-25)*Design!$B$18/1000</f>
        <v>0.36677718296321971</v>
      </c>
      <c r="T28" s="182">
        <f ca="1">IF(100*(Design!$C$29+S28+R28*IF(ISBLANK(Design!$B$42),Constants!$C$6,Design!$B$42)/1000*(1+Constants!$C$36/100*(AC28-25)))/($B28+S28-R28*AD28/1000)&gt;Design!$C$36,Design!$C$36,100*(Design!$C$29+S28+R28*IF(ISBLANK(Design!$B$42),Constants!$C$6,Design!$B$42)/1000*(1+Constants!$C$36/100*(AC28-25)))/($B28+S28-R28*AD28/1000))</f>
        <v>79.058299239416115</v>
      </c>
      <c r="U28" s="117">
        <f ca="1">IF(($B28-R28*IF(ISBLANK(Design!$B$42),Constants!$C$6,Design!$B$42)/1000*(1+Constants!$C$36/100*(AC28-25))-Design!$C$29)/(Design!$B$41/1000000)*T28/100/(IF(ISBLANK(IF(ISBLANK(Design!$B$41),Design!$B$39,Design!$B$41)),Design!$B$32,Design!$B$33)*1000000)&lt;0,0,($B28-R28*IF(ISBLANK(Design!$B$42),Constants!$C$6,Design!$B$42)/1000*(1+Constants!$C$36/100*(AC28-25))-Design!$C$29)/(IF(ISBLANK(Design!$B$41),Design!$B$39,Design!$B$41)/1000000)*T28/100/(IF(ISBLANK(Design!$B$33),Design!$B$32,Design!$B$33)*1000000))</f>
        <v>0.32633469900654116</v>
      </c>
      <c r="V28" s="183">
        <f>$B28*Constants!$C$21/1000+IF(ISBLANK(Design!$B$33),Design!$B$32,Design!$B$33)*1000000*Constants!$D$25/1000000000*($B28-Constants!$C$24)</f>
        <v>2.4429999999999993E-2</v>
      </c>
      <c r="W28" s="183">
        <f>$B28*R28*($B28/(Constants!$C$26*1000000000)*IF(ISBLANK(Design!$B$33),Design!$B$32,Design!$B$33)*1000000/2+$B28/(Constants!$C$27*1000000000)*IF(ISBLANK(Design!$B$33),Design!$B$32,Design!$B$33)*1000000/2)</f>
        <v>3.3139799999999976E-2</v>
      </c>
      <c r="X28" s="183">
        <f t="shared" ca="1" si="2"/>
        <v>0.40977455333264157</v>
      </c>
      <c r="Y28" s="183">
        <f>Constants!$D$25/1000000000*Constants!$C$24*IF(ISBLANK(Design!$B$33),Design!$B$32,Design!$B$33)*1000000</f>
        <v>1.0624999999999999E-2</v>
      </c>
      <c r="Z28" s="183">
        <f t="shared" ca="1" si="10"/>
        <v>0.47796935333264151</v>
      </c>
      <c r="AA28" s="183">
        <f t="shared" ca="1" si="7"/>
        <v>0.12801563352376119</v>
      </c>
      <c r="AB28" s="184">
        <f ca="1">$A28+AA28*Design!$B$19</f>
        <v>92.296891110854389</v>
      </c>
      <c r="AC28" s="184">
        <f ca="1">Z28*Design!$C$12+$A28</f>
        <v>101.25095801330981</v>
      </c>
      <c r="AD28" s="184">
        <f ca="1">Constants!$D$22+Constants!$D$22*Constants!$C$23/100*(AC28-25)</f>
        <v>186.00076641064786</v>
      </c>
      <c r="AE28" s="183">
        <f ca="1">(1-Constants!$C$20/1000000000*Design!$B$33*1000000) * ($B28+S28-R28*AD28/1000) - (S28+R28*(1+($A28-25)*Constants!$C$36/100)*IF(ISBLANK(Design!$B$42),Constants!$C$6/1000,Design!$B$42/1000))</f>
        <v>6.1984660263920137</v>
      </c>
      <c r="AF28" s="117">
        <f ca="1">IF(AE28&gt;Design!$C$29,Design!$C$29,AE28)</f>
        <v>4.9990521327014221</v>
      </c>
      <c r="AG28" s="118">
        <f>Design!$D$7/3</f>
        <v>0.83333333333333337</v>
      </c>
      <c r="AH28" s="118">
        <f ca="1">FORECAST(AG28, OFFSET(Design!$C$15:$C$17,MATCH(AG28,Design!$B$15:$B$17,1)-1,0,2), OFFSET(Design!$B$15:$B$17,MATCH(AG28,Design!$B$15:$B$17,1)-1,0,2))+(AQ28-25)*Design!$B$18/1000</f>
        <v>0.30583089265292462</v>
      </c>
      <c r="AI28" s="194">
        <f ca="1">IF(100*(Design!$C$29+AH28+AG28*IF(ISBLANK(Design!$B$42),Constants!$C$6,Design!$B$42)/1000*(1+Constants!$C$36/100*(AR28-25)))/($B28+AH28-AG28*AS28/1000)&gt;Design!$C$36,Design!$C$36,100*(Design!$C$29+AH28+AG28*IF(ISBLANK(Design!$B$42),Constants!$C$6,Design!$B$42)/1000*(1+Constants!$C$36/100*(AR28-25)))/($B28+AH28-AG28*AS28/1000))</f>
        <v>76.399984169473868</v>
      </c>
      <c r="AJ28" s="119">
        <f ca="1">IF(($B28-AG28*IF(ISBLANK(Design!$B$42),Constants!$C$6,Design!$B$42)/1000*(1+Constants!$C$36/100*(AR28-25))-Design!$C$29)/(IF(ISBLANK(Design!$B$41),Design!$B$39,Design!$B$41)/1000000)*AI28/100/(IF(ISBLANK(Design!$B$33),Design!$B$32,Design!$B$33)*1000000)&lt;0,0,($B28-AG28*IF(ISBLANK(Design!$B$42),Constants!$C$6,Design!$B$42)/1000*(1+Constants!$C$36/100*(AR28-25))-Design!$C$29)/(IF(ISBLANK(Design!$B$41),Design!$B$39,Design!$B$41)/1000000)*AI28/100/(IF(ISBLANK(Design!$B$33),Design!$B$32,Design!$B$33)*1000000))</f>
        <v>0.32341481343861311</v>
      </c>
      <c r="AK28" s="195">
        <f>$B28*Constants!$C$21/1000+IF(ISBLANK(Design!$B$33),Design!$B$32,Design!$B$33)*1000000*Constants!$D$25/1000000000*($B28-Constants!$C$24)</f>
        <v>2.4429999999999993E-2</v>
      </c>
      <c r="AL28" s="195">
        <f>$B28*AG28*($B28/(Constants!$C$26*1000000000)*IF(ISBLANK(Design!$B$33),Design!$B$32,Design!$B$33)*1000000/2+$B28/(Constants!$C$27*1000000000)*IF(ISBLANK(Design!$B$33),Design!$B$32,Design!$B$33)*1000000/2)</f>
        <v>1.6569899999999988E-2</v>
      </c>
      <c r="AM28" s="195">
        <f t="shared" ca="1" si="3"/>
        <v>9.5081874594500279E-2</v>
      </c>
      <c r="AN28" s="195">
        <f>Constants!$D$25/1000000000*Constants!$C$24*IF(ISBLANK(Design!$B$33),Design!$B$32,Design!$B$33)*1000000</f>
        <v>1.0624999999999999E-2</v>
      </c>
      <c r="AO28" s="195">
        <f t="shared" ca="1" si="11"/>
        <v>0.14670677459450027</v>
      </c>
      <c r="AP28" s="195">
        <f t="shared" ca="1" si="9"/>
        <v>6.0146782567274674E-2</v>
      </c>
      <c r="AQ28" s="196">
        <f ca="1">$A28+AP28*Design!$B$19</f>
        <v>88.428366606334663</v>
      </c>
      <c r="AR28" s="196">
        <f ca="1">AO28*Design!$C$12+$A28</f>
        <v>89.988030336213015</v>
      </c>
      <c r="AS28" s="196">
        <f ca="1">Constants!$D$22+Constants!$D$22*Constants!$C$23/100*(AR28-25)</f>
        <v>176.9904242689704</v>
      </c>
      <c r="AT28" s="195">
        <f ca="1">(1-Constants!$C$20/1000000000*Design!$B$33*1000000) * ($B28+AH28-AG28*AS28/1000) - (AH28+AG28*(1+($A28-25)*Constants!$C$36/100)*IF(ISBLANK(Design!$B$42),Constants!$C$6/1000,Design!$B$42/1000))</f>
        <v>6.3984996546760327</v>
      </c>
      <c r="AU28" s="119">
        <f ca="1">IF(AT28&gt;Design!$C$29,Design!$C$29,AT28)</f>
        <v>4.9990521327014221</v>
      </c>
    </row>
    <row r="29" spans="1:47" s="120" customFormat="1" ht="12.75" customHeight="1">
      <c r="A29" s="112">
        <f>Design!$D$13</f>
        <v>85</v>
      </c>
      <c r="B29" s="113">
        <f t="shared" si="0"/>
        <v>6.6249999999999982</v>
      </c>
      <c r="C29" s="114">
        <f>Design!$D$7</f>
        <v>2.5</v>
      </c>
      <c r="D29" s="114">
        <f ca="1">FORECAST(C29, OFFSET(Design!$C$15:$C$17,MATCH(C29,Design!$B$15:$B$17,1)-1,0,2), OFFSET(Design!$B$15:$B$17,MATCH(C29,Design!$B$15:$B$17,1)-1,0,2))+(M29-25)*Design!$B$18/1000</f>
        <v>0.40389239299951413</v>
      </c>
      <c r="E29" s="173">
        <f ca="1">IF(100*(Design!$C$29+D29+C29*IF(ISBLANK(Design!$B$42),Constants!$C$6,Design!$B$42)/1000*(1+Constants!$C$36/100*(N29-25)))/($B29+D29-C29*O29/1000)&gt;Design!$C$36,Design!$C$36,100*(Design!$C$29+D29+C29*IF(ISBLANK(Design!$B$42),Constants!$C$6,Design!$B$42)/1000*(1+Constants!$C$36/100*(N29-25)))/($B29+D29-C29*O29/1000))</f>
        <v>85.044467115624741</v>
      </c>
      <c r="F29" s="115">
        <f ca="1">IF(($B29-C29*IF(ISBLANK(Design!$B$42),Constants!$C$6,Design!$B$42)/1000*(1+Constants!$C$36/100*(N29-25))-Design!$C$29)/(IF(ISBLANK(Design!$B$41),Design!$B$39,Design!$B$41)/1000000)*E29/100/(IF(ISBLANK(Design!$B$33),Design!$B$32,Design!$B$33)*1000000)&lt;0, 0, ($B29-C29*IF(ISBLANK(Design!$B$42),Constants!$C$6,Design!$B$42)/1000*(1+Constants!$C$36/100*(N29-25))-Design!$C$29)/(IF(ISBLANK(Design!$B$41),Design!$B$39,Design!$B$41)/1000000)*E29/100/(IF(ISBLANK(Design!$B$33),Design!$B$32,Design!$B$33)*1000000))</f>
        <v>0.29750064319509478</v>
      </c>
      <c r="G29" s="165">
        <f>B29*Constants!$C$21/1000+IF(ISBLANK(Design!$B$33),Design!$B$32,Design!$B$33)*1000000*Constants!$D$25/1000000000*(B29-Constants!$C$24)</f>
        <v>2.3328124999999991E-2</v>
      </c>
      <c r="H29" s="165">
        <f>B29*C29*(B29/(Constants!$C$26*1000000000)*IF(ISBLANK(Design!$B$33),Design!$B$32,Design!$B$33)*1000000/2+B29/(Constants!$C$27*1000000000)*IF(ISBLANK(Design!$B$33),Design!$B$32,Design!$B$33)*1000000/2)</f>
        <v>4.6633789062499972E-2</v>
      </c>
      <c r="I29" s="165">
        <f t="shared" ca="1" si="1"/>
        <v>1.0900777053606954</v>
      </c>
      <c r="J29" s="165">
        <f>Constants!$D$25/1000000000*Constants!$C$24*IF(ISBLANK(Design!$B$33),Design!$B$32,Design!$B$33)*1000000</f>
        <v>1.0624999999999999E-2</v>
      </c>
      <c r="K29" s="165">
        <f t="shared" ca="1" si="4"/>
        <v>1.1706646194231953</v>
      </c>
      <c r="L29" s="165">
        <f t="shared" ca="1" si="5"/>
        <v>0.15101064913133119</v>
      </c>
      <c r="M29" s="166">
        <f ca="1">A29+L29*Design!$B$19</f>
        <v>93.607607000485871</v>
      </c>
      <c r="N29" s="166">
        <f ca="1">K29*Design!$C$12+A29</f>
        <v>124.80259706038865</v>
      </c>
      <c r="O29" s="166">
        <f ca="1">Constants!$D$22+Constants!$D$22*Constants!$C$23/100*(N29-25)</f>
        <v>204.84207764831092</v>
      </c>
      <c r="P29" s="165">
        <f ca="1">(1-Constants!$C$20/1000000000*Design!$B$33*1000000) * ($B29+D29-C29*O29/1000) - (D29+C29*(1+($A29-25)*Constants!$C$36/100)*IF(ISBLANK(Design!$B$42),Constants!$C$6/1000,Design!$B$42/1000))</f>
        <v>5.7538958683197263</v>
      </c>
      <c r="Q29" s="171">
        <f ca="1">IF(P29&gt;Design!$C$29,Design!$C$29,P29)</f>
        <v>4.9990521327014221</v>
      </c>
      <c r="R29" s="181">
        <f>2*Design!$D$7/3</f>
        <v>1.6666666666666667</v>
      </c>
      <c r="S29" s="116">
        <f ca="1">FORECAST(R29, OFFSET(Design!$C$15:$C$17,MATCH(R29,Design!$B$15:$B$17,1)-1,0,2), OFFSET(Design!$B$15:$B$17,MATCH(R29,Design!$B$15:$B$17,1)-1,0,2))+(AB29-25)*Design!$B$18/1000</f>
        <v>0.36765163673278634</v>
      </c>
      <c r="T29" s="182">
        <f ca="1">IF(100*(Design!$C$29+S29+R29*IF(ISBLANK(Design!$B$42),Constants!$C$6,Design!$B$42)/1000*(1+Constants!$C$36/100*(AC29-25)))/($B29+S29-R29*AD29/1000)&gt;Design!$C$36,Design!$C$36,100*(Design!$C$29+S29+R29*IF(ISBLANK(Design!$B$42),Constants!$C$6,Design!$B$42)/1000*(1+Constants!$C$36/100*(AC29-25)))/($B29+S29-R29*AD29/1000))</f>
        <v>81.611776791398015</v>
      </c>
      <c r="U29" s="117">
        <f ca="1">IF(($B29-R29*IF(ISBLANK(Design!$B$42),Constants!$C$6,Design!$B$42)/1000*(1+Constants!$C$36/100*(AC29-25))-Design!$C$29)/(Design!$B$41/1000000)*T29/100/(IF(ISBLANK(IF(ISBLANK(Design!$B$41),Design!$B$39,Design!$B$41)),Design!$B$32,Design!$B$33)*1000000)&lt;0,0,($B29-R29*IF(ISBLANK(Design!$B$42),Constants!$C$6,Design!$B$42)/1000*(1+Constants!$C$36/100*(AC29-25))-Design!$C$29)/(IF(ISBLANK(Design!$B$41),Design!$B$39,Design!$B$41)/1000000)*T29/100/(IF(ISBLANK(Design!$B$33),Design!$B$32,Design!$B$33)*1000000))</f>
        <v>0.29557097401931259</v>
      </c>
      <c r="V29" s="183">
        <f>$B29*Constants!$C$21/1000+IF(ISBLANK(Design!$B$33),Design!$B$32,Design!$B$33)*1000000*Constants!$D$25/1000000000*($B29-Constants!$C$24)</f>
        <v>2.3328124999999991E-2</v>
      </c>
      <c r="W29" s="183">
        <f>$B29*R29*($B29/(Constants!$C$26*1000000000)*IF(ISBLANK(Design!$B$33),Design!$B$32,Design!$B$33)*1000000/2+$B29/(Constants!$C$27*1000000000)*IF(ISBLANK(Design!$B$33),Design!$B$32,Design!$B$33)*1000000/2)</f>
        <v>3.1089192708333317E-2</v>
      </c>
      <c r="X29" s="183">
        <f t="shared" ca="1" si="2"/>
        <v>0.42341618482246041</v>
      </c>
      <c r="Y29" s="183">
        <f>Constants!$D$25/1000000000*Constants!$C$24*IF(ISBLANK(Design!$B$33),Design!$B$32,Design!$B$33)*1000000</f>
        <v>1.0624999999999999E-2</v>
      </c>
      <c r="Z29" s="183">
        <f t="shared" ca="1" si="10"/>
        <v>0.4884585025307937</v>
      </c>
      <c r="AA29" s="183">
        <f t="shared" ca="1" si="7"/>
        <v>0.1126743393208388</v>
      </c>
      <c r="AB29" s="184">
        <f ca="1">$A29+AA29*Design!$B$19</f>
        <v>91.422437341287818</v>
      </c>
      <c r="AC29" s="184">
        <f ca="1">Z29*Design!$C$12+$A29</f>
        <v>101.60758908604699</v>
      </c>
      <c r="AD29" s="184">
        <f ca="1">Constants!$D$22+Constants!$D$22*Constants!$C$23/100*(AC29-25)</f>
        <v>186.28607126883759</v>
      </c>
      <c r="AE29" s="183">
        <f ca="1">(1-Constants!$C$20/1000000000*Design!$B$33*1000000) * ($B29+S29-R29*AD29/1000) - (S29+R29*(1+($A29-25)*Constants!$C$36/100)*IF(ISBLANK(Design!$B$42),Constants!$C$6/1000,Design!$B$42/1000))</f>
        <v>5.9907429813826081</v>
      </c>
      <c r="AF29" s="117">
        <f ca="1">IF(AE29&gt;Design!$C$29,Design!$C$29,AE29)</f>
        <v>4.9990521327014221</v>
      </c>
      <c r="AG29" s="118">
        <f>Design!$D$7/3</f>
        <v>0.83333333333333337</v>
      </c>
      <c r="AH29" s="118">
        <f ca="1">FORECAST(AG29, OFFSET(Design!$C$15:$C$17,MATCH(AG29,Design!$B$15:$B$17,1)-1,0,2), OFFSET(Design!$B$15:$B$17,MATCH(AG29,Design!$B$15:$B$17,1)-1,0,2))+(AQ29-25)*Design!$B$18/1000</f>
        <v>0.30617935181276607</v>
      </c>
      <c r="AI29" s="194">
        <f ca="1">IF(100*(Design!$C$29+AH29+AG29*IF(ISBLANK(Design!$B$42),Constants!$C$6,Design!$B$42)/1000*(1+Constants!$C$36/100*(AR29-25)))/($B29+AH29-AG29*AS29/1000)&gt;Design!$C$36,Design!$C$36,100*(Design!$C$29+AH29+AG29*IF(ISBLANK(Design!$B$42),Constants!$C$6,Design!$B$42)/1000*(1+Constants!$C$36/100*(AR29-25)))/($B29+AH29-AG29*AS29/1000))</f>
        <v>78.822818591656969</v>
      </c>
      <c r="AJ29" s="119">
        <f ca="1">IF(($B29-AG29*IF(ISBLANK(Design!$B$42),Constants!$C$6,Design!$B$42)/1000*(1+Constants!$C$36/100*(AR29-25))-Design!$C$29)/(IF(ISBLANK(Design!$B$41),Design!$B$39,Design!$B$41)/1000000)*AI29/100/(IF(ISBLANK(Design!$B$33),Design!$B$32,Design!$B$33)*1000000)&lt;0,0,($B29-AG29*IF(ISBLANK(Design!$B$42),Constants!$C$6,Design!$B$42)/1000*(1+Constants!$C$36/100*(AR29-25))-Design!$C$29)/(IF(ISBLANK(Design!$B$41),Design!$B$39,Design!$B$41)/1000000)*AI29/100/(IF(ISBLANK(Design!$B$33),Design!$B$32,Design!$B$33)*1000000))</f>
        <v>0.29379546586700039</v>
      </c>
      <c r="AK29" s="195">
        <f>$B29*Constants!$C$21/1000+IF(ISBLANK(Design!$B$33),Design!$B$32,Design!$B$33)*1000000*Constants!$D$25/1000000000*($B29-Constants!$C$24)</f>
        <v>2.3328124999999991E-2</v>
      </c>
      <c r="AL29" s="195">
        <f>$B29*AG29*($B29/(Constants!$C$26*1000000000)*IF(ISBLANK(Design!$B$33),Design!$B$32,Design!$B$33)*1000000/2+$B29/(Constants!$C$27*1000000000)*IF(ISBLANK(Design!$B$33),Design!$B$32,Design!$B$33)*1000000/2)</f>
        <v>1.5544596354166659E-2</v>
      </c>
      <c r="AM29" s="195">
        <f t="shared" ca="1" si="3"/>
        <v>9.7894941905232333E-2</v>
      </c>
      <c r="AN29" s="195">
        <f>Constants!$D$25/1000000000*Constants!$C$24*IF(ISBLANK(Design!$B$33),Design!$B$32,Design!$B$33)*1000000</f>
        <v>1.0624999999999999E-2</v>
      </c>
      <c r="AO29" s="195">
        <f t="shared" ca="1" si="11"/>
        <v>0.14739266325939898</v>
      </c>
      <c r="AP29" s="195">
        <f t="shared" ca="1" si="9"/>
        <v>5.4033463973565239E-2</v>
      </c>
      <c r="AQ29" s="196">
        <f ca="1">$A29+AP29*Design!$B$19</f>
        <v>88.079907446493223</v>
      </c>
      <c r="AR29" s="196">
        <f ca="1">AO29*Design!$C$12+$A29</f>
        <v>90.011350550819571</v>
      </c>
      <c r="AS29" s="196">
        <f ca="1">Constants!$D$22+Constants!$D$22*Constants!$C$23/100*(AR29-25)</f>
        <v>177.00908044065565</v>
      </c>
      <c r="AT29" s="195">
        <f ca="1">(1-Constants!$C$20/1000000000*Design!$B$33*1000000) * ($B29+AH29-AG29*AS29/1000) - (AH29+AG29*(1+($A29-25)*Constants!$C$36/100)*IF(ISBLANK(Design!$B$42),Constants!$C$6/1000,Design!$B$42/1000))</f>
        <v>6.1912389564076484</v>
      </c>
      <c r="AU29" s="119">
        <f ca="1">IF(AT29&gt;Design!$C$29,Design!$C$29,AT29)</f>
        <v>4.9990521327014221</v>
      </c>
    </row>
    <row r="30" spans="1:47" s="120" customFormat="1" ht="12.75" customHeight="1">
      <c r="A30" s="112">
        <f>Design!$D$13</f>
        <v>85</v>
      </c>
      <c r="B30" s="113">
        <f t="shared" si="0"/>
        <v>6.4099999999999984</v>
      </c>
      <c r="C30" s="114">
        <f>Design!$D$7</f>
        <v>2.5</v>
      </c>
      <c r="D30" s="114">
        <f ca="1">FORECAST(C30, OFFSET(Design!$C$15:$C$17,MATCH(C30,Design!$B$15:$B$17,1)-1,0,2), OFFSET(Design!$B$15:$B$17,MATCH(C30,Design!$B$15:$B$17,1)-1,0,2))+(M30-25)*Design!$B$18/1000</f>
        <v>0.40556190331863401</v>
      </c>
      <c r="E30" s="173">
        <f ca="1">IF(100*(Design!$C$29+D30+C30*IF(ISBLANK(Design!$B$42),Constants!$C$6,Design!$B$42)/1000*(1+Constants!$C$36/100*(N30-25)))/($B30+D30-C30*O30/1000)&gt;Design!$C$36,Design!$C$36,100*(Design!$C$29+D30+C30*IF(ISBLANK(Design!$B$42),Constants!$C$6,Design!$B$42)/1000*(1+Constants!$C$36/100*(N30-25)))/($B30+D30-C30*O30/1000))</f>
        <v>87.994829552390271</v>
      </c>
      <c r="F30" s="115">
        <f ca="1">IF(($B30-C30*IF(ISBLANK(Design!$B$42),Constants!$C$6,Design!$B$42)/1000*(1+Constants!$C$36/100*(N30-25))-Design!$C$29)/(IF(ISBLANK(Design!$B$41),Design!$B$39,Design!$B$41)/1000000)*E30/100/(IF(ISBLANK(Design!$B$33),Design!$B$32,Design!$B$33)*1000000)&lt;0, 0, ($B30-C30*IF(ISBLANK(Design!$B$42),Constants!$C$6,Design!$B$42)/1000*(1+Constants!$C$36/100*(N30-25))-Design!$C$29)/(IF(ISBLANK(Design!$B$41),Design!$B$39,Design!$B$41)/1000000)*E30/100/(IF(ISBLANK(Design!$B$33),Design!$B$32,Design!$B$33)*1000000))</f>
        <v>0.26319767066013711</v>
      </c>
      <c r="G30" s="165">
        <f>B30*Constants!$C$21/1000+IF(ISBLANK(Design!$B$33),Design!$B$32,Design!$B$33)*1000000*Constants!$D$25/1000000000*(B30-Constants!$C$24)</f>
        <v>2.2226249999999993E-2</v>
      </c>
      <c r="H30" s="165">
        <f>B30*C30*(B30/(Constants!$C$26*1000000000)*IF(ISBLANK(Design!$B$33),Design!$B$32,Design!$B$33)*1000000/2+B30/(Constants!$C$27*1000000000)*IF(ISBLANK(Design!$B$33),Design!$B$32,Design!$B$33)*1000000/2)</f>
        <v>4.3656106249999972E-2</v>
      </c>
      <c r="I30" s="165">
        <f t="shared" ca="1" si="1"/>
        <v>1.1334959262363593</v>
      </c>
      <c r="J30" s="165">
        <f>Constants!$D$25/1000000000*Constants!$C$24*IF(ISBLANK(Design!$B$33),Design!$B$32,Design!$B$33)*1000000</f>
        <v>1.0624999999999999E-2</v>
      </c>
      <c r="K30" s="165">
        <f t="shared" ca="1" si="4"/>
        <v>1.2100032824863594</v>
      </c>
      <c r="L30" s="165">
        <f t="shared" ca="1" si="5"/>
        <v>0.12172099440993044</v>
      </c>
      <c r="M30" s="166">
        <f ca="1">A30+L30*Design!$B$19</f>
        <v>91.938096681366034</v>
      </c>
      <c r="N30" s="166">
        <f ca="1">K30*Design!$C$12+A30</f>
        <v>126.14011160453622</v>
      </c>
      <c r="O30" s="166">
        <f ca="1">Constants!$D$22+Constants!$D$22*Constants!$C$23/100*(N30-25)</f>
        <v>205.91208928362897</v>
      </c>
      <c r="P30" s="165">
        <f ca="1">(1-Constants!$C$20/1000000000*Design!$B$33*1000000) * ($B30+D30-C30*O30/1000) - (D30+C30*(1+($A30-25)*Constants!$C$36/100)*IF(ISBLANK(Design!$B$42),Constants!$C$6/1000,Design!$B$42/1000))</f>
        <v>5.5440240385969677</v>
      </c>
      <c r="Q30" s="171">
        <f ca="1">IF(P30&gt;Design!$C$29,Design!$C$29,P30)</f>
        <v>4.9990521327014221</v>
      </c>
      <c r="R30" s="181">
        <f>2*Design!$D$7/3</f>
        <v>1.6666666666666667</v>
      </c>
      <c r="S30" s="116">
        <f ca="1">FORECAST(R30, OFFSET(Design!$C$15:$C$17,MATCH(R30,Design!$B$15:$B$17,1)-1,0,2), OFFSET(Design!$B$15:$B$17,MATCH(R30,Design!$B$15:$B$17,1)-1,0,2))+(AB30-25)*Design!$B$18/1000</f>
        <v>0.36858904410609772</v>
      </c>
      <c r="T30" s="182">
        <f ca="1">IF(100*(Design!$C$29+S30+R30*IF(ISBLANK(Design!$B$42),Constants!$C$6,Design!$B$42)/1000*(1+Constants!$C$36/100*(AC30-25)))/($B30+S30-R30*AD30/1000)&gt;Design!$C$36,Design!$C$36,100*(Design!$C$29+S30+R30*IF(ISBLANK(Design!$B$42),Constants!$C$6,Design!$B$42)/1000*(1+Constants!$C$36/100*(AC30-25)))/($B30+S30-R30*AD30/1000))</f>
        <v>84.335628396749982</v>
      </c>
      <c r="U30" s="117">
        <f ca="1">IF(($B30-R30*IF(ISBLANK(Design!$B$42),Constants!$C$6,Design!$B$42)/1000*(1+Constants!$C$36/100*(AC30-25))-Design!$C$29)/(Design!$B$41/1000000)*T30/100/(IF(ISBLANK(IF(ISBLANK(Design!$B$41),Design!$B$39,Design!$B$41)),Design!$B$32,Design!$B$33)*1000000)&lt;0,0,($B30-R30*IF(ISBLANK(Design!$B$42),Constants!$C$6,Design!$B$42)/1000*(1+Constants!$C$36/100*(AC30-25))-Design!$C$29)/(IF(ISBLANK(Design!$B$41),Design!$B$39,Design!$B$41)/1000000)*T30/100/(IF(ISBLANK(Design!$B$33),Design!$B$32,Design!$B$33)*1000000))</f>
        <v>0.26275155888772173</v>
      </c>
      <c r="V30" s="183">
        <f>$B30*Constants!$C$21/1000+IF(ISBLANK(Design!$B$33),Design!$B$32,Design!$B$33)*1000000*Constants!$D$25/1000000000*($B30-Constants!$C$24)</f>
        <v>2.2226249999999993E-2</v>
      </c>
      <c r="W30" s="183">
        <f>$B30*R30*($B30/(Constants!$C$26*1000000000)*IF(ISBLANK(Design!$B$33),Design!$B$32,Design!$B$33)*1000000/2+$B30/(Constants!$C$27*1000000000)*IF(ISBLANK(Design!$B$33),Design!$B$32,Design!$B$33)*1000000/2)</f>
        <v>2.9104070833333322E-2</v>
      </c>
      <c r="X30" s="183">
        <f t="shared" ca="1" si="2"/>
        <v>0.43804508205134146</v>
      </c>
      <c r="Y30" s="183">
        <f>Constants!$D$25/1000000000*Constants!$C$24*IF(ISBLANK(Design!$B$33),Design!$B$32,Design!$B$33)*1000000</f>
        <v>1.0624999999999999E-2</v>
      </c>
      <c r="Z30" s="183">
        <f t="shared" ca="1" si="10"/>
        <v>0.50000040288467484</v>
      </c>
      <c r="AA30" s="183">
        <f t="shared" ca="1" si="7"/>
        <v>9.6228595929410424E-2</v>
      </c>
      <c r="AB30" s="184">
        <f ca="1">$A30+AA30*Design!$B$19</f>
        <v>90.485029967976388</v>
      </c>
      <c r="AC30" s="184">
        <f ca="1">Z30*Design!$C$12+$A30</f>
        <v>102.00001369807894</v>
      </c>
      <c r="AD30" s="184">
        <f ca="1">Constants!$D$22+Constants!$D$22*Constants!$C$23/100*(AC30-25)</f>
        <v>186.60001095846314</v>
      </c>
      <c r="AE30" s="183">
        <f ca="1">(1-Constants!$C$20/1000000000*Design!$B$33*1000000) * ($B30+S30-R30*AD30/1000) - (S30+R30*(1+($A30-25)*Constants!$C$36/100)*IF(ISBLANK(Design!$B$42),Constants!$C$6/1000,Design!$B$42/1000))</f>
        <v>5.7829716615106834</v>
      </c>
      <c r="AF30" s="117">
        <f ca="1">IF(AE30&gt;Design!$C$29,Design!$C$29,AE30)</f>
        <v>4.9990521327014221</v>
      </c>
      <c r="AG30" s="118">
        <f>Design!$D$7/3</f>
        <v>0.83333333333333337</v>
      </c>
      <c r="AH30" s="118">
        <f ca="1">FORECAST(AG30, OFFSET(Design!$C$15:$C$17,MATCH(AG30,Design!$B$15:$B$17,1)-1,0,2), OFFSET(Design!$B$15:$B$17,MATCH(AG30,Design!$B$15:$B$17,1)-1,0,2))+(AQ30-25)*Design!$B$18/1000</f>
        <v>0.30655148127856424</v>
      </c>
      <c r="AI30" s="194">
        <f ca="1">IF(100*(Design!$C$29+AH30+AG30*IF(ISBLANK(Design!$B$42),Constants!$C$6,Design!$B$42)/1000*(1+Constants!$C$36/100*(AR30-25)))/($B30+AH30-AG30*AS30/1000)&gt;Design!$C$36,Design!$C$36,100*(Design!$C$29+AH30+AG30*IF(ISBLANK(Design!$B$42),Constants!$C$6,Design!$B$42)/1000*(1+Constants!$C$36/100*(AR30-25)))/($B30+AH30-AG30*AS30/1000))</f>
        <v>81.404150458709452</v>
      </c>
      <c r="AJ30" s="119">
        <f ca="1">IF(($B30-AG30*IF(ISBLANK(Design!$B$42),Constants!$C$6,Design!$B$42)/1000*(1+Constants!$C$36/100*(AR30-25))-Design!$C$29)/(IF(ISBLANK(Design!$B$41),Design!$B$39,Design!$B$41)/1000000)*AI30/100/(IF(ISBLANK(Design!$B$33),Design!$B$32,Design!$B$33)*1000000)&lt;0,0,($B30-AG30*IF(ISBLANK(Design!$B$42),Constants!$C$6,Design!$B$42)/1000*(1+Constants!$C$36/100*(AR30-25))-Design!$C$29)/(IF(ISBLANK(Design!$B$41),Design!$B$39,Design!$B$41)/1000000)*AI30/100/(IF(ISBLANK(Design!$B$33),Design!$B$32,Design!$B$33)*1000000))</f>
        <v>0.26223513336041759</v>
      </c>
      <c r="AK30" s="195">
        <f>$B30*Constants!$C$21/1000+IF(ISBLANK(Design!$B$33),Design!$B$32,Design!$B$33)*1000000*Constants!$D$25/1000000000*($B30-Constants!$C$24)</f>
        <v>2.2226249999999993E-2</v>
      </c>
      <c r="AL30" s="195">
        <f>$B30*AG30*($B30/(Constants!$C$26*1000000000)*IF(ISBLANK(Design!$B$33),Design!$B$32,Design!$B$33)*1000000/2+$B30/(Constants!$C$27*1000000000)*IF(ISBLANK(Design!$B$33),Design!$B$32,Design!$B$33)*1000000/2)</f>
        <v>1.4552035416666661E-2</v>
      </c>
      <c r="AM30" s="195">
        <f t="shared" ca="1" si="3"/>
        <v>0.10090432476211217</v>
      </c>
      <c r="AN30" s="195">
        <f>Constants!$D$25/1000000000*Constants!$C$24*IF(ISBLANK(Design!$B$33),Design!$B$32,Design!$B$33)*1000000</f>
        <v>1.0624999999999999E-2</v>
      </c>
      <c r="AO30" s="195">
        <f t="shared" ca="1" si="11"/>
        <v>0.1483076101787788</v>
      </c>
      <c r="AP30" s="195">
        <f t="shared" ca="1" si="9"/>
        <v>4.7504876854299383E-2</v>
      </c>
      <c r="AQ30" s="196">
        <f ca="1">$A30+AP30*Design!$B$19</f>
        <v>87.70777798069507</v>
      </c>
      <c r="AR30" s="196">
        <f ca="1">AO30*Design!$C$12+$A30</f>
        <v>90.042458746078481</v>
      </c>
      <c r="AS30" s="196">
        <f ca="1">Constants!$D$22+Constants!$D$22*Constants!$C$23/100*(AR30-25)</f>
        <v>177.03396699686277</v>
      </c>
      <c r="AT30" s="195">
        <f ca="1">(1-Constants!$C$20/1000000000*Design!$B$33*1000000) * ($B30+AH30-AG30*AS30/1000) - (AH30+AG30*(1+($A30-25)*Constants!$C$36/100)*IF(ISBLANK(Design!$B$42),Constants!$C$6/1000,Design!$B$42/1000))</f>
        <v>5.9839723986228925</v>
      </c>
      <c r="AU30" s="119">
        <f ca="1">IF(AT30&gt;Design!$C$29,Design!$C$29,AT30)</f>
        <v>4.9990521327014221</v>
      </c>
    </row>
    <row r="31" spans="1:47" s="120" customFormat="1" ht="12.75" customHeight="1">
      <c r="A31" s="112">
        <f>Design!$D$13</f>
        <v>85</v>
      </c>
      <c r="B31" s="113">
        <f t="shared" si="0"/>
        <v>6.1949999999999985</v>
      </c>
      <c r="C31" s="114">
        <f>Design!$D$7</f>
        <v>2.5</v>
      </c>
      <c r="D31" s="114">
        <f ca="1">FORECAST(C31, OFFSET(Design!$C$15:$C$17,MATCH(C31,Design!$B$15:$B$17,1)-1,0,2), OFFSET(Design!$B$15:$B$17,MATCH(C31,Design!$B$15:$B$17,1)-1,0,2))+(M31-25)*Design!$B$18/1000</f>
        <v>0.40736817959847632</v>
      </c>
      <c r="E31" s="173">
        <f ca="1">IF(100*(Design!$C$29+D31+C31*IF(ISBLANK(Design!$B$42),Constants!$C$6,Design!$B$42)/1000*(1+Constants!$C$36/100*(N31-25)))/($B31+D31-C31*O31/1000)&gt;Design!$C$36,Design!$C$36,100*(Design!$C$29+D31+C31*IF(ISBLANK(Design!$B$42),Constants!$C$6,Design!$B$42)/1000*(1+Constants!$C$36/100*(N31-25)))/($B31+D31-C31*O31/1000))</f>
        <v>91.159649537911662</v>
      </c>
      <c r="F31" s="115">
        <f ca="1">IF(($B31-C31*IF(ISBLANK(Design!$B$42),Constants!$C$6,Design!$B$42)/1000*(1+Constants!$C$36/100*(N31-25))-Design!$C$29)/(IF(ISBLANK(Design!$B$41),Design!$B$39,Design!$B$41)/1000000)*E31/100/(IF(ISBLANK(Design!$B$33),Design!$B$32,Design!$B$33)*1000000)&lt;0, 0, ($B31-C31*IF(ISBLANK(Design!$B$42),Constants!$C$6,Design!$B$42)/1000*(1+Constants!$C$36/100*(N31-25))-Design!$C$29)/(IF(ISBLANK(Design!$B$41),Design!$B$39,Design!$B$41)/1000000)*E31/100/(IF(ISBLANK(Design!$B$33),Design!$B$32,Design!$B$33)*1000000))</f>
        <v>0.22642394777493979</v>
      </c>
      <c r="G31" s="165">
        <f>B31*Constants!$C$21/1000+IF(ISBLANK(Design!$B$33),Design!$B$32,Design!$B$33)*1000000*Constants!$D$25/1000000000*(B31-Constants!$C$24)</f>
        <v>2.112437499999999E-2</v>
      </c>
      <c r="H31" s="165">
        <f>B31*C31*(B31/(Constants!$C$26*1000000000)*IF(ISBLANK(Design!$B$33),Design!$B$32,Design!$B$33)*1000000/2+B31/(Constants!$C$27*1000000000)*IF(ISBLANK(Design!$B$33),Design!$B$32,Design!$B$33)*1000000/2)</f>
        <v>4.0776651562499981E-2</v>
      </c>
      <c r="I31" s="165">
        <f t="shared" ca="1" si="1"/>
        <v>1.1806815814575193</v>
      </c>
      <c r="J31" s="165">
        <f>Constants!$D$25/1000000000*Constants!$C$24*IF(ISBLANK(Design!$B$33),Design!$B$32,Design!$B$33)*1000000</f>
        <v>1.0624999999999999E-2</v>
      </c>
      <c r="K31" s="165">
        <f t="shared" ca="1" si="4"/>
        <v>1.2532076080200194</v>
      </c>
      <c r="L31" s="165">
        <f t="shared" ca="1" si="5"/>
        <v>9.0031936868836926E-2</v>
      </c>
      <c r="M31" s="166">
        <f ca="1">A31+L31*Design!$B$19</f>
        <v>90.131820401523697</v>
      </c>
      <c r="N31" s="166">
        <f ca="1">K31*Design!$C$12+A31</f>
        <v>127.60905867268066</v>
      </c>
      <c r="O31" s="166">
        <f ca="1">Constants!$D$22+Constants!$D$22*Constants!$C$23/100*(N31-25)</f>
        <v>207.08724693814452</v>
      </c>
      <c r="P31" s="165">
        <f ca="1">(1-Constants!$C$20/1000000000*Design!$B$33*1000000) * ($B31+D31-C31*O31/1000) - (D31+C31*(1+($A31-25)*Constants!$C$36/100)*IF(ISBLANK(Design!$B$42),Constants!$C$6/1000,Design!$B$42/1000))</f>
        <v>5.3338938991557443</v>
      </c>
      <c r="Q31" s="171">
        <f ca="1">IF(P31&gt;Design!$C$29,Design!$C$29,P31)</f>
        <v>4.9990521327014221</v>
      </c>
      <c r="R31" s="181">
        <f>2*Design!$D$7/3</f>
        <v>1.6666666666666667</v>
      </c>
      <c r="S31" s="116">
        <f ca="1">FORECAST(R31, OFFSET(Design!$C$15:$C$17,MATCH(R31,Design!$B$15:$B$17,1)-1,0,2), OFFSET(Design!$B$15:$B$17,MATCH(R31,Design!$B$15:$B$17,1)-1,0,2))+(AB31-25)*Design!$B$18/1000</f>
        <v>0.36959645117543716</v>
      </c>
      <c r="T31" s="182">
        <f ca="1">IF(100*(Design!$C$29+S31+R31*IF(ISBLANK(Design!$B$42),Constants!$C$6,Design!$B$42)/1000*(1+Constants!$C$36/100*(AC31-25)))/($B31+S31-R31*AD31/1000)&gt;Design!$C$36,Design!$C$36,100*(Design!$C$29+S31+R31*IF(ISBLANK(Design!$B$42),Constants!$C$6,Design!$B$42)/1000*(1+Constants!$C$36/100*(AC31-25)))/($B31+S31-R31*AD31/1000))</f>
        <v>87.247476952948844</v>
      </c>
      <c r="U31" s="117">
        <f ca="1">IF(($B31-R31*IF(ISBLANK(Design!$B$42),Constants!$C$6,Design!$B$42)/1000*(1+Constants!$C$36/100*(AC31-25))-Design!$C$29)/(Design!$B$41/1000000)*T31/100/(IF(ISBLANK(IF(ISBLANK(Design!$B$41),Design!$B$39,Design!$B$41)),Design!$B$32,Design!$B$33)*1000000)&lt;0,0,($B31-R31*IF(ISBLANK(Design!$B$42),Constants!$C$6,Design!$B$42)/1000*(1+Constants!$C$36/100*(AC31-25))-Design!$C$29)/(IF(ISBLANK(Design!$B$41),Design!$B$39,Design!$B$41)/1000000)*T31/100/(IF(ISBLANK(Design!$B$33),Design!$B$32,Design!$B$33)*1000000))</f>
        <v>0.22766335911130828</v>
      </c>
      <c r="V31" s="183">
        <f>$B31*Constants!$C$21/1000+IF(ISBLANK(Design!$B$33),Design!$B$32,Design!$B$33)*1000000*Constants!$D$25/1000000000*($B31-Constants!$C$24)</f>
        <v>2.112437499999999E-2</v>
      </c>
      <c r="W31" s="183">
        <f>$B31*R31*($B31/(Constants!$C$26*1000000000)*IF(ISBLANK(Design!$B$33),Design!$B$32,Design!$B$33)*1000000/2+$B31/(Constants!$C$27*1000000000)*IF(ISBLANK(Design!$B$33),Design!$B$32,Design!$B$33)*1000000/2)</f>
        <v>2.7184434374999986E-2</v>
      </c>
      <c r="X31" s="183">
        <f t="shared" ca="1" si="2"/>
        <v>0.45377501268868908</v>
      </c>
      <c r="Y31" s="183">
        <f>Constants!$D$25/1000000000*Constants!$C$24*IF(ISBLANK(Design!$B$33),Design!$B$32,Design!$B$33)*1000000</f>
        <v>1.0624999999999999E-2</v>
      </c>
      <c r="Z31" s="183">
        <f t="shared" ca="1" si="10"/>
        <v>0.51270882206368906</v>
      </c>
      <c r="AA31" s="183">
        <f t="shared" ca="1" si="7"/>
        <v>7.8554787695384667E-2</v>
      </c>
      <c r="AB31" s="184">
        <f ca="1">$A31+AA31*Design!$B$19</f>
        <v>89.477622898636923</v>
      </c>
      <c r="AC31" s="184">
        <f ca="1">Z31*Design!$C$12+$A31</f>
        <v>102.43209995016542</v>
      </c>
      <c r="AD31" s="184">
        <f ca="1">Constants!$D$22+Constants!$D$22*Constants!$C$23/100*(AC31-25)</f>
        <v>186.94567996013234</v>
      </c>
      <c r="AE31" s="183">
        <f ca="1">(1-Constants!$C$20/1000000000*Design!$B$33*1000000) * ($B31+S31-R31*AD31/1000) - (S31+R31*(1+($A31-25)*Constants!$C$36/100)*IF(ISBLANK(Design!$B$42),Constants!$C$6/1000,Design!$B$42/1000))</f>
        <v>5.5751468410819989</v>
      </c>
      <c r="AF31" s="117">
        <f ca="1">IF(AE31&gt;Design!$C$29,Design!$C$29,AE31)</f>
        <v>4.9990521327014221</v>
      </c>
      <c r="AG31" s="118">
        <f>Design!$D$7/3</f>
        <v>0.83333333333333337</v>
      </c>
      <c r="AH31" s="118">
        <f ca="1">FORECAST(AG31, OFFSET(Design!$C$15:$C$17,MATCH(AG31,Design!$B$15:$B$17,1)-1,0,2), OFFSET(Design!$B$15:$B$17,MATCH(AG31,Design!$B$15:$B$17,1)-1,0,2))+(AQ31-25)*Design!$B$18/1000</f>
        <v>0.30694977413944502</v>
      </c>
      <c r="AI31" s="194">
        <f ca="1">IF(100*(Design!$C$29+AH31+AG31*IF(ISBLANK(Design!$B$42),Constants!$C$6,Design!$B$42)/1000*(1+Constants!$C$36/100*(AR31-25)))/($B31+AH31-AG31*AS31/1000)&gt;Design!$C$36,Design!$C$36,100*(Design!$C$29+AH31+AG31*IF(ISBLANK(Design!$B$42),Constants!$C$6,Design!$B$42)/1000*(1+Constants!$C$36/100*(AR31-25)))/($B31+AH31-AG31*AS31/1000))</f>
        <v>84.160034161672712</v>
      </c>
      <c r="AJ31" s="119">
        <f ca="1">IF(($B31-AG31*IF(ISBLANK(Design!$B$42),Constants!$C$6,Design!$B$42)/1000*(1+Constants!$C$36/100*(AR31-25))-Design!$C$29)/(IF(ISBLANK(Design!$B$41),Design!$B$39,Design!$B$41)/1000000)*AI31/100/(IF(ISBLANK(Design!$B$33),Design!$B$32,Design!$B$33)*1000000)&lt;0,0,($B31-AG31*IF(ISBLANK(Design!$B$42),Constants!$C$6,Design!$B$42)/1000*(1+Constants!$C$36/100*(AR31-25))-Design!$C$29)/(IF(ISBLANK(Design!$B$41),Design!$B$39,Design!$B$41)/1000000)*AI31/100/(IF(ISBLANK(Design!$B$33),Design!$B$32,Design!$B$33)*1000000))</f>
        <v>0.22853682444337942</v>
      </c>
      <c r="AK31" s="195">
        <f>$B31*Constants!$C$21/1000+IF(ISBLANK(Design!$B$33),Design!$B$32,Design!$B$33)*1000000*Constants!$D$25/1000000000*($B31-Constants!$C$24)</f>
        <v>2.112437499999999E-2</v>
      </c>
      <c r="AL31" s="195">
        <f>$B31*AG31*($B31/(Constants!$C$26*1000000000)*IF(ISBLANK(Design!$B$33),Design!$B$32,Design!$B$33)*1000000/2+$B31/(Constants!$C$27*1000000000)*IF(ISBLANK(Design!$B$33),Design!$B$32,Design!$B$33)*1000000/2)</f>
        <v>1.3592217187499993E-2</v>
      </c>
      <c r="AM31" s="195">
        <f t="shared" ca="1" si="3"/>
        <v>0.10413371518305661</v>
      </c>
      <c r="AN31" s="195">
        <f>Constants!$D$25/1000000000*Constants!$C$24*IF(ISBLANK(Design!$B$33),Design!$B$32,Design!$B$33)*1000000</f>
        <v>1.0624999999999999E-2</v>
      </c>
      <c r="AO31" s="195">
        <f t="shared" ca="1" si="11"/>
        <v>0.14947530737055659</v>
      </c>
      <c r="AP31" s="195">
        <f t="shared" ca="1" si="9"/>
        <v>4.0517282803759047E-2</v>
      </c>
      <c r="AQ31" s="196">
        <f ca="1">$A31+AP31*Design!$B$19</f>
        <v>87.309485119814269</v>
      </c>
      <c r="AR31" s="196">
        <f ca="1">AO31*Design!$C$12+$A31</f>
        <v>90.08216045059892</v>
      </c>
      <c r="AS31" s="196">
        <f ca="1">Constants!$D$22+Constants!$D$22*Constants!$C$23/100*(AR31-25)</f>
        <v>177.06572836047914</v>
      </c>
      <c r="AT31" s="195">
        <f ca="1">(1-Constants!$C$20/1000000000*Design!$B$33*1000000) * ($B31+AH31-AG31*AS31/1000) - (AH31+AG31*(1+($A31-25)*Constants!$C$36/100)*IF(ISBLANK(Design!$B$42),Constants!$C$6/1000,Design!$B$42/1000))</f>
        <v>5.7766993736396639</v>
      </c>
      <c r="AU31" s="119">
        <f ca="1">IF(AT31&gt;Design!$C$29,Design!$C$29,AT31)</f>
        <v>4.9990521327014221</v>
      </c>
    </row>
    <row r="32" spans="1:47" s="120" customFormat="1" ht="12.75" customHeight="1">
      <c r="A32" s="112">
        <f>Design!$D$13</f>
        <v>85</v>
      </c>
      <c r="B32" s="113">
        <f t="shared" si="0"/>
        <v>5.9799999999999986</v>
      </c>
      <c r="C32" s="114">
        <f>Design!$D$7</f>
        <v>2.5</v>
      </c>
      <c r="D32" s="114">
        <f ca="1">FORECAST(C32, OFFSET(Design!$C$15:$C$17,MATCH(C32,Design!$B$15:$B$17,1)-1,0,2), OFFSET(Design!$B$15:$B$17,MATCH(C32,Design!$B$15:$B$17,1)-1,0,2))+(M32-25)*Design!$B$18/1000</f>
        <v>0.40932894232867001</v>
      </c>
      <c r="E32" s="173">
        <f ca="1">IF(100*(Design!$C$29+D32+C32*IF(ISBLANK(Design!$B$42),Constants!$C$6,Design!$B$42)/1000*(1+Constants!$C$36/100*(N32-25)))/($B32+D32-C32*O32/1000)&gt;Design!$C$36,Design!$C$36,100*(Design!$C$29+D32+C32*IF(ISBLANK(Design!$B$42),Constants!$C$6,Design!$B$42)/1000*(1+Constants!$C$36/100*(N32-25)))/($B32+D32-C32*O32/1000))</f>
        <v>94.563532164757746</v>
      </c>
      <c r="F32" s="115">
        <f ca="1">IF(($B32-C32*IF(ISBLANK(Design!$B$42),Constants!$C$6,Design!$B$42)/1000*(1+Constants!$C$36/100*(N32-25))-Design!$C$29)/(IF(ISBLANK(Design!$B$41),Design!$B$39,Design!$B$41)/1000000)*E32/100/(IF(ISBLANK(Design!$B$33),Design!$B$32,Design!$B$33)*1000000)&lt;0, 0, ($B32-C32*IF(ISBLANK(Design!$B$42),Constants!$C$6,Design!$B$42)/1000*(1+Constants!$C$36/100*(N32-25))-Design!$C$29)/(IF(ISBLANK(Design!$B$41),Design!$B$39,Design!$B$41)/1000000)*E32/100/(IF(ISBLANK(Design!$B$33),Design!$B$32,Design!$B$33)*1000000))</f>
        <v>0.18689905801776424</v>
      </c>
      <c r="G32" s="165">
        <f>B32*Constants!$C$21/1000+IF(ISBLANK(Design!$B$33),Design!$B$32,Design!$B$33)*1000000*Constants!$D$25/1000000000*(B32-Constants!$C$24)</f>
        <v>2.0022499999999995E-2</v>
      </c>
      <c r="H32" s="165">
        <f>B32*C32*(B32/(Constants!$C$26*1000000000)*IF(ISBLANK(Design!$B$33),Design!$B$32,Design!$B$33)*1000000/2+B32/(Constants!$C$27*1000000000)*IF(ISBLANK(Design!$B$33),Design!$B$32,Design!$B$33)*1000000/2)</f>
        <v>3.7995424999999979E-2</v>
      </c>
      <c r="I32" s="165">
        <f t="shared" ca="1" si="1"/>
        <v>1.2321555717956747</v>
      </c>
      <c r="J32" s="165">
        <f>Constants!$D$25/1000000000*Constants!$C$24*IF(ISBLANK(Design!$B$33),Design!$B$32,Design!$B$33)*1000000</f>
        <v>1.0624999999999999E-2</v>
      </c>
      <c r="K32" s="165">
        <f t="shared" ca="1" si="4"/>
        <v>1.3007984967956747</v>
      </c>
      <c r="L32" s="165">
        <f t="shared" ca="1" si="5"/>
        <v>5.5632590725088651E-2</v>
      </c>
      <c r="M32" s="166">
        <f ca="1">A32+L32*Design!$B$19</f>
        <v>88.171057671330047</v>
      </c>
      <c r="N32" s="166">
        <f ca="1">K32*Design!$C$12+A32</f>
        <v>129.22714889105293</v>
      </c>
      <c r="O32" s="166">
        <f ca="1">Constants!$D$22+Constants!$D$22*Constants!$C$23/100*(N32-25)</f>
        <v>208.38171911284235</v>
      </c>
      <c r="P32" s="165">
        <f ca="1">(1-Constants!$C$20/1000000000*Design!$B$33*1000000) * ($B32+D32-C32*O32/1000) - (D32+C32*(1+($A32-25)*Constants!$C$36/100)*IF(ISBLANK(Design!$B$42),Constants!$C$6/1000,Design!$B$42/1000))</f>
        <v>5.1234706681836473</v>
      </c>
      <c r="Q32" s="171">
        <f ca="1">IF(P32&gt;Design!$C$29,Design!$C$29,P32)</f>
        <v>4.9990521327014221</v>
      </c>
      <c r="R32" s="181">
        <f>2*Design!$D$7/3</f>
        <v>1.6666666666666667</v>
      </c>
      <c r="S32" s="116">
        <f ca="1">FORECAST(R32, OFFSET(Design!$C$15:$C$17,MATCH(R32,Design!$B$15:$B$17,1)-1,0,2), OFFSET(Design!$B$15:$B$17,MATCH(R32,Design!$B$15:$B$17,1)-1,0,2))+(AB32-25)*Design!$B$18/1000</f>
        <v>0.37068199562093929</v>
      </c>
      <c r="T32" s="182">
        <f ca="1">IF(100*(Design!$C$29+S32+R32*IF(ISBLANK(Design!$B$42),Constants!$C$6,Design!$B$42)/1000*(1+Constants!$C$36/100*(AC32-25)))/($B32+S32-R32*AD32/1000)&gt;Design!$C$36,Design!$C$36,100*(Design!$C$29+S32+R32*IF(ISBLANK(Design!$B$42),Constants!$C$6,Design!$B$42)/1000*(1+Constants!$C$36/100*(AC32-25)))/($B32+S32-R32*AD32/1000))</f>
        <v>90.367460679994807</v>
      </c>
      <c r="U32" s="117">
        <f ca="1">IF(($B32-R32*IF(ISBLANK(Design!$B$42),Constants!$C$6,Design!$B$42)/1000*(1+Constants!$C$36/100*(AC32-25))-Design!$C$29)/(Design!$B$41/1000000)*T32/100/(IF(ISBLANK(IF(ISBLANK(Design!$B$41),Design!$B$39,Design!$B$41)),Design!$B$32,Design!$B$33)*1000000)&lt;0,0,($B32-R32*IF(ISBLANK(Design!$B$42),Constants!$C$6,Design!$B$42)/1000*(1+Constants!$C$36/100*(AC32-25))-Design!$C$29)/(IF(ISBLANK(Design!$B$41),Design!$B$39,Design!$B$41)/1000000)*T32/100/(IF(ISBLANK(Design!$B$33),Design!$B$32,Design!$B$33)*1000000))</f>
        <v>0.1900628022620498</v>
      </c>
      <c r="V32" s="183">
        <f>$B32*Constants!$C$21/1000+IF(ISBLANK(Design!$B$33),Design!$B$32,Design!$B$33)*1000000*Constants!$D$25/1000000000*($B32-Constants!$C$24)</f>
        <v>2.0022499999999995E-2</v>
      </c>
      <c r="W32" s="183">
        <f>$B32*R32*($B32/(Constants!$C$26*1000000000)*IF(ISBLANK(Design!$B$33),Design!$B$32,Design!$B$33)*1000000/2+$B32/(Constants!$C$27*1000000000)*IF(ISBLANK(Design!$B$33),Design!$B$32,Design!$B$33)*1000000/2)</f>
        <v>2.5330283333333325E-2</v>
      </c>
      <c r="X32" s="183">
        <f t="shared" ca="1" si="2"/>
        <v>0.47073838234350845</v>
      </c>
      <c r="Y32" s="183">
        <f>Constants!$D$25/1000000000*Constants!$C$24*IF(ISBLANK(Design!$B$33),Design!$B$32,Design!$B$33)*1000000</f>
        <v>1.0624999999999999E-2</v>
      </c>
      <c r="Z32" s="183">
        <f t="shared" ca="1" si="10"/>
        <v>0.52671616567684176</v>
      </c>
      <c r="AA32" s="183">
        <f t="shared" ca="1" si="7"/>
        <v>5.9510148300611528E-2</v>
      </c>
      <c r="AB32" s="184">
        <f ca="1">$A32+AA32*Design!$B$19</f>
        <v>88.392078453134857</v>
      </c>
      <c r="AC32" s="184">
        <f ca="1">Z32*Design!$C$12+$A32</f>
        <v>102.90834963301262</v>
      </c>
      <c r="AD32" s="184">
        <f ca="1">Constants!$D$22+Constants!$D$22*Constants!$C$23/100*(AC32-25)</f>
        <v>187.32667970641009</v>
      </c>
      <c r="AE32" s="183">
        <f ca="1">(1-Constants!$C$20/1000000000*Design!$B$33*1000000) * ($B32+S32-R32*AD32/1000) - (S32+R32*(1+($A32-25)*Constants!$C$36/100)*IF(ISBLANK(Design!$B$42),Constants!$C$6/1000,Design!$B$42/1000))</f>
        <v>5.3672624405714995</v>
      </c>
      <c r="AF32" s="117">
        <f ca="1">IF(AE32&gt;Design!$C$29,Design!$C$29,AE32)</f>
        <v>4.9990521327014221</v>
      </c>
      <c r="AG32" s="118">
        <f>Design!$D$7/3</f>
        <v>0.83333333333333337</v>
      </c>
      <c r="AH32" s="118">
        <f ca="1">FORECAST(AG32, OFFSET(Design!$C$15:$C$17,MATCH(AG32,Design!$B$15:$B$17,1)-1,0,2), OFFSET(Design!$B$15:$B$17,MATCH(AG32,Design!$B$15:$B$17,1)-1,0,2))+(AQ32-25)*Design!$B$18/1000</f>
        <v>0.30737708583208301</v>
      </c>
      <c r="AI32" s="194">
        <f ca="1">IF(100*(Design!$C$29+AH32+AG32*IF(ISBLANK(Design!$B$42),Constants!$C$6,Design!$B$42)/1000*(1+Constants!$C$36/100*(AR32-25)))/($B32+AH32-AG32*AS32/1000)&gt;Design!$C$36,Design!$C$36,100*(Design!$C$29+AH32+AG32*IF(ISBLANK(Design!$B$42),Constants!$C$6,Design!$B$42)/1000*(1+Constants!$C$36/100*(AR32-25)))/($B32+AH32-AG32*AS32/1000))</f>
        <v>87.108764590320405</v>
      </c>
      <c r="AJ32" s="119">
        <f ca="1">IF(($B32-AG32*IF(ISBLANK(Design!$B$42),Constants!$C$6,Design!$B$42)/1000*(1+Constants!$C$36/100*(AR32-25))-Design!$C$29)/(IF(ISBLANK(Design!$B$41),Design!$B$39,Design!$B$41)/1000000)*AI32/100/(IF(ISBLANK(Design!$B$33),Design!$B$32,Design!$B$33)*1000000)&lt;0,0,($B32-AG32*IF(ISBLANK(Design!$B$42),Constants!$C$6,Design!$B$42)/1000*(1+Constants!$C$36/100*(AR32-25))-Design!$C$29)/(IF(ISBLANK(Design!$B$41),Design!$B$39,Design!$B$41)/1000000)*AI32/100/(IF(ISBLANK(Design!$B$33),Design!$B$32,Design!$B$33)*1000000))</f>
        <v>0.19247600170423798</v>
      </c>
      <c r="AK32" s="195">
        <f>$B32*Constants!$C$21/1000+IF(ISBLANK(Design!$B$33),Design!$B$32,Design!$B$33)*1000000*Constants!$D$25/1000000000*($B32-Constants!$C$24)</f>
        <v>2.0022499999999995E-2</v>
      </c>
      <c r="AL32" s="195">
        <f>$B32*AG32*($B32/(Constants!$C$26*1000000000)*IF(ISBLANK(Design!$B$33),Design!$B$32,Design!$B$33)*1000000/2+$B32/(Constants!$C$27*1000000000)*IF(ISBLANK(Design!$B$33),Design!$B$32,Design!$B$33)*1000000/2)</f>
        <v>1.2665141666666662E-2</v>
      </c>
      <c r="AM32" s="195">
        <f t="shared" ca="1" si="3"/>
        <v>0.1076110649398236</v>
      </c>
      <c r="AN32" s="195">
        <f>Constants!$D$25/1000000000*Constants!$C$24*IF(ISBLANK(Design!$B$33),Design!$B$32,Design!$B$33)*1000000</f>
        <v>1.0624999999999999E-2</v>
      </c>
      <c r="AO32" s="195">
        <f t="shared" ca="1" si="11"/>
        <v>0.15092370660649024</v>
      </c>
      <c r="AP32" s="195">
        <f t="shared" ca="1" si="9"/>
        <v>3.3020586441688926E-2</v>
      </c>
      <c r="AQ32" s="196">
        <f ca="1">$A32+AP32*Design!$B$19</f>
        <v>86.882173427176269</v>
      </c>
      <c r="AR32" s="196">
        <f ca="1">AO32*Design!$C$12+$A32</f>
        <v>90.131406024620674</v>
      </c>
      <c r="AS32" s="196">
        <f ca="1">Constants!$D$22+Constants!$D$22*Constants!$C$23/100*(AR32-25)</f>
        <v>177.10512481969653</v>
      </c>
      <c r="AT32" s="195">
        <f ca="1">(1-Constants!$C$20/1000000000*Design!$B$33*1000000) * ($B32+AH32-AG32*AS32/1000) - (AH32+AG32*(1+($A32-25)*Constants!$C$36/100)*IF(ISBLANK(Design!$B$42),Constants!$C$6/1000,Design!$B$42/1000))</f>
        <v>5.5694191676196612</v>
      </c>
      <c r="AU32" s="119">
        <f ca="1">IF(AT32&gt;Design!$C$29,Design!$C$29,AT32)</f>
        <v>4.9990521327014221</v>
      </c>
    </row>
    <row r="33" spans="1:47" s="120" customFormat="1" ht="12.75" customHeight="1">
      <c r="A33" s="112">
        <f>Design!$D$13</f>
        <v>85</v>
      </c>
      <c r="B33" s="113">
        <f t="shared" si="0"/>
        <v>5.7649999999999988</v>
      </c>
      <c r="C33" s="114">
        <f>Design!$D$7</f>
        <v>2.5</v>
      </c>
      <c r="D33" s="114">
        <f ca="1">FORECAST(C33, OFFSET(Design!$C$15:$C$17,MATCH(C33,Design!$B$15:$B$17,1)-1,0,2), OFFSET(Design!$B$15:$B$17,MATCH(C33,Design!$B$15:$B$17,1)-1,0,2))+(M33-25)*Design!$B$18/1000</f>
        <v>0.41038740259905804</v>
      </c>
      <c r="E33" s="173">
        <f ca="1">IF(100*(Design!$C$29+D33+C33*IF(ISBLANK(Design!$B$42),Constants!$C$6,Design!$B$42)/1000*(1+Constants!$C$36/100*(N33-25)))/($B33+D33-C33*O33/1000)&gt;Design!$C$36,Design!$C$36,100*(Design!$C$29+D33+C33*IF(ISBLANK(Design!$B$42),Constants!$C$6,Design!$B$42)/1000*(1+Constants!$C$36/100*(N33-25)))/($B33+D33-C33*O33/1000))</f>
        <v>96.387500000000003</v>
      </c>
      <c r="F33" s="115">
        <f ca="1">IF(($B33-C33*IF(ISBLANK(Design!$B$42),Constants!$C$6,Design!$B$42)/1000*(1+Constants!$C$36/100*(N33-25))-Design!$C$29)/(IF(ISBLANK(Design!$B$41),Design!$B$39,Design!$B$41)/1000000)*E33/100/(IF(ISBLANK(Design!$B$33),Design!$B$32,Design!$B$33)*1000000)&lt;0, 0, ($B33-C33*IF(ISBLANK(Design!$B$42),Constants!$C$6,Design!$B$42)/1000*(1+Constants!$C$36/100*(N33-25))-Design!$C$29)/(IF(ISBLANK(Design!$B$41),Design!$B$39,Design!$B$41)/1000000)*E33/100/(IF(ISBLANK(Design!$B$33),Design!$B$32,Design!$B$33)*1000000))</f>
        <v>0.14167176361569248</v>
      </c>
      <c r="G33" s="165">
        <f>B33*Constants!$C$21/1000+IF(ISBLANK(Design!$B$33),Design!$B$32,Design!$B$33)*1000000*Constants!$D$25/1000000000*(B33-Constants!$C$24)</f>
        <v>1.8920624999999993E-2</v>
      </c>
      <c r="H33" s="165">
        <f>B33*C33*(B33/(Constants!$C$26*1000000000)*IF(ISBLANK(Design!$B$33),Design!$B$32,Design!$B$33)*1000000/2+B33/(Constants!$C$27*1000000000)*IF(ISBLANK(Design!$B$33),Design!$B$32,Design!$B$33)*1000000/2)</f>
        <v>3.5312426562499985E-2</v>
      </c>
      <c r="I33" s="165">
        <f t="shared" ca="1" si="1"/>
        <v>1.2595412329965332</v>
      </c>
      <c r="J33" s="165">
        <f>Constants!$D$25/1000000000*Constants!$C$24*IF(ISBLANK(Design!$B$33),Design!$B$32,Design!$B$33)*1000000</f>
        <v>1.0624999999999999E-2</v>
      </c>
      <c r="K33" s="165">
        <f t="shared" ca="1" si="4"/>
        <v>1.3243992845590333</v>
      </c>
      <c r="L33" s="165">
        <f t="shared" ca="1" si="5"/>
        <v>3.7063112297227391E-2</v>
      </c>
      <c r="M33" s="166">
        <f ca="1">A33+L33*Design!$B$19</f>
        <v>87.112597400941965</v>
      </c>
      <c r="N33" s="166">
        <f ca="1">K33*Design!$C$12+A33</f>
        <v>130.02957567500712</v>
      </c>
      <c r="O33" s="166">
        <f ca="1">Constants!$D$22+Constants!$D$22*Constants!$C$23/100*(N33-25)</f>
        <v>209.02366054000572</v>
      </c>
      <c r="P33" s="165">
        <f ca="1">(1-Constants!$C$20/1000000000*Design!$B$33*1000000) * ($B33+D33-C33*O33/1000) - (D33+C33*(1+($A33-25)*Constants!$C$36/100)*IF(ISBLANK(Design!$B$42),Constants!$C$6/1000,Design!$B$42/1000))</f>
        <v>4.9146524280736132</v>
      </c>
      <c r="Q33" s="171">
        <f ca="1">IF(P33&gt;Design!$C$29,Design!$C$29,P33)</f>
        <v>4.9146524280736132</v>
      </c>
      <c r="R33" s="181">
        <f>2*Design!$D$7/3</f>
        <v>1.6666666666666667</v>
      </c>
      <c r="S33" s="116">
        <f ca="1">FORECAST(R33, OFFSET(Design!$C$15:$C$17,MATCH(R33,Design!$B$15:$B$17,1)-1,0,2), OFFSET(Design!$B$15:$B$17,MATCH(R33,Design!$B$15:$B$17,1)-1,0,2))+(AB33-25)*Design!$B$18/1000</f>
        <v>0.37185512655280384</v>
      </c>
      <c r="T33" s="182">
        <f ca="1">IF(100*(Design!$C$29+S33+R33*IF(ISBLANK(Design!$B$42),Constants!$C$6,Design!$B$42)/1000*(1+Constants!$C$36/100*(AC33-25)))/($B33+S33-R33*AD33/1000)&gt;Design!$C$36,Design!$C$36,100*(Design!$C$29+S33+R33*IF(ISBLANK(Design!$B$42),Constants!$C$6,Design!$B$42)/1000*(1+Constants!$C$36/100*(AC33-25)))/($B33+S33-R33*AD33/1000))</f>
        <v>93.718698315204151</v>
      </c>
      <c r="U33" s="117">
        <f ca="1">IF(($B33-R33*IF(ISBLANK(Design!$B$42),Constants!$C$6,Design!$B$42)/1000*(1+Constants!$C$36/100*(AC33-25))-Design!$C$29)/(Design!$B$41/1000000)*T33/100/(IF(ISBLANK(IF(ISBLANK(Design!$B$41),Design!$B$39,Design!$B$41)),Design!$B$32,Design!$B$33)*1000000)&lt;0,0,($B33-R33*IF(ISBLANK(Design!$B$42),Constants!$C$6,Design!$B$42)/1000*(1+Constants!$C$36/100*(AC33-25))-Design!$C$29)/(IF(ISBLANK(Design!$B$41),Design!$B$39,Design!$B$41)/1000000)*T33/100/(IF(ISBLANK(Design!$B$33),Design!$B$32,Design!$B$33)*1000000))</f>
        <v>0.14967019083096816</v>
      </c>
      <c r="V33" s="183">
        <f>$B33*Constants!$C$21/1000+IF(ISBLANK(Design!$B$33),Design!$B$32,Design!$B$33)*1000000*Constants!$D$25/1000000000*($B33-Constants!$C$24)</f>
        <v>1.8920624999999993E-2</v>
      </c>
      <c r="W33" s="183">
        <f>$B33*R33*($B33/(Constants!$C$26*1000000000)*IF(ISBLANK(Design!$B$33),Design!$B$32,Design!$B$33)*1000000/2+$B33/(Constants!$C$27*1000000000)*IF(ISBLANK(Design!$B$33),Design!$B$32,Design!$B$33)*1000000/2)</f>
        <v>2.3541617708333323E-2</v>
      </c>
      <c r="X33" s="183">
        <f t="shared" ca="1" si="2"/>
        <v>0.48909029614467137</v>
      </c>
      <c r="Y33" s="183">
        <f>Constants!$D$25/1000000000*Constants!$C$24*IF(ISBLANK(Design!$B$33),Design!$B$32,Design!$B$33)*1000000</f>
        <v>1.0624999999999999E-2</v>
      </c>
      <c r="Z33" s="183">
        <f t="shared" ca="1" si="10"/>
        <v>0.54217753885300468</v>
      </c>
      <c r="AA33" s="183">
        <f t="shared" ca="1" si="7"/>
        <v>3.8928903881935005E-2</v>
      </c>
      <c r="AB33" s="184">
        <f ca="1">$A33+AA33*Design!$B$19</f>
        <v>87.218947521270294</v>
      </c>
      <c r="AC33" s="184">
        <f ca="1">Z33*Design!$C$12+$A33</f>
        <v>103.43403632100217</v>
      </c>
      <c r="AD33" s="184">
        <f ca="1">Constants!$D$22+Constants!$D$22*Constants!$C$23/100*(AC33-25)</f>
        <v>187.74722905680173</v>
      </c>
      <c r="AE33" s="183">
        <f ca="1">(1-Constants!$C$20/1000000000*Design!$B$33*1000000) * ($B33+S33-R33*AD33/1000) - (S33+R33*(1+($A33-25)*Constants!$C$36/100)*IF(ISBLANK(Design!$B$42),Constants!$C$6/1000,Design!$B$42/1000))</f>
        <v>5.1593113412080713</v>
      </c>
      <c r="AF33" s="117">
        <f ca="1">IF(AE33&gt;Design!$C$29,Design!$C$29,AE33)</f>
        <v>4.9990521327014221</v>
      </c>
      <c r="AG33" s="118">
        <f>Design!$D$7/3</f>
        <v>0.83333333333333337</v>
      </c>
      <c r="AH33" s="118">
        <f ca="1">FORECAST(AG33, OFFSET(Design!$C$15:$C$17,MATCH(AG33,Design!$B$15:$B$17,1)-1,0,2), OFFSET(Design!$B$15:$B$17,MATCH(AG33,Design!$B$15:$B$17,1)-1,0,2))+(AQ33-25)*Design!$B$18/1000</f>
        <v>0.30783670236184812</v>
      </c>
      <c r="AI33" s="194">
        <f ca="1">IF(100*(Design!$C$29+AH33+AG33*IF(ISBLANK(Design!$B$42),Constants!$C$6,Design!$B$42)/1000*(1+Constants!$C$36/100*(AR33-25)))/($B33+AH33-AG33*AS33/1000)&gt;Design!$C$36,Design!$C$36,100*(Design!$C$29+AH33+AG33*IF(ISBLANK(Design!$B$42),Constants!$C$6,Design!$B$42)/1000*(1+Constants!$C$36/100*(AR33-25)))/($B33+AH33-AG33*AS33/1000))</f>
        <v>90.271281484140673</v>
      </c>
      <c r="AJ33" s="119">
        <f ca="1">IF(($B33-AG33*IF(ISBLANK(Design!$B$42),Constants!$C$6,Design!$B$42)/1000*(1+Constants!$C$36/100*(AR33-25))-Design!$C$29)/(IF(ISBLANK(Design!$B$41),Design!$B$39,Design!$B$41)/1000000)*AI33/100/(IF(ISBLANK(Design!$B$33),Design!$B$32,Design!$B$33)*1000000)&lt;0,0,($B33-AG33*IF(ISBLANK(Design!$B$42),Constants!$C$6,Design!$B$42)/1000*(1+Constants!$C$36/100*(AR33-25))-Design!$C$29)/(IF(ISBLANK(Design!$B$41),Design!$B$39,Design!$B$41)/1000000)*AI33/100/(IF(ISBLANK(Design!$B$33),Design!$B$32,Design!$B$33)*1000000))</f>
        <v>0.15379560076309481</v>
      </c>
      <c r="AK33" s="195">
        <f>$B33*Constants!$C$21/1000+IF(ISBLANK(Design!$B$33),Design!$B$32,Design!$B$33)*1000000*Constants!$D$25/1000000000*($B33-Constants!$C$24)</f>
        <v>1.8920624999999993E-2</v>
      </c>
      <c r="AL33" s="195">
        <f>$B33*AG33*($B33/(Constants!$C$26*1000000000)*IF(ISBLANK(Design!$B$33),Design!$B$32,Design!$B$33)*1000000/2+$B33/(Constants!$C$27*1000000000)*IF(ISBLANK(Design!$B$33),Design!$B$32,Design!$B$33)*1000000/2)</f>
        <v>1.1770808854166662E-2</v>
      </c>
      <c r="AM33" s="195">
        <f t="shared" ca="1" si="3"/>
        <v>0.11136961486390441</v>
      </c>
      <c r="AN33" s="195">
        <f>Constants!$D$25/1000000000*Constants!$C$24*IF(ISBLANK(Design!$B$33),Design!$B$32,Design!$B$33)*1000000</f>
        <v>1.0624999999999999E-2</v>
      </c>
      <c r="AO33" s="195">
        <f t="shared" ca="1" si="11"/>
        <v>0.15268604871807107</v>
      </c>
      <c r="AP33" s="195">
        <f t="shared" ca="1" si="9"/>
        <v>2.4957138551073232E-2</v>
      </c>
      <c r="AQ33" s="196">
        <f ca="1">$A33+AP33*Design!$B$19</f>
        <v>86.42255689741117</v>
      </c>
      <c r="AR33" s="196">
        <f ca="1">AO33*Design!$C$12+$A33</f>
        <v>90.191325656414421</v>
      </c>
      <c r="AS33" s="196">
        <f ca="1">Constants!$D$22+Constants!$D$22*Constants!$C$23/100*(AR33-25)</f>
        <v>177.15306052513154</v>
      </c>
      <c r="AT33" s="195">
        <f ca="1">(1-Constants!$C$20/1000000000*Design!$B$33*1000000) * ($B33+AH33-AG33*AS33/1000) - (AH33+AG33*(1+($A33-25)*Constants!$C$36/100)*IF(ISBLANK(Design!$B$42),Constants!$C$6/1000,Design!$B$42/1000))</f>
        <v>5.3621309356157925</v>
      </c>
      <c r="AU33" s="119">
        <f ca="1">IF(AT33&gt;Design!$C$29,Design!$C$29,AT33)</f>
        <v>4.9990521327014221</v>
      </c>
    </row>
    <row r="34" spans="1:47" s="120" customFormat="1" ht="12.75" customHeight="1">
      <c r="A34" s="112">
        <f>Design!$D$13</f>
        <v>85</v>
      </c>
      <c r="B34" s="113">
        <f t="shared" si="0"/>
        <v>5.5499999999999989</v>
      </c>
      <c r="C34" s="114">
        <f>Design!$D$7</f>
        <v>2.5</v>
      </c>
      <c r="D34" s="114">
        <f ca="1">FORECAST(C34, OFFSET(Design!$C$15:$C$17,MATCH(C34,Design!$B$15:$B$17,1)-1,0,2), OFFSET(Design!$B$15:$B$17,MATCH(C34,Design!$B$15:$B$17,1)-1,0,2))+(M34-25)*Design!$B$18/1000</f>
        <v>0.41038740259905804</v>
      </c>
      <c r="E34" s="173">
        <f ca="1">IF(100*(Design!$C$29+D34+C34*IF(ISBLANK(Design!$B$42),Constants!$C$6,Design!$B$42)/1000*(1+Constants!$C$36/100*(N34-25)))/($B34+D34-C34*O34/1000)&gt;Design!$C$36,Design!$C$36,100*(Design!$C$29+D34+C34*IF(ISBLANK(Design!$B$42),Constants!$C$6,Design!$B$42)/1000*(1+Constants!$C$36/100*(N34-25)))/($B34+D34-C34*O34/1000))</f>
        <v>96.387500000000003</v>
      </c>
      <c r="F34" s="115">
        <f ca="1">IF(($B34-C34*IF(ISBLANK(Design!$B$42),Constants!$C$6,Design!$B$42)/1000*(1+Constants!$C$36/100*(N34-25))-Design!$C$29)/(IF(ISBLANK(Design!$B$41),Design!$B$39,Design!$B$41)/1000000)*E34/100/(IF(ISBLANK(Design!$B$33),Design!$B$32,Design!$B$33)*1000000)&lt;0, 0, ($B34-C34*IF(ISBLANK(Design!$B$42),Constants!$C$6,Design!$B$42)/1000*(1+Constants!$C$36/100*(N34-25))-Design!$C$29)/(IF(ISBLANK(Design!$B$41),Design!$B$39,Design!$B$41)/1000000)*E34/100/(IF(ISBLANK(Design!$B$33),Design!$B$32,Design!$B$33)*1000000))</f>
        <v>9.2925085997070986E-2</v>
      </c>
      <c r="G34" s="165">
        <f>B34*Constants!$C$21/1000+IF(ISBLANK(Design!$B$33),Design!$B$32,Design!$B$33)*1000000*Constants!$D$25/1000000000*(B34-Constants!$C$24)</f>
        <v>1.7818749999999994E-2</v>
      </c>
      <c r="H34" s="165">
        <f>B34*C34*(B34/(Constants!$C$26*1000000000)*IF(ISBLANK(Design!$B$33),Design!$B$32,Design!$B$33)*1000000/2+B34/(Constants!$C$27*1000000000)*IF(ISBLANK(Design!$B$33),Design!$B$32,Design!$B$33)*1000000/2)</f>
        <v>3.2727656249999987E-2</v>
      </c>
      <c r="I34" s="165">
        <f t="shared" ca="1" si="1"/>
        <v>1.2585890290473327</v>
      </c>
      <c r="J34" s="165">
        <f>Constants!$D$25/1000000000*Constants!$C$24*IF(ISBLANK(Design!$B$33),Design!$B$32,Design!$B$33)*1000000</f>
        <v>1.0624999999999999E-2</v>
      </c>
      <c r="K34" s="165">
        <f t="shared" ca="1" si="4"/>
        <v>1.3197604352973329</v>
      </c>
      <c r="L34" s="165">
        <f t="shared" ca="1" si="5"/>
        <v>3.7063112297227391E-2</v>
      </c>
      <c r="M34" s="166">
        <f ca="1">A34+L34*Design!$B$19</f>
        <v>87.112597400941965</v>
      </c>
      <c r="N34" s="166">
        <f ca="1">K34*Design!$C$12+A34</f>
        <v>129.8718548001093</v>
      </c>
      <c r="O34" s="166">
        <f ca="1">Constants!$D$22+Constants!$D$22*Constants!$C$23/100*(N34-25)</f>
        <v>208.89748384008743</v>
      </c>
      <c r="P34" s="165">
        <f ca="1">(1-Constants!$C$20/1000000000*Design!$B$33*1000000) * ($B34+D34-C34*O34/1000) - (D34+C34*(1+($A34-25)*Constants!$C$36/100)*IF(ISBLANK(Design!$B$42),Constants!$C$6/1000,Design!$B$42/1000))</f>
        <v>4.7077233494901982</v>
      </c>
      <c r="Q34" s="171">
        <f ca="1">IF(P34&gt;Design!$C$29,Design!$C$29,P34)</f>
        <v>4.7077233494901982</v>
      </c>
      <c r="R34" s="181">
        <f>2*Design!$D$7/3</f>
        <v>1.6666666666666667</v>
      </c>
      <c r="S34" s="116">
        <f ca="1">FORECAST(R34, OFFSET(Design!$C$15:$C$17,MATCH(R34,Design!$B$15:$B$17,1)-1,0,2), OFFSET(Design!$B$15:$B$17,MATCH(R34,Design!$B$15:$B$17,1)-1,0,2))+(AB34-25)*Design!$B$18/1000</f>
        <v>0.37279468929973358</v>
      </c>
      <c r="T34" s="182">
        <f ca="1">IF(100*(Design!$C$29+S34+R34*IF(ISBLANK(Design!$B$42),Constants!$C$6,Design!$B$42)/1000*(1+Constants!$C$36/100*(AC34-25)))/($B34+S34-R34*AD34/1000)&gt;Design!$C$36,Design!$C$36,100*(Design!$C$29+S34+R34*IF(ISBLANK(Design!$B$42),Constants!$C$6,Design!$B$42)/1000*(1+Constants!$C$36/100*(AC34-25)))/($B34+S34-R34*AD34/1000))</f>
        <v>96.387500000000003</v>
      </c>
      <c r="U34" s="117">
        <f ca="1">IF(($B34-R34*IF(ISBLANK(Design!$B$42),Constants!$C$6,Design!$B$42)/1000*(1+Constants!$C$36/100*(AC34-25))-Design!$C$29)/(Design!$B$41/1000000)*T34/100/(IF(ISBLANK(IF(ISBLANK(Design!$B$41),Design!$B$39,Design!$B$41)),Design!$B$32,Design!$B$33)*1000000)&lt;0,0,($B34-R34*IF(ISBLANK(Design!$B$42),Constants!$C$6,Design!$B$42)/1000*(1+Constants!$C$36/100*(AC34-25))-Design!$C$29)/(IF(ISBLANK(Design!$B$41),Design!$B$39,Design!$B$41)/1000000)*T34/100/(IF(ISBLANK(Design!$B$33),Design!$B$32,Design!$B$33)*1000000))</f>
        <v>0.10514775243134353</v>
      </c>
      <c r="V34" s="183">
        <f>$B34*Constants!$C$21/1000+IF(ISBLANK(Design!$B$33),Design!$B$32,Design!$B$33)*1000000*Constants!$D$25/1000000000*($B34-Constants!$C$24)</f>
        <v>1.7818749999999994E-2</v>
      </c>
      <c r="W34" s="183">
        <f>$B34*R34*($B34/(Constants!$C$26*1000000000)*IF(ISBLANK(Design!$B$33),Design!$B$32,Design!$B$33)*1000000/2+$B34/(Constants!$C$27*1000000000)*IF(ISBLANK(Design!$B$33),Design!$B$32,Design!$B$33)*1000000/2)</f>
        <v>2.1818437499999992E-2</v>
      </c>
      <c r="X34" s="183">
        <f t="shared" ca="1" si="2"/>
        <v>0.50370583756633835</v>
      </c>
      <c r="Y34" s="183">
        <f>Constants!$D$25/1000000000*Constants!$C$24*IF(ISBLANK(Design!$B$33),Design!$B$32,Design!$B$33)*1000000</f>
        <v>1.0624999999999999E-2</v>
      </c>
      <c r="Z34" s="183">
        <f t="shared" ca="1" si="10"/>
        <v>0.55396802506633835</v>
      </c>
      <c r="AA34" s="183">
        <f t="shared" ca="1" si="7"/>
        <v>2.2445346918254772E-2</v>
      </c>
      <c r="AB34" s="184">
        <f ca="1">$A34+AA34*Design!$B$19</f>
        <v>86.279384774340528</v>
      </c>
      <c r="AC34" s="184">
        <f ca="1">Z34*Design!$C$12+$A34</f>
        <v>103.8349128522555</v>
      </c>
      <c r="AD34" s="184">
        <f ca="1">Constants!$D$22+Constants!$D$22*Constants!$C$23/100*(AC34-25)</f>
        <v>188.06793028180439</v>
      </c>
      <c r="AE34" s="183">
        <f ca="1">(1-Constants!$C$20/1000000000*Design!$B$33*1000000) * ($B34+S34-R34*AD34/1000) - (S34+R34*(1+($A34-25)*Constants!$C$36/100)*IF(ISBLANK(Design!$B$42),Constants!$C$6/1000,Design!$B$42/1000))</f>
        <v>4.951529081348423</v>
      </c>
      <c r="AF34" s="117">
        <f ca="1">IF(AE34&gt;Design!$C$29,Design!$C$29,AE34)</f>
        <v>4.951529081348423</v>
      </c>
      <c r="AG34" s="118">
        <f>Design!$D$7/3</f>
        <v>0.83333333333333337</v>
      </c>
      <c r="AH34" s="118">
        <f ca="1">FORECAST(AG34, OFFSET(Design!$C$15:$C$17,MATCH(AG34,Design!$B$15:$B$17,1)-1,0,2), OFFSET(Design!$B$15:$B$17,MATCH(AG34,Design!$B$15:$B$17,1)-1,0,2))+(AQ34-25)*Design!$B$18/1000</f>
        <v>0.30833242452126453</v>
      </c>
      <c r="AI34" s="194">
        <f ca="1">IF(100*(Design!$C$29+AH34+AG34*IF(ISBLANK(Design!$B$42),Constants!$C$6,Design!$B$42)/1000*(1+Constants!$C$36/100*(AR34-25)))/($B34+AH34-AG34*AS34/1000)&gt;Design!$C$36,Design!$C$36,100*(Design!$C$29+AH34+AG34*IF(ISBLANK(Design!$B$42),Constants!$C$6,Design!$B$42)/1000*(1+Constants!$C$36/100*(AR34-25)))/($B34+AH34-AG34*AS34/1000))</f>
        <v>93.671664501756695</v>
      </c>
      <c r="AJ34" s="119">
        <f ca="1">IF(($B34-AG34*IF(ISBLANK(Design!$B$42),Constants!$C$6,Design!$B$42)/1000*(1+Constants!$C$36/100*(AR34-25))-Design!$C$29)/(IF(ISBLANK(Design!$B$41),Design!$B$39,Design!$B$41)/1000000)*AI34/100/(IF(ISBLANK(Design!$B$33),Design!$B$32,Design!$B$33)*1000000)&lt;0,0,($B34-AG34*IF(ISBLANK(Design!$B$42),Constants!$C$6,Design!$B$42)/1000*(1+Constants!$C$36/100*(AR34-25))-Design!$C$29)/(IF(ISBLANK(Design!$B$41),Design!$B$39,Design!$B$41)/1000000)*AI34/100/(IF(ISBLANK(Design!$B$33),Design!$B$32,Design!$B$33)*1000000))</f>
        <v>0.11219992964555645</v>
      </c>
      <c r="AK34" s="195">
        <f>$B34*Constants!$C$21/1000+IF(ISBLANK(Design!$B$33),Design!$B$32,Design!$B$33)*1000000*Constants!$D$25/1000000000*($B34-Constants!$C$24)</f>
        <v>1.7818749999999994E-2</v>
      </c>
      <c r="AL34" s="195">
        <f>$B34*AG34*($B34/(Constants!$C$26*1000000000)*IF(ISBLANK(Design!$B$33),Design!$B$32,Design!$B$33)*1000000/2+$B34/(Constants!$C$27*1000000000)*IF(ISBLANK(Design!$B$33),Design!$B$32,Design!$B$33)*1000000/2)</f>
        <v>1.0909218749999996E-2</v>
      </c>
      <c r="AM34" s="195">
        <f t="shared" ca="1" si="3"/>
        <v>0.11544923677927557</v>
      </c>
      <c r="AN34" s="195">
        <f>Constants!$D$25/1000000000*Constants!$C$24*IF(ISBLANK(Design!$B$33),Design!$B$32,Design!$B$33)*1000000</f>
        <v>1.0624999999999999E-2</v>
      </c>
      <c r="AO34" s="195">
        <f t="shared" ca="1" si="11"/>
        <v>0.15480220552927557</v>
      </c>
      <c r="AP34" s="195">
        <f t="shared" ca="1" si="9"/>
        <v>1.6260258561311202E-2</v>
      </c>
      <c r="AQ34" s="196">
        <f ca="1">$A34+AP34*Design!$B$19</f>
        <v>85.926834737994739</v>
      </c>
      <c r="AR34" s="196">
        <f ca="1">AO34*Design!$C$12+$A34</f>
        <v>90.263274987995374</v>
      </c>
      <c r="AS34" s="196">
        <f ca="1">Constants!$D$22+Constants!$D$22*Constants!$C$23/100*(AR34-25)</f>
        <v>177.21061999039631</v>
      </c>
      <c r="AT34" s="195">
        <f ca="1">(1-Constants!$C$20/1000000000*Design!$B$33*1000000) * ($B34+AH34-AG34*AS34/1000) - (AH34+AG34*(1+($A34-25)*Constants!$C$36/100)*IF(ISBLANK(Design!$B$42),Constants!$C$6/1000,Design!$B$42/1000))</f>
        <v>5.1548336692114658</v>
      </c>
      <c r="AU34" s="119">
        <f ca="1">IF(AT34&gt;Design!$C$29,Design!$C$29,AT34)</f>
        <v>4.9990521327014221</v>
      </c>
    </row>
    <row r="35" spans="1:47" s="120" customFormat="1" ht="12.75" customHeight="1">
      <c r="A35" s="112">
        <f>Design!$D$13</f>
        <v>85</v>
      </c>
      <c r="B35" s="113">
        <f t="shared" si="0"/>
        <v>5.3349999999999991</v>
      </c>
      <c r="C35" s="114">
        <f>Design!$D$7</f>
        <v>2.5</v>
      </c>
      <c r="D35" s="114">
        <f ca="1">FORECAST(C35, OFFSET(Design!$C$15:$C$17,MATCH(C35,Design!$B$15:$B$17,1)-1,0,2), OFFSET(Design!$B$15:$B$17,MATCH(C35,Design!$B$15:$B$17,1)-1,0,2))+(M35-25)*Design!$B$18/1000</f>
        <v>0.41038740259905804</v>
      </c>
      <c r="E35" s="173">
        <f ca="1">IF(100*(Design!$C$29+D35+C35*IF(ISBLANK(Design!$B$42),Constants!$C$6,Design!$B$42)/1000*(1+Constants!$C$36/100*(N35-25)))/($B35+D35-C35*O35/1000)&gt;Design!$C$36,Design!$C$36,100*(Design!$C$29+D35+C35*IF(ISBLANK(Design!$B$42),Constants!$C$6,Design!$B$42)/1000*(1+Constants!$C$36/100*(N35-25)))/($B35+D35-C35*O35/1000))</f>
        <v>96.387500000000003</v>
      </c>
      <c r="F35" s="115">
        <f ca="1">IF(($B35-C35*IF(ISBLANK(Design!$B$42),Constants!$C$6,Design!$B$42)/1000*(1+Constants!$C$36/100*(N35-25))-Design!$C$29)/(IF(ISBLANK(Design!$B$41),Design!$B$39,Design!$B$41)/1000000)*E35/100/(IF(ISBLANK(Design!$B$33),Design!$B$32,Design!$B$33)*1000000)&lt;0, 0, ($B35-C35*IF(ISBLANK(Design!$B$42),Constants!$C$6,Design!$B$42)/1000*(1+Constants!$C$36/100*(N35-25))-Design!$C$29)/(IF(ISBLANK(Design!$B$41),Design!$B$39,Design!$B$41)/1000000)*E35/100/(IF(ISBLANK(Design!$B$33),Design!$B$32,Design!$B$33)*1000000))</f>
        <v>4.417776269302319E-2</v>
      </c>
      <c r="G35" s="165">
        <f>B35*Constants!$C$21/1000+IF(ISBLANK(Design!$B$33),Design!$B$32,Design!$B$33)*1000000*Constants!$D$25/1000000000*(B35-Constants!$C$24)</f>
        <v>1.6716874999999992E-2</v>
      </c>
      <c r="H35" s="165">
        <f>B35*C35*(B35/(Constants!$C$26*1000000000)*IF(ISBLANK(Design!$B$33),Design!$B$32,Design!$B$33)*1000000/2+B35/(Constants!$C$27*1000000000)*IF(ISBLANK(Design!$B$33),Design!$B$32,Design!$B$33)*1000000/2)</f>
        <v>3.0241114062499994E-2</v>
      </c>
      <c r="I35" s="165">
        <f t="shared" ca="1" si="1"/>
        <v>1.2577516647285165</v>
      </c>
      <c r="J35" s="165">
        <f>Constants!$D$25/1000000000*Constants!$C$24*IF(ISBLANK(Design!$B$33),Design!$B$32,Design!$B$33)*1000000</f>
        <v>1.0624999999999999E-2</v>
      </c>
      <c r="K35" s="165">
        <f t="shared" ca="1" si="4"/>
        <v>1.3153346537910167</v>
      </c>
      <c r="L35" s="165">
        <f t="shared" ca="1" si="5"/>
        <v>3.7063112297227391E-2</v>
      </c>
      <c r="M35" s="166">
        <f ca="1">A35+L35*Design!$B$19</f>
        <v>87.112597400941965</v>
      </c>
      <c r="N35" s="166">
        <f ca="1">K35*Design!$C$12+A35</f>
        <v>129.72137822889457</v>
      </c>
      <c r="O35" s="166">
        <f ca="1">Constants!$D$22+Constants!$D$22*Constants!$C$23/100*(N35-25)</f>
        <v>208.77710258311566</v>
      </c>
      <c r="P35" s="165">
        <f ca="1">(1-Constants!$C$20/1000000000*Design!$B$33*1000000) * ($B35+D35-C35*O35/1000) - (D35+C35*(1+($A35-25)*Constants!$C$36/100)*IF(ISBLANK(Design!$B$42),Constants!$C$6/1000,Design!$B$42/1000))</f>
        <v>4.5007803057003573</v>
      </c>
      <c r="Q35" s="171">
        <f ca="1">IF(P35&gt;Design!$C$29,Design!$C$29,P35)</f>
        <v>4.5007803057003573</v>
      </c>
      <c r="R35" s="181">
        <f>2*Design!$D$7/3</f>
        <v>1.6666666666666667</v>
      </c>
      <c r="S35" s="116">
        <f ca="1">FORECAST(R35, OFFSET(Design!$C$15:$C$17,MATCH(R35,Design!$B$15:$B$17,1)-1,0,2), OFFSET(Design!$B$15:$B$17,MATCH(R35,Design!$B$15:$B$17,1)-1,0,2))+(AB35-25)*Design!$B$18/1000</f>
        <v>0.37279468929973358</v>
      </c>
      <c r="T35" s="182">
        <f ca="1">IF(100*(Design!$C$29+S35+R35*IF(ISBLANK(Design!$B$42),Constants!$C$6,Design!$B$42)/1000*(1+Constants!$C$36/100*(AC35-25)))/($B35+S35-R35*AD35/1000)&gt;Design!$C$36,Design!$C$36,100*(Design!$C$29+S35+R35*IF(ISBLANK(Design!$B$42),Constants!$C$6,Design!$B$42)/1000*(1+Constants!$C$36/100*(AC35-25)))/($B35+S35-R35*AD35/1000))</f>
        <v>96.387500000000003</v>
      </c>
      <c r="U35" s="117">
        <f ca="1">IF(($B35-R35*IF(ISBLANK(Design!$B$42),Constants!$C$6,Design!$B$42)/1000*(1+Constants!$C$36/100*(AC35-25))-Design!$C$29)/(Design!$B$41/1000000)*T35/100/(IF(ISBLANK(IF(ISBLANK(Design!$B$41),Design!$B$39,Design!$B$41)),Design!$B$32,Design!$B$33)*1000000)&lt;0,0,($B35-R35*IF(ISBLANK(Design!$B$42),Constants!$C$6,Design!$B$42)/1000*(1+Constants!$C$36/100*(AC35-25))-Design!$C$29)/(IF(ISBLANK(Design!$B$41),Design!$B$39,Design!$B$41)/1000000)*T35/100/(IF(ISBLANK(Design!$B$33),Design!$B$32,Design!$B$33)*1000000))</f>
        <v>5.6393289437957593E-2</v>
      </c>
      <c r="V35" s="183">
        <f>$B35*Constants!$C$21/1000+IF(ISBLANK(Design!$B$33),Design!$B$32,Design!$B$33)*1000000*Constants!$D$25/1000000000*($B35-Constants!$C$24)</f>
        <v>1.6716874999999992E-2</v>
      </c>
      <c r="W35" s="183">
        <f>$B35*R35*($B35/(Constants!$C$26*1000000000)*IF(ISBLANK(Design!$B$33),Design!$B$32,Design!$B$33)*1000000/2+$B35/(Constants!$C$27*1000000000)*IF(ISBLANK(Design!$B$33),Design!$B$32,Design!$B$33)*1000000/2)</f>
        <v>2.0160742708333328E-2</v>
      </c>
      <c r="X35" s="183">
        <f t="shared" ca="1" si="2"/>
        <v>0.50336074140956799</v>
      </c>
      <c r="Y35" s="183">
        <f>Constants!$D$25/1000000000*Constants!$C$24*IF(ISBLANK(Design!$B$33),Design!$B$32,Design!$B$33)*1000000</f>
        <v>1.0624999999999999E-2</v>
      </c>
      <c r="Z35" s="183">
        <f t="shared" ca="1" si="10"/>
        <v>0.5508633591179013</v>
      </c>
      <c r="AA35" s="183">
        <f t="shared" ca="1" si="7"/>
        <v>2.2445346918254772E-2</v>
      </c>
      <c r="AB35" s="184">
        <f ca="1">$A35+AA35*Design!$B$19</f>
        <v>86.279384774340528</v>
      </c>
      <c r="AC35" s="184">
        <f ca="1">Z35*Design!$C$12+$A35</f>
        <v>103.72935421000864</v>
      </c>
      <c r="AD35" s="184">
        <f ca="1">Constants!$D$22+Constants!$D$22*Constants!$C$23/100*(AC35-25)</f>
        <v>187.98348336800692</v>
      </c>
      <c r="AE35" s="183">
        <f ca="1">(1-Constants!$C$20/1000000000*Design!$B$33*1000000) * ($B35+S35-R35*AD35/1000) - (S35+R35*(1+($A35-25)*Constants!$C$36/100)*IF(ISBLANK(Design!$B$42),Constants!$C$6/1000,Design!$B$42/1000))</f>
        <v>4.7444316167968177</v>
      </c>
      <c r="AF35" s="117">
        <f ca="1">IF(AE35&gt;Design!$C$29,Design!$C$29,AE35)</f>
        <v>4.7444316167968177</v>
      </c>
      <c r="AG35" s="118">
        <f>Design!$D$7/3</f>
        <v>0.83333333333333337</v>
      </c>
      <c r="AH35" s="118">
        <f ca="1">FORECAST(AG35, OFFSET(Design!$C$15:$C$17,MATCH(AG35,Design!$B$15:$B$17,1)-1,0,2), OFFSET(Design!$B$15:$B$17,MATCH(AG35,Design!$B$15:$B$17,1)-1,0,2))+(AQ35-25)*Design!$B$18/1000</f>
        <v>0.30872949873502364</v>
      </c>
      <c r="AI35" s="194">
        <f ca="1">IF(100*(Design!$C$29+AH35+AG35*IF(ISBLANK(Design!$B$42),Constants!$C$6,Design!$B$42)/1000*(1+Constants!$C$36/100*(AR35-25)))/($B35+AH35-AG35*AS35/1000)&gt;Design!$C$36,Design!$C$36,100*(Design!$C$29+AH35+AG35*IF(ISBLANK(Design!$B$42),Constants!$C$6,Design!$B$42)/1000*(1+Constants!$C$36/100*(AR35-25)))/($B35+AH35-AG35*AS35/1000))</f>
        <v>96.387500000000003</v>
      </c>
      <c r="AJ35" s="119">
        <f ca="1">IF(($B35-AG35*IF(ISBLANK(Design!$B$42),Constants!$C$6,Design!$B$42)/1000*(1+Constants!$C$36/100*(AR35-25))-Design!$C$29)/(IF(ISBLANK(Design!$B$41),Design!$B$39,Design!$B$41)/1000000)*AI35/100/(IF(ISBLANK(Design!$B$33),Design!$B$32,Design!$B$33)*1000000)&lt;0,0,($B35-AG35*IF(ISBLANK(Design!$B$42),Constants!$C$6,Design!$B$42)/1000*(1+Constants!$C$36/100*(AR35-25))-Design!$C$29)/(IF(ISBLANK(Design!$B$41),Design!$B$39,Design!$B$41)/1000000)*AI35/100/(IF(ISBLANK(Design!$B$33),Design!$B$32,Design!$B$33)*1000000))</f>
        <v>6.6690884200243258E-2</v>
      </c>
      <c r="AK35" s="195">
        <f>$B35*Constants!$C$21/1000+IF(ISBLANK(Design!$B$33),Design!$B$32,Design!$B$33)*1000000*Constants!$D$25/1000000000*($B35-Constants!$C$24)</f>
        <v>1.6716874999999992E-2</v>
      </c>
      <c r="AL35" s="195">
        <f>$B35*AG35*($B35/(Constants!$C$26*1000000000)*IF(ISBLANK(Design!$B$33),Design!$B$32,Design!$B$33)*1000000/2+$B35/(Constants!$C$27*1000000000)*IF(ISBLANK(Design!$B$33),Design!$B$32,Design!$B$33)*1000000/2)</f>
        <v>1.0080371354166664E-2</v>
      </c>
      <c r="AM35" s="195">
        <f t="shared" ca="1" si="3"/>
        <v>0.11870472292454451</v>
      </c>
      <c r="AN35" s="195">
        <f>Constants!$D$25/1000000000*Constants!$C$24*IF(ISBLANK(Design!$B$33),Design!$B$32,Design!$B$33)*1000000</f>
        <v>1.0624999999999999E-2</v>
      </c>
      <c r="AO35" s="195">
        <f t="shared" ca="1" si="11"/>
        <v>0.15612696927871117</v>
      </c>
      <c r="AP35" s="195">
        <f t="shared" ca="1" si="9"/>
        <v>9.2940442848355974E-3</v>
      </c>
      <c r="AQ35" s="196">
        <f ca="1">$A35+AP35*Design!$B$19</f>
        <v>85.529760524235627</v>
      </c>
      <c r="AR35" s="196">
        <f ca="1">AO35*Design!$C$12+$A35</f>
        <v>90.308316955476187</v>
      </c>
      <c r="AS35" s="196">
        <f ca="1">Constants!$D$22+Constants!$D$22*Constants!$C$23/100*(AR35-25)</f>
        <v>177.24665356438095</v>
      </c>
      <c r="AT35" s="195">
        <f ca="1">(1-Constants!$C$20/1000000000*Design!$B$33*1000000) * ($B35+AH35-AG35*AS35/1000) - (AH35+AG35*(1+($A35-25)*Constants!$C$36/100)*IF(ISBLANK(Design!$B$42),Constants!$C$6/1000,Design!$B$42/1000))</f>
        <v>4.9475572566878911</v>
      </c>
      <c r="AU35" s="119">
        <f ca="1">IF(AT35&gt;Design!$C$29,Design!$C$29,AT35)</f>
        <v>4.9475572566878911</v>
      </c>
    </row>
    <row r="36" spans="1:47" s="120" customFormat="1" ht="12.75" customHeight="1">
      <c r="A36" s="112">
        <f>Design!$D$13</f>
        <v>85</v>
      </c>
      <c r="B36" s="113">
        <f t="shared" si="0"/>
        <v>5.1199999999999992</v>
      </c>
      <c r="C36" s="114">
        <f>Design!$D$7</f>
        <v>2.5</v>
      </c>
      <c r="D36" s="114">
        <f ca="1">FORECAST(C36, OFFSET(Design!$C$15:$C$17,MATCH(C36,Design!$B$15:$B$17,1)-1,0,2), OFFSET(Design!$B$15:$B$17,MATCH(C36,Design!$B$15:$B$17,1)-1,0,2))+(M36-25)*Design!$B$18/1000</f>
        <v>0.41038740259905804</v>
      </c>
      <c r="E36" s="173">
        <f ca="1">IF(100*(Design!$C$29+D36+C36*IF(ISBLANK(Design!$B$42),Constants!$C$6,Design!$B$42)/1000*(1+Constants!$C$36/100*(N36-25)))/($B36+D36-C36*O36/1000)&gt;Design!$C$36,Design!$C$36,100*(Design!$C$29+D36+C36*IF(ISBLANK(Design!$B$42),Constants!$C$6,Design!$B$42)/1000*(1+Constants!$C$36/100*(N36-25)))/($B36+D36-C36*O36/1000))</f>
        <v>96.387500000000003</v>
      </c>
      <c r="F36" s="115">
        <f ca="1">IF(($B36-C36*IF(ISBLANK(Design!$B$42),Constants!$C$6,Design!$B$42)/1000*(1+Constants!$C$36/100*(N36-25))-Design!$C$29)/(IF(ISBLANK(Design!$B$41),Design!$B$39,Design!$B$41)/1000000)*E36/100/(IF(ISBLANK(Design!$B$33),Design!$B$32,Design!$B$33)*1000000)&lt;0, 0, ($B36-C36*IF(ISBLANK(Design!$B$42),Constants!$C$6,Design!$B$42)/1000*(1+Constants!$C$36/100*(N36-25))-Design!$C$29)/(IF(ISBLANK(Design!$B$41),Design!$B$39,Design!$B$41)/1000000)*E36/100/(IF(ISBLANK(Design!$B$33),Design!$B$32,Design!$B$33)*1000000))</f>
        <v>0</v>
      </c>
      <c r="G36" s="165">
        <f>B36*Constants!$C$21/1000+IF(ISBLANK(Design!$B$33),Design!$B$32,Design!$B$33)*1000000*Constants!$D$25/1000000000*(B36-Constants!$C$24)</f>
        <v>1.5614999999999995E-2</v>
      </c>
      <c r="H36" s="165">
        <f>B36*C36*(B36/(Constants!$C$26*1000000000)*IF(ISBLANK(Design!$B$33),Design!$B$32,Design!$B$33)*1000000/2+B36/(Constants!$C$27*1000000000)*IF(ISBLANK(Design!$B$33),Design!$B$32,Design!$B$33)*1000000/2)</f>
        <v>2.7852799999999987E-2</v>
      </c>
      <c r="I36" s="165">
        <f t="shared" ca="1" si="1"/>
        <v>1.25702854911416</v>
      </c>
      <c r="J36" s="165">
        <f>Constants!$D$25/1000000000*Constants!$C$24*IF(ISBLANK(Design!$B$33),Design!$B$32,Design!$B$33)*1000000</f>
        <v>1.0624999999999999E-2</v>
      </c>
      <c r="K36" s="165">
        <f t="shared" ca="1" si="4"/>
        <v>1.31112134911416</v>
      </c>
      <c r="L36" s="165">
        <f t="shared" ca="1" si="5"/>
        <v>3.7063112297227391E-2</v>
      </c>
      <c r="M36" s="166">
        <f ca="1">A36+L36*Design!$B$19</f>
        <v>87.112597400941965</v>
      </c>
      <c r="N36" s="166">
        <f ca="1">K36*Design!$C$12+A36</f>
        <v>129.57812586988143</v>
      </c>
      <c r="O36" s="166">
        <f ca="1">Constants!$D$22+Constants!$D$22*Constants!$C$23/100*(N36-25)</f>
        <v>208.66250069590515</v>
      </c>
      <c r="P36" s="165">
        <f ca="1">(1-Constants!$C$20/1000000000*Design!$B$33*1000000) * ($B36+D36-C36*O36/1000) - (D36+C36*(1+($A36-25)*Constants!$C$36/100)*IF(ISBLANK(Design!$B$42),Constants!$C$6/1000,Design!$B$42/1000))</f>
        <v>4.2938233354354454</v>
      </c>
      <c r="Q36" s="171">
        <f ca="1">IF(P36&gt;Design!$C$29,Design!$C$29,P36)</f>
        <v>4.2938233354354454</v>
      </c>
      <c r="R36" s="181">
        <f>2*Design!$D$7/3</f>
        <v>1.6666666666666667</v>
      </c>
      <c r="S36" s="116">
        <f ca="1">FORECAST(R36, OFFSET(Design!$C$15:$C$17,MATCH(R36,Design!$B$15:$B$17,1)-1,0,2), OFFSET(Design!$B$15:$B$17,MATCH(R36,Design!$B$15:$B$17,1)-1,0,2))+(AB36-25)*Design!$B$18/1000</f>
        <v>0.37279468929973358</v>
      </c>
      <c r="T36" s="182">
        <f ca="1">IF(100*(Design!$C$29+S36+R36*IF(ISBLANK(Design!$B$42),Constants!$C$6,Design!$B$42)/1000*(1+Constants!$C$36/100*(AC36-25)))/($B36+S36-R36*AD36/1000)&gt;Design!$C$36,Design!$C$36,100*(Design!$C$29+S36+R36*IF(ISBLANK(Design!$B$42),Constants!$C$6,Design!$B$42)/1000*(1+Constants!$C$36/100*(AC36-25)))/($B36+S36-R36*AD36/1000))</f>
        <v>96.387500000000003</v>
      </c>
      <c r="U36" s="117">
        <f ca="1">IF(($B36-R36*IF(ISBLANK(Design!$B$42),Constants!$C$6,Design!$B$42)/1000*(1+Constants!$C$36/100*(AC36-25))-Design!$C$29)/(Design!$B$41/1000000)*T36/100/(IF(ISBLANK(IF(ISBLANK(Design!$B$41),Design!$B$39,Design!$B$41)),Design!$B$32,Design!$B$33)*1000000)&lt;0,0,($B36-R36*IF(ISBLANK(Design!$B$42),Constants!$C$6,Design!$B$42)/1000*(1+Constants!$C$36/100*(AC36-25))-Design!$C$29)/(IF(ISBLANK(Design!$B$41),Design!$B$39,Design!$B$41)/1000000)*T36/100/(IF(ISBLANK(Design!$B$33),Design!$B$32,Design!$B$33)*1000000))</f>
        <v>7.6385271800118665E-3</v>
      </c>
      <c r="V36" s="183">
        <f>$B36*Constants!$C$21/1000+IF(ISBLANK(Design!$B$33),Design!$B$32,Design!$B$33)*1000000*Constants!$D$25/1000000000*($B36-Constants!$C$24)</f>
        <v>1.5614999999999995E-2</v>
      </c>
      <c r="W36" s="183">
        <f>$B36*R36*($B36/(Constants!$C$26*1000000000)*IF(ISBLANK(Design!$B$33),Design!$B$32,Design!$B$33)*1000000/2+$B36/(Constants!$C$27*1000000000)*IF(ISBLANK(Design!$B$33),Design!$B$32,Design!$B$33)*1000000/2)</f>
        <v>1.8568533333333328E-2</v>
      </c>
      <c r="X36" s="183">
        <f t="shared" ca="1" si="2"/>
        <v>0.50309828992873817</v>
      </c>
      <c r="Y36" s="183">
        <f>Constants!$D$25/1000000000*Constants!$C$24*IF(ISBLANK(Design!$B$33),Design!$B$32,Design!$B$33)*1000000</f>
        <v>1.0624999999999999E-2</v>
      </c>
      <c r="Z36" s="183">
        <f t="shared" ca="1" si="10"/>
        <v>0.54790682326207152</v>
      </c>
      <c r="AA36" s="183">
        <f t="shared" ca="1" si="7"/>
        <v>2.2445346918254772E-2</v>
      </c>
      <c r="AB36" s="184">
        <f ca="1">$A36+AA36*Design!$B$19</f>
        <v>86.279384774340528</v>
      </c>
      <c r="AC36" s="184">
        <f ca="1">Z36*Design!$C$12+$A36</f>
        <v>103.62883199091043</v>
      </c>
      <c r="AD36" s="184">
        <f ca="1">Constants!$D$22+Constants!$D$22*Constants!$C$23/100*(AC36-25)</f>
        <v>187.90306559272835</v>
      </c>
      <c r="AE36" s="183">
        <f ca="1">(1-Constants!$C$20/1000000000*Design!$B$33*1000000) * ($B36+S36-R36*AD36/1000) - (S36+R36*(1+($A36-25)*Constants!$C$36/100)*IF(ISBLANK(Design!$B$42),Constants!$C$6/1000,Design!$B$42/1000))</f>
        <v>4.5373276796020621</v>
      </c>
      <c r="AF36" s="117">
        <f ca="1">IF(AE36&gt;Design!$C$29,Design!$C$29,AE36)</f>
        <v>4.5373276796020621</v>
      </c>
      <c r="AG36" s="118">
        <f>Design!$D$7/3</f>
        <v>0.83333333333333337</v>
      </c>
      <c r="AH36" s="118">
        <f ca="1">FORECAST(AG36, OFFSET(Design!$C$15:$C$17,MATCH(AG36,Design!$B$15:$B$17,1)-1,0,2), OFFSET(Design!$B$15:$B$17,MATCH(AG36,Design!$B$15:$B$17,1)-1,0,2))+(AQ36-25)*Design!$B$18/1000</f>
        <v>0.30872949873502364</v>
      </c>
      <c r="AI36" s="194">
        <f ca="1">IF(100*(Design!$C$29+AH36+AG36*IF(ISBLANK(Design!$B$42),Constants!$C$6,Design!$B$42)/1000*(1+Constants!$C$36/100*(AR36-25)))/($B36+AH36-AG36*AS36/1000)&gt;Design!$C$36,Design!$C$36,100*(Design!$C$29+AH36+AG36*IF(ISBLANK(Design!$B$42),Constants!$C$6,Design!$B$42)/1000*(1+Constants!$C$36/100*(AR36-25)))/($B36+AH36-AG36*AS36/1000))</f>
        <v>96.387500000000003</v>
      </c>
      <c r="AJ36" s="119">
        <f ca="1">IF(($B36-AG36*IF(ISBLANK(Design!$B$42),Constants!$C$6,Design!$B$42)/1000*(1+Constants!$C$36/100*(AR36-25))-Design!$C$29)/(IF(ISBLANK(Design!$B$41),Design!$B$39,Design!$B$41)/1000000)*AI36/100/(IF(ISBLANK(Design!$B$33),Design!$B$32,Design!$B$33)*1000000)&lt;0,0,($B36-AG36*IF(ISBLANK(Design!$B$42),Constants!$C$6,Design!$B$42)/1000*(1+Constants!$C$36/100*(AR36-25))-Design!$C$29)/(IF(ISBLANK(Design!$B$41),Design!$B$39,Design!$B$41)/1000000)*AI36/100/(IF(ISBLANK(Design!$B$33),Design!$B$32,Design!$B$33)*1000000))</f>
        <v>1.7932162127445025E-2</v>
      </c>
      <c r="AK36" s="195">
        <f>$B36*Constants!$C$21/1000+IF(ISBLANK(Design!$B$33),Design!$B$32,Design!$B$33)*1000000*Constants!$D$25/1000000000*($B36-Constants!$C$24)</f>
        <v>1.5614999999999995E-2</v>
      </c>
      <c r="AL36" s="195">
        <f>$B36*AG36*($B36/(Constants!$C$26*1000000000)*IF(ISBLANK(Design!$B$33),Design!$B$32,Design!$B$33)*1000000/2+$B36/(Constants!$C$27*1000000000)*IF(ISBLANK(Design!$B$33),Design!$B$32,Design!$B$33)*1000000/2)</f>
        <v>9.2842666666666639E-3</v>
      </c>
      <c r="AM36" s="195">
        <f t="shared" ca="1" si="3"/>
        <v>0.11860969240922084</v>
      </c>
      <c r="AN36" s="195">
        <f>Constants!$D$25/1000000000*Constants!$C$24*IF(ISBLANK(Design!$B$33),Design!$B$32,Design!$B$33)*1000000</f>
        <v>1.0624999999999999E-2</v>
      </c>
      <c r="AO36" s="195">
        <f t="shared" ca="1" si="11"/>
        <v>0.15413395907588751</v>
      </c>
      <c r="AP36" s="195">
        <f t="shared" ca="1" si="9"/>
        <v>9.2940442848355974E-3</v>
      </c>
      <c r="AQ36" s="196">
        <f ca="1">$A36+AP36*Design!$B$19</f>
        <v>85.529760524235627</v>
      </c>
      <c r="AR36" s="196">
        <f ca="1">AO36*Design!$C$12+$A36</f>
        <v>90.240554608580169</v>
      </c>
      <c r="AS36" s="196">
        <f ca="1">Constants!$D$22+Constants!$D$22*Constants!$C$23/100*(AR36-25)</f>
        <v>177.19244368686412</v>
      </c>
      <c r="AT36" s="195">
        <f ca="1">(1-Constants!$C$20/1000000000*Design!$B$33*1000000) * ($B36+AH36-AG36*AS36/1000) - (AH36+AG36*(1+($A36-25)*Constants!$C$36/100)*IF(ISBLANK(Design!$B$42),Constants!$C$6/1000,Design!$B$42/1000))</f>
        <v>4.7403676746426333</v>
      </c>
      <c r="AU36" s="119">
        <f ca="1">IF(AT36&gt;Design!$C$29,Design!$C$29,AT36)</f>
        <v>4.7403676746426333</v>
      </c>
    </row>
    <row r="37" spans="1:47" s="120" customFormat="1" ht="12.75" customHeight="1">
      <c r="A37" s="112">
        <f>Design!$D$13</f>
        <v>85</v>
      </c>
      <c r="B37" s="113">
        <f t="shared" si="0"/>
        <v>4.9049999999999994</v>
      </c>
      <c r="C37" s="114">
        <f>Design!$D$7</f>
        <v>2.5</v>
      </c>
      <c r="D37" s="114">
        <f ca="1">FORECAST(C37, OFFSET(Design!$C$15:$C$17,MATCH(C37,Design!$B$15:$B$17,1)-1,0,2), OFFSET(Design!$B$15:$B$17,MATCH(C37,Design!$B$15:$B$17,1)-1,0,2))+(M37-25)*Design!$B$18/1000</f>
        <v>0.41038740259905804</v>
      </c>
      <c r="E37" s="173">
        <f ca="1">IF(100*(Design!$C$29+D37+C37*IF(ISBLANK(Design!$B$42),Constants!$C$6,Design!$B$42)/1000*(1+Constants!$C$36/100*(N37-25)))/($B37+D37-C37*O37/1000)&gt;Design!$C$36,Design!$C$36,100*(Design!$C$29+D37+C37*IF(ISBLANK(Design!$B$42),Constants!$C$6,Design!$B$42)/1000*(1+Constants!$C$36/100*(N37-25)))/($B37+D37-C37*O37/1000))</f>
        <v>96.387500000000003</v>
      </c>
      <c r="F37" s="115">
        <f ca="1">IF(($B37-C37*IF(ISBLANK(Design!$B$42),Constants!$C$6,Design!$B$42)/1000*(1+Constants!$C$36/100*(N37-25))-Design!$C$29)/(IF(ISBLANK(Design!$B$41),Design!$B$39,Design!$B$41)/1000000)*E37/100/(IF(ISBLANK(Design!$B$33),Design!$B$32,Design!$B$33)*1000000)&lt;0, 0, ($B37-C37*IF(ISBLANK(Design!$B$42),Constants!$C$6,Design!$B$42)/1000*(1+Constants!$C$36/100*(N37-25))-Design!$C$29)/(IF(ISBLANK(Design!$B$41),Design!$B$39,Design!$B$41)/1000000)*E37/100/(IF(ISBLANK(Design!$B$33),Design!$B$32,Design!$B$33)*1000000))</f>
        <v>0</v>
      </c>
      <c r="G37" s="165">
        <f>B37*Constants!$C$21/1000+IF(ISBLANK(Design!$B$33),Design!$B$32,Design!$B$33)*1000000*Constants!$D$25/1000000000*(B37-Constants!$C$24)</f>
        <v>1.4513124999999998E-2</v>
      </c>
      <c r="H37" s="165">
        <f>B37*C37*(B37/(Constants!$C$26*1000000000)*IF(ISBLANK(Design!$B$33),Design!$B$32,Design!$B$33)*1000000/2+B37/(Constants!$C$27*1000000000)*IF(ISBLANK(Design!$B$33),Design!$B$32,Design!$B$33)*1000000/2)</f>
        <v>2.5562714062499995E-2</v>
      </c>
      <c r="I37" s="165">
        <f t="shared" ca="1" si="1"/>
        <v>1.2563638259238288</v>
      </c>
      <c r="J37" s="165">
        <f>Constants!$D$25/1000000000*Constants!$C$24*IF(ISBLANK(Design!$B$33),Design!$B$32,Design!$B$33)*1000000</f>
        <v>1.0624999999999999E-2</v>
      </c>
      <c r="K37" s="165">
        <f t="shared" ca="1" si="4"/>
        <v>1.3070646649863289</v>
      </c>
      <c r="L37" s="165">
        <f t="shared" ca="1" si="5"/>
        <v>3.7063112297227391E-2</v>
      </c>
      <c r="M37" s="166">
        <f ca="1">A37+L37*Design!$B$19</f>
        <v>87.112597400941965</v>
      </c>
      <c r="N37" s="166">
        <f ca="1">K37*Design!$C$12+A37</f>
        <v>129.44019860953517</v>
      </c>
      <c r="O37" s="166">
        <f ca="1">Constants!$D$22+Constants!$D$22*Constants!$C$23/100*(N37-25)</f>
        <v>208.55215888762814</v>
      </c>
      <c r="P37" s="165">
        <f ca="1">(1-Constants!$C$20/1000000000*Design!$B$33*1000000) * ($B37+D37-C37*O37/1000) - (D37+C37*(1+($A37-25)*Constants!$C$36/100)*IF(ISBLANK(Design!$B$42),Constants!$C$6/1000,Design!$B$42/1000))</f>
        <v>4.0868560997115768</v>
      </c>
      <c r="Q37" s="171">
        <f ca="1">IF(P37&gt;Design!$C$29,Design!$C$29,P37)</f>
        <v>4.0868560997115768</v>
      </c>
      <c r="R37" s="181">
        <f>2*Design!$D$7/3</f>
        <v>1.6666666666666667</v>
      </c>
      <c r="S37" s="116">
        <f ca="1">FORECAST(R37, OFFSET(Design!$C$15:$C$17,MATCH(R37,Design!$B$15:$B$17,1)-1,0,2), OFFSET(Design!$B$15:$B$17,MATCH(R37,Design!$B$15:$B$17,1)-1,0,2))+(AB37-25)*Design!$B$18/1000</f>
        <v>0.37279468929973358</v>
      </c>
      <c r="T37" s="182">
        <f ca="1">IF(100*(Design!$C$29+S37+R37*IF(ISBLANK(Design!$B$42),Constants!$C$6,Design!$B$42)/1000*(1+Constants!$C$36/100*(AC37-25)))/($B37+S37-R37*AD37/1000)&gt;Design!$C$36,Design!$C$36,100*(Design!$C$29+S37+R37*IF(ISBLANK(Design!$B$42),Constants!$C$6,Design!$B$42)/1000*(1+Constants!$C$36/100*(AC37-25)))/($B37+S37-R37*AD37/1000))</f>
        <v>96.387500000000003</v>
      </c>
      <c r="U37" s="117">
        <f ca="1">IF(($B37-R37*IF(ISBLANK(Design!$B$42),Constants!$C$6,Design!$B$42)/1000*(1+Constants!$C$36/100*(AC37-25))-Design!$C$29)/(Design!$B$41/1000000)*T37/100/(IF(ISBLANK(IF(ISBLANK(Design!$B$41),Design!$B$39,Design!$B$41)),Design!$B$32,Design!$B$33)*1000000)&lt;0,0,($B37-R37*IF(ISBLANK(Design!$B$42),Constants!$C$6,Design!$B$42)/1000*(1+Constants!$C$36/100*(AC37-25))-Design!$C$29)/(IF(ISBLANK(Design!$B$41),Design!$B$39,Design!$B$41)/1000000)*T37/100/(IF(ISBLANK(Design!$B$33),Design!$B$32,Design!$B$33)*1000000))</f>
        <v>0</v>
      </c>
      <c r="V37" s="183">
        <f>$B37*Constants!$C$21/1000+IF(ISBLANK(Design!$B$33),Design!$B$32,Design!$B$33)*1000000*Constants!$D$25/1000000000*($B37-Constants!$C$24)</f>
        <v>1.4513124999999998E-2</v>
      </c>
      <c r="W37" s="183">
        <f>$B37*R37*($B37/(Constants!$C$26*1000000000)*IF(ISBLANK(Design!$B$33),Design!$B$32,Design!$B$33)*1000000/2+$B37/(Constants!$C$27*1000000000)*IF(ISBLANK(Design!$B$33),Design!$B$32,Design!$B$33)*1000000/2)</f>
        <v>1.7041809374999994E-2</v>
      </c>
      <c r="X37" s="183">
        <f t="shared" ca="1" si="2"/>
        <v>0.50289087331539495</v>
      </c>
      <c r="Y37" s="183">
        <f>Constants!$D$25/1000000000*Constants!$C$24*IF(ISBLANK(Design!$B$33),Design!$B$32,Design!$B$33)*1000000</f>
        <v>1.0624999999999999E-2</v>
      </c>
      <c r="Z37" s="183">
        <f t="shared" ca="1" si="10"/>
        <v>0.54507080769039495</v>
      </c>
      <c r="AA37" s="183">
        <f t="shared" ca="1" si="7"/>
        <v>2.2445346918254772E-2</v>
      </c>
      <c r="AB37" s="184">
        <f ca="1">$A37+AA37*Design!$B$19</f>
        <v>86.279384774340528</v>
      </c>
      <c r="AC37" s="184">
        <f ca="1">Z37*Design!$C$12+$A37</f>
        <v>103.53240746147343</v>
      </c>
      <c r="AD37" s="184">
        <f ca="1">Constants!$D$22+Constants!$D$22*Constants!$C$23/100*(AC37-25)</f>
        <v>187.82592596917874</v>
      </c>
      <c r="AE37" s="183">
        <f ca="1">(1-Constants!$C$20/1000000000*Design!$B$33*1000000) * ($B37+S37-R37*AD37/1000) - (S37+R37*(1+($A37-25)*Constants!$C$36/100)*IF(ISBLANK(Design!$B$42),Constants!$C$6/1000,Design!$B$42/1000))</f>
        <v>4.330218476193143</v>
      </c>
      <c r="AF37" s="117">
        <f ca="1">IF(AE37&gt;Design!$C$29,Design!$C$29,AE37)</f>
        <v>4.330218476193143</v>
      </c>
      <c r="AG37" s="118">
        <f>Design!$D$7/3</f>
        <v>0.83333333333333337</v>
      </c>
      <c r="AH37" s="118">
        <f ca="1">FORECAST(AG37, OFFSET(Design!$C$15:$C$17,MATCH(AG37,Design!$B$15:$B$17,1)-1,0,2), OFFSET(Design!$B$15:$B$17,MATCH(AG37,Design!$B$15:$B$17,1)-1,0,2))+(AQ37-25)*Design!$B$18/1000</f>
        <v>0.30872949873502364</v>
      </c>
      <c r="AI37" s="194">
        <f ca="1">IF(100*(Design!$C$29+AH37+AG37*IF(ISBLANK(Design!$B$42),Constants!$C$6,Design!$B$42)/1000*(1+Constants!$C$36/100*(AR37-25)))/($B37+AH37-AG37*AS37/1000)&gt;Design!$C$36,Design!$C$36,100*(Design!$C$29+AH37+AG37*IF(ISBLANK(Design!$B$42),Constants!$C$6,Design!$B$42)/1000*(1+Constants!$C$36/100*(AR37-25)))/($B37+AH37-AG37*AS37/1000))</f>
        <v>96.387500000000003</v>
      </c>
      <c r="AJ37" s="119">
        <f ca="1">IF(($B37-AG37*IF(ISBLANK(Design!$B$42),Constants!$C$6,Design!$B$42)/1000*(1+Constants!$C$36/100*(AR37-25))-Design!$C$29)/(IF(ISBLANK(Design!$B$41),Design!$B$39,Design!$B$41)/1000000)*AI37/100/(IF(ISBLANK(Design!$B$33),Design!$B$32,Design!$B$33)*1000000)&lt;0,0,($B37-AG37*IF(ISBLANK(Design!$B$42),Constants!$C$6,Design!$B$42)/1000*(1+Constants!$C$36/100*(AR37-25))-Design!$C$29)/(IF(ISBLANK(Design!$B$41),Design!$B$39,Design!$B$41)/1000000)*AI37/100/(IF(ISBLANK(Design!$B$33),Design!$B$32,Design!$B$33)*1000000))</f>
        <v>0</v>
      </c>
      <c r="AK37" s="195">
        <f>$B37*Constants!$C$21/1000+IF(ISBLANK(Design!$B$33),Design!$B$32,Design!$B$33)*1000000*Constants!$D$25/1000000000*($B37-Constants!$C$24)</f>
        <v>1.4513124999999998E-2</v>
      </c>
      <c r="AL37" s="195">
        <f>$B37*AG37*($B37/(Constants!$C$26*1000000000)*IF(ISBLANK(Design!$B$33),Design!$B$32,Design!$B$33)*1000000/2+$B37/(Constants!$C$27*1000000000)*IF(ISBLANK(Design!$B$33),Design!$B$32,Design!$B$33)*1000000/2)</f>
        <v>8.5209046874999972E-3</v>
      </c>
      <c r="AM37" s="195">
        <f t="shared" ca="1" si="3"/>
        <v>0.11857044162584056</v>
      </c>
      <c r="AN37" s="195">
        <f>Constants!$D$25/1000000000*Constants!$C$24*IF(ISBLANK(Design!$B$33),Design!$B$32,Design!$B$33)*1000000</f>
        <v>1.0624999999999999E-2</v>
      </c>
      <c r="AO37" s="195">
        <f t="shared" ca="1" si="11"/>
        <v>0.15222947131334055</v>
      </c>
      <c r="AP37" s="195">
        <f t="shared" ca="1" si="9"/>
        <v>9.2940442848355974E-3</v>
      </c>
      <c r="AQ37" s="196">
        <f ca="1">$A37+AP37*Design!$B$19</f>
        <v>85.529760524235627</v>
      </c>
      <c r="AR37" s="196">
        <f ca="1">AO37*Design!$C$12+$A37</f>
        <v>90.175802024653578</v>
      </c>
      <c r="AS37" s="196">
        <f ca="1">Constants!$D$22+Constants!$D$22*Constants!$C$23/100*(AR37-25)</f>
        <v>177.14064161972286</v>
      </c>
      <c r="AT37" s="195">
        <f ca="1">(1-Constants!$C$20/1000000000*Design!$B$33*1000000) * ($B37+AH37-AG37*AS37/1000) - (AH37+AG37*(1+($A37-25)*Constants!$C$36/100)*IF(ISBLANK(Design!$B$42),Constants!$C$6/1000,Design!$B$42/1000))</f>
        <v>4.5331761585738546</v>
      </c>
      <c r="AU37" s="119">
        <f ca="1">IF(AT37&gt;Design!$C$29,Design!$C$29,AT37)</f>
        <v>4.5331761585738546</v>
      </c>
    </row>
    <row r="38" spans="1:47" s="120" customFormat="1" ht="12.75" customHeight="1">
      <c r="A38" s="112">
        <f>Design!$D$13</f>
        <v>85</v>
      </c>
      <c r="B38" s="113">
        <f t="shared" si="0"/>
        <v>4.6899999999999995</v>
      </c>
      <c r="C38" s="114">
        <f>Design!$D$7</f>
        <v>2.5</v>
      </c>
      <c r="D38" s="114">
        <f ca="1">FORECAST(C38, OFFSET(Design!$C$15:$C$17,MATCH(C38,Design!$B$15:$B$17,1)-1,0,2), OFFSET(Design!$B$15:$B$17,MATCH(C38,Design!$B$15:$B$17,1)-1,0,2))+(M38-25)*Design!$B$18/1000</f>
        <v>0.41038740259905804</v>
      </c>
      <c r="E38" s="173">
        <f ca="1">IF(100*(Design!$C$29+D38+C38*IF(ISBLANK(Design!$B$42),Constants!$C$6,Design!$B$42)/1000*(1+Constants!$C$36/100*(N38-25)))/($B38+D38-C38*O38/1000)&gt;Design!$C$36,Design!$C$36,100*(Design!$C$29+D38+C38*IF(ISBLANK(Design!$B$42),Constants!$C$6,Design!$B$42)/1000*(1+Constants!$C$36/100*(N38-25)))/($B38+D38-C38*O38/1000))</f>
        <v>96.387500000000003</v>
      </c>
      <c r="F38" s="115">
        <f ca="1">IF(($B38-C38*IF(ISBLANK(Design!$B$42),Constants!$C$6,Design!$B$42)/1000*(1+Constants!$C$36/100*(N38-25))-Design!$C$29)/(IF(ISBLANK(Design!$B$41),Design!$B$39,Design!$B$41)/1000000)*E38/100/(IF(ISBLANK(Design!$B$33),Design!$B$32,Design!$B$33)*1000000)&lt;0, 0, ($B38-C38*IF(ISBLANK(Design!$B$42),Constants!$C$6,Design!$B$42)/1000*(1+Constants!$C$36/100*(N38-25))-Design!$C$29)/(IF(ISBLANK(Design!$B$41),Design!$B$39,Design!$B$41)/1000000)*E38/100/(IF(ISBLANK(Design!$B$33),Design!$B$32,Design!$B$33)*1000000))</f>
        <v>0</v>
      </c>
      <c r="G38" s="165">
        <f>B38*Constants!$C$21/1000+IF(ISBLANK(Design!$B$33),Design!$B$32,Design!$B$33)*1000000*Constants!$D$25/1000000000*(B38-Constants!$C$24)</f>
        <v>1.3411249999999998E-2</v>
      </c>
      <c r="H38" s="165">
        <f>B38*C38*(B38/(Constants!$C$26*1000000000)*IF(ISBLANK(Design!$B$33),Design!$B$32,Design!$B$33)*1000000/2+B38/(Constants!$C$27*1000000000)*IF(ISBLANK(Design!$B$33),Design!$B$32,Design!$B$33)*1000000/2)</f>
        <v>2.3370856249999988E-2</v>
      </c>
      <c r="I38" s="165">
        <f t="shared" ca="1" si="1"/>
        <v>1.255718352516686</v>
      </c>
      <c r="J38" s="165">
        <f>Constants!$D$25/1000000000*Constants!$C$24*IF(ISBLANK(Design!$B$33),Design!$B$32,Design!$B$33)*1000000</f>
        <v>1.0624999999999999E-2</v>
      </c>
      <c r="K38" s="165">
        <f t="shared" ca="1" si="4"/>
        <v>1.3031254587666861</v>
      </c>
      <c r="L38" s="165">
        <f t="shared" ca="1" si="5"/>
        <v>3.7063112297227391E-2</v>
      </c>
      <c r="M38" s="166">
        <f ca="1">A38+L38*Design!$B$19</f>
        <v>87.112597400941965</v>
      </c>
      <c r="N38" s="166">
        <f ca="1">K38*Design!$C$12+A38</f>
        <v>129.30626559806734</v>
      </c>
      <c r="O38" s="166">
        <f ca="1">Constants!$D$22+Constants!$D$22*Constants!$C$23/100*(N38-25)</f>
        <v>208.44501247845386</v>
      </c>
      <c r="P38" s="165">
        <f ca="1">(1-Constants!$C$20/1000000000*Design!$B$33*1000000) * ($B38+D38-C38*O38/1000) - (D38+C38*(1+($A38-25)*Constants!$C$36/100)*IF(ISBLANK(Design!$B$42),Constants!$C$6/1000,Design!$B$42/1000))</f>
        <v>3.8798811640744346</v>
      </c>
      <c r="Q38" s="171">
        <f ca="1">IF(P38&gt;Design!$C$29,Design!$C$29,P38)</f>
        <v>3.8798811640744346</v>
      </c>
      <c r="R38" s="181">
        <f>2*Design!$D$7/3</f>
        <v>1.6666666666666667</v>
      </c>
      <c r="S38" s="116">
        <f ca="1">FORECAST(R38, OFFSET(Design!$C$15:$C$17,MATCH(R38,Design!$B$15:$B$17,1)-1,0,2), OFFSET(Design!$B$15:$B$17,MATCH(R38,Design!$B$15:$B$17,1)-1,0,2))+(AB38-25)*Design!$B$18/1000</f>
        <v>0.37279468929973358</v>
      </c>
      <c r="T38" s="182">
        <f ca="1">IF(100*(Design!$C$29+S38+R38*IF(ISBLANK(Design!$B$42),Constants!$C$6,Design!$B$42)/1000*(1+Constants!$C$36/100*(AC38-25)))/($B38+S38-R38*AD38/1000)&gt;Design!$C$36,Design!$C$36,100*(Design!$C$29+S38+R38*IF(ISBLANK(Design!$B$42),Constants!$C$6,Design!$B$42)/1000*(1+Constants!$C$36/100*(AC38-25)))/($B38+S38-R38*AD38/1000))</f>
        <v>96.387500000000003</v>
      </c>
      <c r="U38" s="117">
        <f ca="1">IF(($B38-R38*IF(ISBLANK(Design!$B$42),Constants!$C$6,Design!$B$42)/1000*(1+Constants!$C$36/100*(AC38-25))-Design!$C$29)/(Design!$B$41/1000000)*T38/100/(IF(ISBLANK(IF(ISBLANK(Design!$B$41),Design!$B$39,Design!$B$41)),Design!$B$32,Design!$B$33)*1000000)&lt;0,0,($B38-R38*IF(ISBLANK(Design!$B$42),Constants!$C$6,Design!$B$42)/1000*(1+Constants!$C$36/100*(AC38-25))-Design!$C$29)/(IF(ISBLANK(Design!$B$41),Design!$B$39,Design!$B$41)/1000000)*T38/100/(IF(ISBLANK(Design!$B$33),Design!$B$32,Design!$B$33)*1000000))</f>
        <v>0</v>
      </c>
      <c r="V38" s="183">
        <f>$B38*Constants!$C$21/1000+IF(ISBLANK(Design!$B$33),Design!$B$32,Design!$B$33)*1000000*Constants!$D$25/1000000000*($B38-Constants!$C$24)</f>
        <v>1.3411249999999998E-2</v>
      </c>
      <c r="W38" s="183">
        <f>$B38*R38*($B38/(Constants!$C$26*1000000000)*IF(ISBLANK(Design!$B$33),Design!$B$32,Design!$B$33)*1000000/2+$B38/(Constants!$C$27*1000000000)*IF(ISBLANK(Design!$B$33),Design!$B$32,Design!$B$33)*1000000/2)</f>
        <v>1.5580570833333328E-2</v>
      </c>
      <c r="X38" s="183">
        <f t="shared" ca="1" si="2"/>
        <v>0.50268955013986905</v>
      </c>
      <c r="Y38" s="183">
        <f>Constants!$D$25/1000000000*Constants!$C$24*IF(ISBLANK(Design!$B$33),Design!$B$32,Design!$B$33)*1000000</f>
        <v>1.0624999999999999E-2</v>
      </c>
      <c r="Z38" s="183">
        <f t="shared" ca="1" si="10"/>
        <v>0.54230637097320233</v>
      </c>
      <c r="AA38" s="183">
        <f t="shared" ca="1" si="7"/>
        <v>2.2445346918254772E-2</v>
      </c>
      <c r="AB38" s="184">
        <f ca="1">$A38+AA38*Design!$B$19</f>
        <v>86.279384774340528</v>
      </c>
      <c r="AC38" s="184">
        <f ca="1">Z38*Design!$C$12+$A38</f>
        <v>103.43841661308888</v>
      </c>
      <c r="AD38" s="184">
        <f ca="1">Constants!$D$22+Constants!$D$22*Constants!$C$23/100*(AC38-25)</f>
        <v>187.75073329047109</v>
      </c>
      <c r="AE38" s="183">
        <f ca="1">(1-Constants!$C$20/1000000000*Design!$B$33*1000000) * ($B38+S38-R38*AD38/1000) - (S38+R38*(1+($A38-25)*Constants!$C$36/100)*IF(ISBLANK(Design!$B$42),Constants!$C$6/1000,Design!$B$42/1000))</f>
        <v>4.1231061450984585</v>
      </c>
      <c r="AF38" s="117">
        <f ca="1">IF(AE38&gt;Design!$C$29,Design!$C$29,AE38)</f>
        <v>4.1231061450984585</v>
      </c>
      <c r="AG38" s="118">
        <f>Design!$D$7/3</f>
        <v>0.83333333333333337</v>
      </c>
      <c r="AH38" s="118">
        <f ca="1">FORECAST(AG38, OFFSET(Design!$C$15:$C$17,MATCH(AG38,Design!$B$15:$B$17,1)-1,0,2), OFFSET(Design!$B$15:$B$17,MATCH(AG38,Design!$B$15:$B$17,1)-1,0,2))+(AQ38-25)*Design!$B$18/1000</f>
        <v>0.30872949873502364</v>
      </c>
      <c r="AI38" s="194">
        <f ca="1">IF(100*(Design!$C$29+AH38+AG38*IF(ISBLANK(Design!$B$42),Constants!$C$6,Design!$B$42)/1000*(1+Constants!$C$36/100*(AR38-25)))/($B38+AH38-AG38*AS38/1000)&gt;Design!$C$36,Design!$C$36,100*(Design!$C$29+AH38+AG38*IF(ISBLANK(Design!$B$42),Constants!$C$6,Design!$B$42)/1000*(1+Constants!$C$36/100*(AR38-25)))/($B38+AH38-AG38*AS38/1000))</f>
        <v>96.387500000000003</v>
      </c>
      <c r="AJ38" s="119">
        <f ca="1">IF(($B38-AG38*IF(ISBLANK(Design!$B$42),Constants!$C$6,Design!$B$42)/1000*(1+Constants!$C$36/100*(AR38-25))-Design!$C$29)/(IF(ISBLANK(Design!$B$41),Design!$B$39,Design!$B$41)/1000000)*AI38/100/(IF(ISBLANK(Design!$B$33),Design!$B$32,Design!$B$33)*1000000)&lt;0,0,($B38-AG38*IF(ISBLANK(Design!$B$42),Constants!$C$6,Design!$B$42)/1000*(1+Constants!$C$36/100*(AR38-25))-Design!$C$29)/(IF(ISBLANK(Design!$B$41),Design!$B$39,Design!$B$41)/1000000)*AI38/100/(IF(ISBLANK(Design!$B$33),Design!$B$32,Design!$B$33)*1000000))</f>
        <v>0</v>
      </c>
      <c r="AK38" s="195">
        <f>$B38*Constants!$C$21/1000+IF(ISBLANK(Design!$B$33),Design!$B$32,Design!$B$33)*1000000*Constants!$D$25/1000000000*($B38-Constants!$C$24)</f>
        <v>1.3411249999999998E-2</v>
      </c>
      <c r="AL38" s="195">
        <f>$B38*AG38*($B38/(Constants!$C$26*1000000000)*IF(ISBLANK(Design!$B$33),Design!$B$32,Design!$B$33)*1000000/2+$B38/(Constants!$C$27*1000000000)*IF(ISBLANK(Design!$B$33),Design!$B$32,Design!$B$33)*1000000/2)</f>
        <v>7.7902854166666639E-3</v>
      </c>
      <c r="AM38" s="195">
        <f t="shared" ca="1" si="3"/>
        <v>0.11853645957280345</v>
      </c>
      <c r="AN38" s="195">
        <f>Constants!$D$25/1000000000*Constants!$C$24*IF(ISBLANK(Design!$B$33),Design!$B$32,Design!$B$33)*1000000</f>
        <v>1.0624999999999999E-2</v>
      </c>
      <c r="AO38" s="195">
        <f t="shared" ca="1" si="11"/>
        <v>0.15036299498947012</v>
      </c>
      <c r="AP38" s="195">
        <f t="shared" ca="1" si="9"/>
        <v>9.2940442848355974E-3</v>
      </c>
      <c r="AQ38" s="196">
        <f ca="1">$A38+AP38*Design!$B$19</f>
        <v>85.529760524235627</v>
      </c>
      <c r="AR38" s="196">
        <f ca="1">AO38*Design!$C$12+$A38</f>
        <v>90.112341829641991</v>
      </c>
      <c r="AS38" s="196">
        <f ca="1">Constants!$D$22+Constants!$D$22*Constants!$C$23/100*(AR38-25)</f>
        <v>177.08987346371359</v>
      </c>
      <c r="AT38" s="195">
        <f ca="1">(1-Constants!$C$20/1000000000*Design!$B$33*1000000) * ($B38+AH38-AG38*AS38/1000) - (AH38+AG38*(1+($A38-25)*Constants!$C$36/100)*IF(ISBLANK(Design!$B$42),Constants!$C$6/1000,Design!$B$42/1000))</f>
        <v>4.3259838120375003</v>
      </c>
      <c r="AU38" s="119">
        <f ca="1">IF(AT38&gt;Design!$C$29,Design!$C$29,AT38)</f>
        <v>4.3259838120375003</v>
      </c>
    </row>
    <row r="39" spans="1:47" s="120" customFormat="1" ht="12.75" customHeight="1">
      <c r="A39" s="112">
        <f>Design!$D$13</f>
        <v>85</v>
      </c>
      <c r="B39" s="113">
        <f t="shared" si="0"/>
        <v>4.4749999999999996</v>
      </c>
      <c r="C39" s="114">
        <f>Design!$D$7</f>
        <v>2.5</v>
      </c>
      <c r="D39" s="114">
        <f ca="1">FORECAST(C39, OFFSET(Design!$C$15:$C$17,MATCH(C39,Design!$B$15:$B$17,1)-1,0,2), OFFSET(Design!$B$15:$B$17,MATCH(C39,Design!$B$15:$B$17,1)-1,0,2))+(M39-25)*Design!$B$18/1000</f>
        <v>0.41038740259905804</v>
      </c>
      <c r="E39" s="173">
        <f ca="1">IF(100*(Design!$C$29+D39+C39*IF(ISBLANK(Design!$B$42),Constants!$C$6,Design!$B$42)/1000*(1+Constants!$C$36/100*(N39-25)))/($B39+D39-C39*O39/1000)&gt;Design!$C$36,Design!$C$36,100*(Design!$C$29+D39+C39*IF(ISBLANK(Design!$B$42),Constants!$C$6,Design!$B$42)/1000*(1+Constants!$C$36/100*(N39-25)))/($B39+D39-C39*O39/1000))</f>
        <v>96.387500000000003</v>
      </c>
      <c r="F39" s="115">
        <f ca="1">IF(($B39-C39*IF(ISBLANK(Design!$B$42),Constants!$C$6,Design!$B$42)/1000*(1+Constants!$C$36/100*(N39-25))-Design!$C$29)/(IF(ISBLANK(Design!$B$41),Design!$B$39,Design!$B$41)/1000000)*E39/100/(IF(ISBLANK(Design!$B$33),Design!$B$32,Design!$B$33)*1000000)&lt;0, 0, ($B39-C39*IF(ISBLANK(Design!$B$42),Constants!$C$6,Design!$B$42)/1000*(1+Constants!$C$36/100*(N39-25))-Design!$C$29)/(IF(ISBLANK(Design!$B$41),Design!$B$39,Design!$B$41)/1000000)*E39/100/(IF(ISBLANK(Design!$B$33),Design!$B$32,Design!$B$33)*1000000))</f>
        <v>0</v>
      </c>
      <c r="G39" s="165">
        <f>B39*Constants!$C$21/1000+IF(ISBLANK(Design!$B$33),Design!$B$32,Design!$B$33)*1000000*Constants!$D$25/1000000000*(B39-Constants!$C$24)</f>
        <v>1.2309374999999999E-2</v>
      </c>
      <c r="H39" s="165">
        <f>B39*C39*(B39/(Constants!$C$26*1000000000)*IF(ISBLANK(Design!$B$33),Design!$B$32,Design!$B$33)*1000000/2+B39/(Constants!$C$27*1000000000)*IF(ISBLANK(Design!$B$33),Design!$B$32,Design!$B$33)*1000000/2)</f>
        <v>2.1277226562499998E-2</v>
      </c>
      <c r="I39" s="165">
        <f t="shared" ca="1" si="1"/>
        <v>1.255092128892731</v>
      </c>
      <c r="J39" s="165">
        <f>Constants!$D$25/1000000000*Constants!$C$24*IF(ISBLANK(Design!$B$33),Design!$B$32,Design!$B$33)*1000000</f>
        <v>1.0624999999999999E-2</v>
      </c>
      <c r="K39" s="165">
        <f t="shared" ca="1" si="4"/>
        <v>1.2993037304552311</v>
      </c>
      <c r="L39" s="165">
        <f t="shared" ca="1" si="5"/>
        <v>3.7063112297227391E-2</v>
      </c>
      <c r="M39" s="166">
        <f ca="1">A39+L39*Design!$B$19</f>
        <v>87.112597400941965</v>
      </c>
      <c r="N39" s="166">
        <f ca="1">K39*Design!$C$12+A39</f>
        <v>129.17632683547785</v>
      </c>
      <c r="O39" s="166">
        <f ca="1">Constants!$D$22+Constants!$D$22*Constants!$C$23/100*(N39-25)</f>
        <v>208.34106146838229</v>
      </c>
      <c r="P39" s="165">
        <f ca="1">(1-Constants!$C$20/1000000000*Design!$B$33*1000000) * ($B39+D39-C39*O39/1000) - (D39+C39*(1+($A39-25)*Constants!$C$36/100)*IF(ISBLANK(Design!$B$42),Constants!$C$6/1000,Design!$B$42/1000))</f>
        <v>3.6728985285240161</v>
      </c>
      <c r="Q39" s="171">
        <f ca="1">IF(P39&gt;Design!$C$29,Design!$C$29,P39)</f>
        <v>3.6728985285240161</v>
      </c>
      <c r="R39" s="181">
        <f>2*Design!$D$7/3</f>
        <v>1.6666666666666667</v>
      </c>
      <c r="S39" s="116">
        <f ca="1">FORECAST(R39, OFFSET(Design!$C$15:$C$17,MATCH(R39,Design!$B$15:$B$17,1)-1,0,2), OFFSET(Design!$B$15:$B$17,MATCH(R39,Design!$B$15:$B$17,1)-1,0,2))+(AB39-25)*Design!$B$18/1000</f>
        <v>0.37279468929973358</v>
      </c>
      <c r="T39" s="182">
        <f ca="1">IF(100*(Design!$C$29+S39+R39*IF(ISBLANK(Design!$B$42),Constants!$C$6,Design!$B$42)/1000*(1+Constants!$C$36/100*(AC39-25)))/($B39+S39-R39*AD39/1000)&gt;Design!$C$36,Design!$C$36,100*(Design!$C$29+S39+R39*IF(ISBLANK(Design!$B$42),Constants!$C$6,Design!$B$42)/1000*(1+Constants!$C$36/100*(AC39-25)))/($B39+S39-R39*AD39/1000))</f>
        <v>96.387500000000003</v>
      </c>
      <c r="U39" s="117">
        <f ca="1">IF(($B39-R39*IF(ISBLANK(Design!$B$42),Constants!$C$6,Design!$B$42)/1000*(1+Constants!$C$36/100*(AC39-25))-Design!$C$29)/(Design!$B$41/1000000)*T39/100/(IF(ISBLANK(IF(ISBLANK(Design!$B$41),Design!$B$39,Design!$B$41)),Design!$B$32,Design!$B$33)*1000000)&lt;0,0,($B39-R39*IF(ISBLANK(Design!$B$42),Constants!$C$6,Design!$B$42)/1000*(1+Constants!$C$36/100*(AC39-25))-Design!$C$29)/(IF(ISBLANK(Design!$B$41),Design!$B$39,Design!$B$41)/1000000)*T39/100/(IF(ISBLANK(Design!$B$33),Design!$B$32,Design!$B$33)*1000000))</f>
        <v>0</v>
      </c>
      <c r="V39" s="183">
        <f>$B39*Constants!$C$21/1000+IF(ISBLANK(Design!$B$33),Design!$B$32,Design!$B$33)*1000000*Constants!$D$25/1000000000*($B39-Constants!$C$24)</f>
        <v>1.2309374999999999E-2</v>
      </c>
      <c r="W39" s="183">
        <f>$B39*R39*($B39/(Constants!$C$26*1000000000)*IF(ISBLANK(Design!$B$33),Design!$B$32,Design!$B$33)*1000000/2+$B39/(Constants!$C$27*1000000000)*IF(ISBLANK(Design!$B$33),Design!$B$32,Design!$B$33)*1000000/2)</f>
        <v>1.418481770833333E-2</v>
      </c>
      <c r="X39" s="183">
        <f t="shared" ca="1" si="2"/>
        <v>0.5024933706038347</v>
      </c>
      <c r="Y39" s="183">
        <f>Constants!$D$25/1000000000*Constants!$C$24*IF(ISBLANK(Design!$B$33),Design!$B$32,Design!$B$33)*1000000</f>
        <v>1.0624999999999999E-2</v>
      </c>
      <c r="Z39" s="183">
        <f t="shared" ca="1" si="10"/>
        <v>0.539612563312168</v>
      </c>
      <c r="AA39" s="183">
        <f t="shared" ca="1" si="7"/>
        <v>2.2445346918254772E-2</v>
      </c>
      <c r="AB39" s="184">
        <f ca="1">$A39+AA39*Design!$B$19</f>
        <v>86.279384774340528</v>
      </c>
      <c r="AC39" s="184">
        <f ca="1">Z39*Design!$C$12+$A39</f>
        <v>103.34682715261371</v>
      </c>
      <c r="AD39" s="184">
        <f ca="1">Constants!$D$22+Constants!$D$22*Constants!$C$23/100*(AC39-25)</f>
        <v>187.67746172209098</v>
      </c>
      <c r="AE39" s="183">
        <f ca="1">(1-Constants!$C$20/1000000000*Design!$B$33*1000000) * ($B39+S39-R39*AD39/1000) - (S39+R39*(1+($A39-25)*Constants!$C$36/100)*IF(ISBLANK(Design!$B$42),Constants!$C$6/1000,Design!$B$42/1000))</f>
        <v>3.9159907278200792</v>
      </c>
      <c r="AF39" s="117">
        <f ca="1">IF(AE39&gt;Design!$C$29,Design!$C$29,AE39)</f>
        <v>3.9159907278200792</v>
      </c>
      <c r="AG39" s="118">
        <f>Design!$D$7/3</f>
        <v>0.83333333333333337</v>
      </c>
      <c r="AH39" s="118">
        <f ca="1">FORECAST(AG39, OFFSET(Design!$C$15:$C$17,MATCH(AG39,Design!$B$15:$B$17,1)-1,0,2), OFFSET(Design!$B$15:$B$17,MATCH(AG39,Design!$B$15:$B$17,1)-1,0,2))+(AQ39-25)*Design!$B$18/1000</f>
        <v>0.30872949873502364</v>
      </c>
      <c r="AI39" s="194">
        <f ca="1">IF(100*(Design!$C$29+AH39+AG39*IF(ISBLANK(Design!$B$42),Constants!$C$6,Design!$B$42)/1000*(1+Constants!$C$36/100*(AR39-25)))/($B39+AH39-AG39*AS39/1000)&gt;Design!$C$36,Design!$C$36,100*(Design!$C$29+AH39+AG39*IF(ISBLANK(Design!$B$42),Constants!$C$6,Design!$B$42)/1000*(1+Constants!$C$36/100*(AR39-25)))/($B39+AH39-AG39*AS39/1000))</f>
        <v>96.387500000000003</v>
      </c>
      <c r="AJ39" s="119">
        <f ca="1">IF(($B39-AG39*IF(ISBLANK(Design!$B$42),Constants!$C$6,Design!$B$42)/1000*(1+Constants!$C$36/100*(AR39-25))-Design!$C$29)/(IF(ISBLANK(Design!$B$41),Design!$B$39,Design!$B$41)/1000000)*AI39/100/(IF(ISBLANK(Design!$B$33),Design!$B$32,Design!$B$33)*1000000)&lt;0,0,($B39-AG39*IF(ISBLANK(Design!$B$42),Constants!$C$6,Design!$B$42)/1000*(1+Constants!$C$36/100*(AR39-25))-Design!$C$29)/(IF(ISBLANK(Design!$B$41),Design!$B$39,Design!$B$41)/1000000)*AI39/100/(IF(ISBLANK(Design!$B$33),Design!$B$32,Design!$B$33)*1000000))</f>
        <v>0</v>
      </c>
      <c r="AK39" s="195">
        <f>$B39*Constants!$C$21/1000+IF(ISBLANK(Design!$B$33),Design!$B$32,Design!$B$33)*1000000*Constants!$D$25/1000000000*($B39-Constants!$C$24)</f>
        <v>1.2309374999999999E-2</v>
      </c>
      <c r="AL39" s="195">
        <f>$B39*AG39*($B39/(Constants!$C$26*1000000000)*IF(ISBLANK(Design!$B$33),Design!$B$32,Design!$B$33)*1000000/2+$B39/(Constants!$C$27*1000000000)*IF(ISBLANK(Design!$B$33),Design!$B$32,Design!$B$33)*1000000/2)</f>
        <v>7.092408854166665E-3</v>
      </c>
      <c r="AM39" s="195">
        <f t="shared" ca="1" si="3"/>
        <v>0.11850308470553976</v>
      </c>
      <c r="AN39" s="195">
        <f>Constants!$D$25/1000000000*Constants!$C$24*IF(ISBLANK(Design!$B$33),Design!$B$32,Design!$B$33)*1000000</f>
        <v>1.0624999999999999E-2</v>
      </c>
      <c r="AO39" s="195">
        <f t="shared" ca="1" si="11"/>
        <v>0.14852986855970643</v>
      </c>
      <c r="AP39" s="195">
        <f t="shared" ca="1" si="9"/>
        <v>9.2940442848355974E-3</v>
      </c>
      <c r="AQ39" s="196">
        <f ca="1">$A39+AP39*Design!$B$19</f>
        <v>85.529760524235627</v>
      </c>
      <c r="AR39" s="196">
        <f ca="1">AO39*Design!$C$12+$A39</f>
        <v>90.050015531030013</v>
      </c>
      <c r="AS39" s="196">
        <f ca="1">Constants!$D$22+Constants!$D$22*Constants!$C$23/100*(AR39-25)</f>
        <v>177.040012424824</v>
      </c>
      <c r="AT39" s="195">
        <f ca="1">(1-Constants!$C$20/1000000000*Design!$B$33*1000000) * ($B39+AH39-AG39*AS39/1000) - (AH39+AG39*(1+($A39-25)*Constants!$C$36/100)*IF(ISBLANK(Design!$B$42),Constants!$C$6/1000,Design!$B$42/1000))</f>
        <v>4.118790736878216</v>
      </c>
      <c r="AU39" s="119">
        <f ca="1">IF(AT39&gt;Design!$C$29,Design!$C$29,AT39)</f>
        <v>4.118790736878216</v>
      </c>
    </row>
    <row r="40" spans="1:47" s="120" customFormat="1" ht="12.75" customHeight="1">
      <c r="A40" s="112">
        <f>Design!$D$13</f>
        <v>85</v>
      </c>
      <c r="B40" s="113">
        <f t="shared" si="0"/>
        <v>4.26</v>
      </c>
      <c r="C40" s="114">
        <f>Design!$D$7</f>
        <v>2.5</v>
      </c>
      <c r="D40" s="114">
        <f ca="1">FORECAST(C40, OFFSET(Design!$C$15:$C$17,MATCH(C40,Design!$B$15:$B$17,1)-1,0,2), OFFSET(Design!$B$15:$B$17,MATCH(C40,Design!$B$15:$B$17,1)-1,0,2))+(M40-25)*Design!$B$18/1000</f>
        <v>0.41038740259905804</v>
      </c>
      <c r="E40" s="173">
        <f ca="1">IF(100*(Design!$C$29+D40+C40*IF(ISBLANK(Design!$B$42),Constants!$C$6,Design!$B$42)/1000*(1+Constants!$C$36/100*(N40-25)))/($B40+D40-C40*O40/1000)&gt;Design!$C$36,Design!$C$36,100*(Design!$C$29+D40+C40*IF(ISBLANK(Design!$B$42),Constants!$C$6,Design!$B$42)/1000*(1+Constants!$C$36/100*(N40-25)))/($B40+D40-C40*O40/1000))</f>
        <v>96.387500000000003</v>
      </c>
      <c r="F40" s="115">
        <f ca="1">IF(($B40-C40*IF(ISBLANK(Design!$B$42),Constants!$C$6,Design!$B$42)/1000*(1+Constants!$C$36/100*(N40-25))-Design!$C$29)/(IF(ISBLANK(Design!$B$41),Design!$B$39,Design!$B$41)/1000000)*E40/100/(IF(ISBLANK(Design!$B$33),Design!$B$32,Design!$B$33)*1000000)&lt;0, 0, ($B40-C40*IF(ISBLANK(Design!$B$42),Constants!$C$6,Design!$B$42)/1000*(1+Constants!$C$36/100*(N40-25))-Design!$C$29)/(IF(ISBLANK(Design!$B$41),Design!$B$39,Design!$B$41)/1000000)*E40/100/(IF(ISBLANK(Design!$B$33),Design!$B$32,Design!$B$33)*1000000))</f>
        <v>0</v>
      </c>
      <c r="G40" s="165">
        <f>B40*Constants!$C$21/1000+IF(ISBLANK(Design!$B$33),Design!$B$32,Design!$B$33)*1000000*Constants!$D$25/1000000000*(B40-Constants!$C$24)</f>
        <v>1.1207499999999999E-2</v>
      </c>
      <c r="H40" s="165">
        <f>B40*C40*(B40/(Constants!$C$26*1000000000)*IF(ISBLANK(Design!$B$33),Design!$B$32,Design!$B$33)*1000000/2+B40/(Constants!$C$27*1000000000)*IF(ISBLANK(Design!$B$33),Design!$B$32,Design!$B$33)*1000000/2)</f>
        <v>1.9281824999999995E-2</v>
      </c>
      <c r="I40" s="165">
        <f t="shared" ca="1" si="1"/>
        <v>1.2544851550519649</v>
      </c>
      <c r="J40" s="165">
        <f>Constants!$D$25/1000000000*Constants!$C$24*IF(ISBLANK(Design!$B$33),Design!$B$32,Design!$B$33)*1000000</f>
        <v>1.0624999999999999E-2</v>
      </c>
      <c r="K40" s="165">
        <f t="shared" ca="1" si="4"/>
        <v>1.295599480051965</v>
      </c>
      <c r="L40" s="165">
        <f t="shared" ca="1" si="5"/>
        <v>3.7063112297227391E-2</v>
      </c>
      <c r="M40" s="166">
        <f ca="1">A40+L40*Design!$B$19</f>
        <v>87.112597400941965</v>
      </c>
      <c r="N40" s="166">
        <f ca="1">K40*Design!$C$12+A40</f>
        <v>129.05038232176682</v>
      </c>
      <c r="O40" s="166">
        <f ca="1">Constants!$D$22+Constants!$D$22*Constants!$C$23/100*(N40-25)</f>
        <v>208.24030585741346</v>
      </c>
      <c r="P40" s="165">
        <f ca="1">(1-Constants!$C$20/1000000000*Design!$B$33*1000000) * ($B40+D40-C40*O40/1000) - (D40+C40*(1+($A40-25)*Constants!$C$36/100)*IF(ISBLANK(Design!$B$42),Constants!$C$6/1000,Design!$B$42/1000))</f>
        <v>3.4659081930603231</v>
      </c>
      <c r="Q40" s="171">
        <f ca="1">IF(P40&gt;Design!$C$29,Design!$C$29,P40)</f>
        <v>3.4659081930603231</v>
      </c>
      <c r="R40" s="181">
        <f>2*Design!$D$7/3</f>
        <v>1.6666666666666667</v>
      </c>
      <c r="S40" s="116">
        <f ca="1">FORECAST(R40, OFFSET(Design!$C$15:$C$17,MATCH(R40,Design!$B$15:$B$17,1)-1,0,2), OFFSET(Design!$B$15:$B$17,MATCH(R40,Design!$B$15:$B$17,1)-1,0,2))+(AB40-25)*Design!$B$18/1000</f>
        <v>0.37279468929973358</v>
      </c>
      <c r="T40" s="182">
        <f ca="1">IF(100*(Design!$C$29+S40+R40*IF(ISBLANK(Design!$B$42),Constants!$C$6,Design!$B$42)/1000*(1+Constants!$C$36/100*(AC40-25)))/($B40+S40-R40*AD40/1000)&gt;Design!$C$36,Design!$C$36,100*(Design!$C$29+S40+R40*IF(ISBLANK(Design!$B$42),Constants!$C$6,Design!$B$42)/1000*(1+Constants!$C$36/100*(AC40-25)))/($B40+S40-R40*AD40/1000))</f>
        <v>96.387500000000003</v>
      </c>
      <c r="U40" s="117">
        <f ca="1">IF(($B40-R40*IF(ISBLANK(Design!$B$42),Constants!$C$6,Design!$B$42)/1000*(1+Constants!$C$36/100*(AC40-25))-Design!$C$29)/(Design!$B$41/1000000)*T40/100/(IF(ISBLANK(IF(ISBLANK(Design!$B$41),Design!$B$39,Design!$B$41)),Design!$B$32,Design!$B$33)*1000000)&lt;0,0,($B40-R40*IF(ISBLANK(Design!$B$42),Constants!$C$6,Design!$B$42)/1000*(1+Constants!$C$36/100*(AC40-25))-Design!$C$29)/(IF(ISBLANK(Design!$B$41),Design!$B$39,Design!$B$41)/1000000)*T40/100/(IF(ISBLANK(Design!$B$33),Design!$B$32,Design!$B$33)*1000000))</f>
        <v>0</v>
      </c>
      <c r="V40" s="183">
        <f>$B40*Constants!$C$21/1000+IF(ISBLANK(Design!$B$33),Design!$B$32,Design!$B$33)*1000000*Constants!$D$25/1000000000*($B40-Constants!$C$24)</f>
        <v>1.1207499999999999E-2</v>
      </c>
      <c r="W40" s="183">
        <f>$B40*R40*($B40/(Constants!$C$26*1000000000)*IF(ISBLANK(Design!$B$33),Design!$B$32,Design!$B$33)*1000000/2+$B40/(Constants!$C$27*1000000000)*IF(ISBLANK(Design!$B$33),Design!$B$32,Design!$B$33)*1000000/2)</f>
        <v>1.2854549999999998E-2</v>
      </c>
      <c r="X40" s="183">
        <f t="shared" ca="1" si="2"/>
        <v>0.50230233470729158</v>
      </c>
      <c r="Y40" s="183">
        <f>Constants!$D$25/1000000000*Constants!$C$24*IF(ISBLANK(Design!$B$33),Design!$B$32,Design!$B$33)*1000000</f>
        <v>1.0624999999999999E-2</v>
      </c>
      <c r="Z40" s="183">
        <f t="shared" ca="1" si="10"/>
        <v>0.53698938470729152</v>
      </c>
      <c r="AA40" s="183">
        <f t="shared" ca="1" si="7"/>
        <v>2.2445346918254772E-2</v>
      </c>
      <c r="AB40" s="184">
        <f ca="1">$A40+AA40*Design!$B$19</f>
        <v>86.279384774340528</v>
      </c>
      <c r="AC40" s="184">
        <f ca="1">Z40*Design!$C$12+$A40</f>
        <v>103.25763908004791</v>
      </c>
      <c r="AD40" s="184">
        <f ca="1">Constants!$D$22+Constants!$D$22*Constants!$C$23/100*(AC40-25)</f>
        <v>187.60611126403833</v>
      </c>
      <c r="AE40" s="183">
        <f ca="1">(1-Constants!$C$20/1000000000*Design!$B$33*1000000) * ($B40+S40-R40*AD40/1000) - (S40+R40*(1+($A40-25)*Constants!$C$36/100)*IF(ISBLANK(Design!$B$42),Constants!$C$6/1000,Design!$B$42/1000))</f>
        <v>3.708872224358005</v>
      </c>
      <c r="AF40" s="117">
        <f ca="1">IF(AE40&gt;Design!$C$29,Design!$C$29,AE40)</f>
        <v>3.708872224358005</v>
      </c>
      <c r="AG40" s="118">
        <f>Design!$D$7/3</f>
        <v>0.83333333333333337</v>
      </c>
      <c r="AH40" s="118">
        <f ca="1">FORECAST(AG40, OFFSET(Design!$C$15:$C$17,MATCH(AG40,Design!$B$15:$B$17,1)-1,0,2), OFFSET(Design!$B$15:$B$17,MATCH(AG40,Design!$B$15:$B$17,1)-1,0,2))+(AQ40-25)*Design!$B$18/1000</f>
        <v>0.30872949873502364</v>
      </c>
      <c r="AI40" s="194">
        <f ca="1">IF(100*(Design!$C$29+AH40+AG40*IF(ISBLANK(Design!$B$42),Constants!$C$6,Design!$B$42)/1000*(1+Constants!$C$36/100*(AR40-25)))/($B40+AH40-AG40*AS40/1000)&gt;Design!$C$36,Design!$C$36,100*(Design!$C$29+AH40+AG40*IF(ISBLANK(Design!$B$42),Constants!$C$6,Design!$B$42)/1000*(1+Constants!$C$36/100*(AR40-25)))/($B40+AH40-AG40*AS40/1000))</f>
        <v>96.387500000000003</v>
      </c>
      <c r="AJ40" s="119">
        <f ca="1">IF(($B40-AG40*IF(ISBLANK(Design!$B$42),Constants!$C$6,Design!$B$42)/1000*(1+Constants!$C$36/100*(AR40-25))-Design!$C$29)/(IF(ISBLANK(Design!$B$41),Design!$B$39,Design!$B$41)/1000000)*AI40/100/(IF(ISBLANK(Design!$B$33),Design!$B$32,Design!$B$33)*1000000)&lt;0,0,($B40-AG40*IF(ISBLANK(Design!$B$42),Constants!$C$6,Design!$B$42)/1000*(1+Constants!$C$36/100*(AR40-25))-Design!$C$29)/(IF(ISBLANK(Design!$B$41),Design!$B$39,Design!$B$41)/1000000)*AI40/100/(IF(ISBLANK(Design!$B$33),Design!$B$32,Design!$B$33)*1000000))</f>
        <v>0</v>
      </c>
      <c r="AK40" s="195">
        <f>$B40*Constants!$C$21/1000+IF(ISBLANK(Design!$B$33),Design!$B$32,Design!$B$33)*1000000*Constants!$D$25/1000000000*($B40-Constants!$C$24)</f>
        <v>1.1207499999999999E-2</v>
      </c>
      <c r="AL40" s="195">
        <f>$B40*AG40*($B40/(Constants!$C$26*1000000000)*IF(ISBLANK(Design!$B$33),Design!$B$32,Design!$B$33)*1000000/2+$B40/(Constants!$C$27*1000000000)*IF(ISBLANK(Design!$B$33),Design!$B$32,Design!$B$33)*1000000/2)</f>
        <v>6.4272749999999988E-3</v>
      </c>
      <c r="AM40" s="195">
        <f t="shared" ca="1" si="3"/>
        <v>0.11847031702404955</v>
      </c>
      <c r="AN40" s="195">
        <f>Constants!$D$25/1000000000*Constants!$C$24*IF(ISBLANK(Design!$B$33),Design!$B$32,Design!$B$33)*1000000</f>
        <v>1.0624999999999999E-2</v>
      </c>
      <c r="AO40" s="195">
        <f t="shared" ca="1" si="11"/>
        <v>0.14673009202404955</v>
      </c>
      <c r="AP40" s="195">
        <f t="shared" ca="1" si="9"/>
        <v>9.2940442848355974E-3</v>
      </c>
      <c r="AQ40" s="196">
        <f ca="1">$A40+AP40*Design!$B$19</f>
        <v>85.529760524235627</v>
      </c>
      <c r="AR40" s="196">
        <f ca="1">AO40*Design!$C$12+$A40</f>
        <v>89.988823128817685</v>
      </c>
      <c r="AS40" s="196">
        <f ca="1">Constants!$D$22+Constants!$D$22*Constants!$C$23/100*(AR40-25)</f>
        <v>176.99105850305415</v>
      </c>
      <c r="AT40" s="195">
        <f ca="1">(1-Constants!$C$20/1000000000*Design!$B$33*1000000) * ($B40+AH40-AG40*AS40/1000) - (AH40+AG40*(1+($A40-25)*Constants!$C$36/100)*IF(ISBLANK(Design!$B$42),Constants!$C$6/1000,Design!$B$42/1000))</f>
        <v>3.9115969330960039</v>
      </c>
      <c r="AU40" s="119">
        <f ca="1">IF(AT40&gt;Design!$C$29,Design!$C$29,AT40)</f>
        <v>3.9115969330960039</v>
      </c>
    </row>
    <row r="41" spans="1:47" s="120" customFormat="1" ht="12.75" customHeight="1">
      <c r="A41" s="112">
        <f>Design!$D$13</f>
        <v>85</v>
      </c>
      <c r="B41" s="113">
        <f t="shared" si="0"/>
        <v>4.0449999999999999</v>
      </c>
      <c r="C41" s="114">
        <f>Design!$D$7</f>
        <v>2.5</v>
      </c>
      <c r="D41" s="114">
        <f ca="1">FORECAST(C41, OFFSET(Design!$C$15:$C$17,MATCH(C41,Design!$B$15:$B$17,1)-1,0,2), OFFSET(Design!$B$15:$B$17,MATCH(C41,Design!$B$15:$B$17,1)-1,0,2))+(M41-25)*Design!$B$18/1000</f>
        <v>0.41038740259905804</v>
      </c>
      <c r="E41" s="173">
        <f ca="1">IF(100*(Design!$C$29+D41+C41*IF(ISBLANK(Design!$B$42),Constants!$C$6,Design!$B$42)/1000*(1+Constants!$C$36/100*(N41-25)))/($B41+D41-C41*O41/1000)&gt;Design!$C$36,Design!$C$36,100*(Design!$C$29+D41+C41*IF(ISBLANK(Design!$B$42),Constants!$C$6,Design!$B$42)/1000*(1+Constants!$C$36/100*(N41-25)))/($B41+D41-C41*O41/1000))</f>
        <v>96.387500000000003</v>
      </c>
      <c r="F41" s="115">
        <f ca="1">IF(($B41-C41*IF(ISBLANK(Design!$B$42),Constants!$C$6,Design!$B$42)/1000*(1+Constants!$C$36/100*(N41-25))-Design!$C$29)/(IF(ISBLANK(Design!$B$41),Design!$B$39,Design!$B$41)/1000000)*E41/100/(IF(ISBLANK(Design!$B$33),Design!$B$32,Design!$B$33)*1000000)&lt;0, 0, ($B41-C41*IF(ISBLANK(Design!$B$42),Constants!$C$6,Design!$B$42)/1000*(1+Constants!$C$36/100*(N41-25))-Design!$C$29)/(IF(ISBLANK(Design!$B$41),Design!$B$39,Design!$B$41)/1000000)*E41/100/(IF(ISBLANK(Design!$B$33),Design!$B$32,Design!$B$33)*1000000))</f>
        <v>0</v>
      </c>
      <c r="G41" s="165">
        <f>B41*Constants!$C$21/1000+IF(ISBLANK(Design!$B$33),Design!$B$32,Design!$B$33)*1000000*Constants!$D$25/1000000000*(B41-Constants!$C$24)</f>
        <v>1.0105625E-2</v>
      </c>
      <c r="H41" s="165">
        <f>B41*C41*(B41/(Constants!$C$26*1000000000)*IF(ISBLANK(Design!$B$33),Design!$B$32,Design!$B$33)*1000000/2+B41/(Constants!$C$27*1000000000)*IF(ISBLANK(Design!$B$33),Design!$B$32,Design!$B$33)*1000000/2)</f>
        <v>1.7384651562500002E-2</v>
      </c>
      <c r="I41" s="165">
        <f t="shared" ca="1" si="1"/>
        <v>1.2538974309943871</v>
      </c>
      <c r="J41" s="165">
        <f>Constants!$D$25/1000000000*Constants!$C$24*IF(ISBLANK(Design!$B$33),Design!$B$32,Design!$B$33)*1000000</f>
        <v>1.0624999999999999E-2</v>
      </c>
      <c r="K41" s="165">
        <f t="shared" ca="1" si="4"/>
        <v>1.2920127075568872</v>
      </c>
      <c r="L41" s="165">
        <f t="shared" ca="1" si="5"/>
        <v>3.7063112297227391E-2</v>
      </c>
      <c r="M41" s="166">
        <f ca="1">A41+L41*Design!$B$19</f>
        <v>87.112597400941965</v>
      </c>
      <c r="N41" s="166">
        <f ca="1">K41*Design!$C$12+A41</f>
        <v>128.92843205693416</v>
      </c>
      <c r="O41" s="166">
        <f ca="1">Constants!$D$22+Constants!$D$22*Constants!$C$23/100*(N41-25)</f>
        <v>208.14274564554734</v>
      </c>
      <c r="P41" s="165">
        <f ca="1">(1-Constants!$C$20/1000000000*Design!$B$33*1000000) * ($B41+D41-C41*O41/1000) - (D41+C41*(1+($A41-25)*Constants!$C$36/100)*IF(ISBLANK(Design!$B$42),Constants!$C$6/1000,Design!$B$42/1000))</f>
        <v>3.2589101576833541</v>
      </c>
      <c r="Q41" s="171">
        <f ca="1">IF(P41&gt;Design!$C$29,Design!$C$29,P41)</f>
        <v>3.2589101576833541</v>
      </c>
      <c r="R41" s="181">
        <f>2*Design!$D$7/3</f>
        <v>1.6666666666666667</v>
      </c>
      <c r="S41" s="116">
        <f ca="1">FORECAST(R41, OFFSET(Design!$C$15:$C$17,MATCH(R41,Design!$B$15:$B$17,1)-1,0,2), OFFSET(Design!$B$15:$B$17,MATCH(R41,Design!$B$15:$B$17,1)-1,0,2))+(AB41-25)*Design!$B$18/1000</f>
        <v>0.37279468929973358</v>
      </c>
      <c r="T41" s="182">
        <f ca="1">IF(100*(Design!$C$29+S41+R41*IF(ISBLANK(Design!$B$42),Constants!$C$6,Design!$B$42)/1000*(1+Constants!$C$36/100*(AC41-25)))/($B41+S41-R41*AD41/1000)&gt;Design!$C$36,Design!$C$36,100*(Design!$C$29+S41+R41*IF(ISBLANK(Design!$B$42),Constants!$C$6,Design!$B$42)/1000*(1+Constants!$C$36/100*(AC41-25)))/($B41+S41-R41*AD41/1000))</f>
        <v>96.387500000000003</v>
      </c>
      <c r="U41" s="117">
        <f ca="1">IF(($B41-R41*IF(ISBLANK(Design!$B$42),Constants!$C$6,Design!$B$42)/1000*(1+Constants!$C$36/100*(AC41-25))-Design!$C$29)/(Design!$B$41/1000000)*T41/100/(IF(ISBLANK(IF(ISBLANK(Design!$B$41),Design!$B$39,Design!$B$41)),Design!$B$32,Design!$B$33)*1000000)&lt;0,0,($B41-R41*IF(ISBLANK(Design!$B$42),Constants!$C$6,Design!$B$42)/1000*(1+Constants!$C$36/100*(AC41-25))-Design!$C$29)/(IF(ISBLANK(Design!$B$41),Design!$B$39,Design!$B$41)/1000000)*T41/100/(IF(ISBLANK(Design!$B$33),Design!$B$32,Design!$B$33)*1000000))</f>
        <v>0</v>
      </c>
      <c r="V41" s="183">
        <f>$B41*Constants!$C$21/1000+IF(ISBLANK(Design!$B$33),Design!$B$32,Design!$B$33)*1000000*Constants!$D$25/1000000000*($B41-Constants!$C$24)</f>
        <v>1.0105625E-2</v>
      </c>
      <c r="W41" s="183">
        <f>$B41*R41*($B41/(Constants!$C$26*1000000000)*IF(ISBLANK(Design!$B$33),Design!$B$32,Design!$B$33)*1000000/2+$B41/(Constants!$C$27*1000000000)*IF(ISBLANK(Design!$B$33),Design!$B$32,Design!$B$33)*1000000/2)</f>
        <v>1.1589767708333334E-2</v>
      </c>
      <c r="X41" s="183">
        <f t="shared" ca="1" si="2"/>
        <v>0.50211644245024001</v>
      </c>
      <c r="Y41" s="183">
        <f>Constants!$D$25/1000000000*Constants!$C$24*IF(ISBLANK(Design!$B$33),Design!$B$32,Design!$B$33)*1000000</f>
        <v>1.0624999999999999E-2</v>
      </c>
      <c r="Z41" s="183">
        <f t="shared" ca="1" si="10"/>
        <v>0.53443683515857332</v>
      </c>
      <c r="AA41" s="183">
        <f t="shared" ca="1" si="7"/>
        <v>2.2445346918254772E-2</v>
      </c>
      <c r="AB41" s="184">
        <f ca="1">$A41+AA41*Design!$B$19</f>
        <v>86.279384774340528</v>
      </c>
      <c r="AC41" s="184">
        <f ca="1">Z41*Design!$C$12+$A41</f>
        <v>103.17085239539149</v>
      </c>
      <c r="AD41" s="184">
        <f ca="1">Constants!$D$22+Constants!$D$22*Constants!$C$23/100*(AC41-25)</f>
        <v>187.5366819163132</v>
      </c>
      <c r="AE41" s="183">
        <f ca="1">(1-Constants!$C$20/1000000000*Design!$B$33*1000000) * ($B41+S41-R41*AD41/1000) - (S41+R41*(1+($A41-25)*Constants!$C$36/100)*IF(ISBLANK(Design!$B$42),Constants!$C$6/1000,Design!$B$42/1000))</f>
        <v>3.5017506347122369</v>
      </c>
      <c r="AF41" s="117">
        <f ca="1">IF(AE41&gt;Design!$C$29,Design!$C$29,AE41)</f>
        <v>3.5017506347122369</v>
      </c>
      <c r="AG41" s="118">
        <f>Design!$D$7/3</f>
        <v>0.83333333333333337</v>
      </c>
      <c r="AH41" s="118">
        <f ca="1">FORECAST(AG41, OFFSET(Design!$C$15:$C$17,MATCH(AG41,Design!$B$15:$B$17,1)-1,0,2), OFFSET(Design!$B$15:$B$17,MATCH(AG41,Design!$B$15:$B$17,1)-1,0,2))+(AQ41-25)*Design!$B$18/1000</f>
        <v>0.30872949873502364</v>
      </c>
      <c r="AI41" s="194">
        <f ca="1">IF(100*(Design!$C$29+AH41+AG41*IF(ISBLANK(Design!$B$42),Constants!$C$6,Design!$B$42)/1000*(1+Constants!$C$36/100*(AR41-25)))/($B41+AH41-AG41*AS41/1000)&gt;Design!$C$36,Design!$C$36,100*(Design!$C$29+AH41+AG41*IF(ISBLANK(Design!$B$42),Constants!$C$6,Design!$B$42)/1000*(1+Constants!$C$36/100*(AR41-25)))/($B41+AH41-AG41*AS41/1000))</f>
        <v>96.387500000000003</v>
      </c>
      <c r="AJ41" s="119">
        <f ca="1">IF(($B41-AG41*IF(ISBLANK(Design!$B$42),Constants!$C$6,Design!$B$42)/1000*(1+Constants!$C$36/100*(AR41-25))-Design!$C$29)/(IF(ISBLANK(Design!$B$41),Design!$B$39,Design!$B$41)/1000000)*AI41/100/(IF(ISBLANK(Design!$B$33),Design!$B$32,Design!$B$33)*1000000)&lt;0,0,($B41-AG41*IF(ISBLANK(Design!$B$42),Constants!$C$6,Design!$B$42)/1000*(1+Constants!$C$36/100*(AR41-25))-Design!$C$29)/(IF(ISBLANK(Design!$B$41),Design!$B$39,Design!$B$41)/1000000)*AI41/100/(IF(ISBLANK(Design!$B$33),Design!$B$32,Design!$B$33)*1000000))</f>
        <v>0</v>
      </c>
      <c r="AK41" s="195">
        <f>$B41*Constants!$C$21/1000+IF(ISBLANK(Design!$B$33),Design!$B$32,Design!$B$33)*1000000*Constants!$D$25/1000000000*($B41-Constants!$C$24)</f>
        <v>1.0105625E-2</v>
      </c>
      <c r="AL41" s="195">
        <f>$B41*AG41*($B41/(Constants!$C$26*1000000000)*IF(ISBLANK(Design!$B$33),Design!$B$32,Design!$B$33)*1000000/2+$B41/(Constants!$C$27*1000000000)*IF(ISBLANK(Design!$B$33),Design!$B$32,Design!$B$33)*1000000/2)</f>
        <v>5.7948838541666669E-3</v>
      </c>
      <c r="AM41" s="195">
        <f t="shared" ca="1" si="3"/>
        <v>0.11843815652833276</v>
      </c>
      <c r="AN41" s="195">
        <f>Constants!$D$25/1000000000*Constants!$C$24*IF(ISBLANK(Design!$B$33),Design!$B$32,Design!$B$33)*1000000</f>
        <v>1.0624999999999999E-2</v>
      </c>
      <c r="AO41" s="195">
        <f t="shared" ca="1" si="11"/>
        <v>0.14496366538249941</v>
      </c>
      <c r="AP41" s="195">
        <f t="shared" ca="1" si="9"/>
        <v>9.2940442848355974E-3</v>
      </c>
      <c r="AQ41" s="196">
        <f ca="1">$A41+AP41*Design!$B$19</f>
        <v>85.529760524235627</v>
      </c>
      <c r="AR41" s="196">
        <f ca="1">AO41*Design!$C$12+$A41</f>
        <v>89.92876462300498</v>
      </c>
      <c r="AS41" s="196">
        <f ca="1">Constants!$D$22+Constants!$D$22*Constants!$C$23/100*(AR41-25)</f>
        <v>176.94301169840398</v>
      </c>
      <c r="AT41" s="195">
        <f ca="1">(1-Constants!$C$20/1000000000*Design!$B$33*1000000) * ($B41+AH41-AG41*AS41/1000) - (AH41+AG41*(1+($A41-25)*Constants!$C$36/100)*IF(ISBLANK(Design!$B$42),Constants!$C$6/1000,Design!$B$42/1000))</f>
        <v>3.704402400690864</v>
      </c>
      <c r="AU41" s="119">
        <f ca="1">IF(AT41&gt;Design!$C$29,Design!$C$29,AT41)</f>
        <v>3.704402400690864</v>
      </c>
    </row>
    <row r="42" spans="1:47" s="120" customFormat="1" ht="12.75" customHeight="1">
      <c r="A42" s="112">
        <f>Design!$D$13</f>
        <v>85</v>
      </c>
      <c r="B42" s="113">
        <f t="shared" si="0"/>
        <v>3.8299999999999996</v>
      </c>
      <c r="C42" s="114">
        <f>Design!$D$7</f>
        <v>2.5</v>
      </c>
      <c r="D42" s="114">
        <f ca="1">FORECAST(C42, OFFSET(Design!$C$15:$C$17,MATCH(C42,Design!$B$15:$B$17,1)-1,0,2), OFFSET(Design!$B$15:$B$17,MATCH(C42,Design!$B$15:$B$17,1)-1,0,2))+(M42-25)*Design!$B$18/1000</f>
        <v>0.41038740259905804</v>
      </c>
      <c r="E42" s="173">
        <f ca="1">IF(100*(Design!$C$29+D42+C42*IF(ISBLANK(Design!$B$42),Constants!$C$6,Design!$B$42)/1000*(1+Constants!$C$36/100*(N42-25)))/($B42+D42-C42*O42/1000)&gt;Design!$C$36,Design!$C$36,100*(Design!$C$29+D42+C42*IF(ISBLANK(Design!$B$42),Constants!$C$6,Design!$B$42)/1000*(1+Constants!$C$36/100*(N42-25)))/($B42+D42-C42*O42/1000))</f>
        <v>96.387500000000003</v>
      </c>
      <c r="F42" s="115">
        <f ca="1">IF(($B42-C42*IF(ISBLANK(Design!$B$42),Constants!$C$6,Design!$B$42)/1000*(1+Constants!$C$36/100*(N42-25))-Design!$C$29)/(IF(ISBLANK(Design!$B$41),Design!$B$39,Design!$B$41)/1000000)*E42/100/(IF(ISBLANK(Design!$B$33),Design!$B$32,Design!$B$33)*1000000)&lt;0, 0, ($B42-C42*IF(ISBLANK(Design!$B$42),Constants!$C$6,Design!$B$42)/1000*(1+Constants!$C$36/100*(N42-25))-Design!$C$29)/(IF(ISBLANK(Design!$B$41),Design!$B$39,Design!$B$41)/1000000)*E42/100/(IF(ISBLANK(Design!$B$33),Design!$B$32,Design!$B$33)*1000000))</f>
        <v>0</v>
      </c>
      <c r="G42" s="165">
        <f>B42*Constants!$C$21/1000+IF(ISBLANK(Design!$B$33),Design!$B$32,Design!$B$33)*1000000*Constants!$D$25/1000000000*(B42-Constants!$C$24)</f>
        <v>9.0037499999999979E-3</v>
      </c>
      <c r="H42" s="165">
        <f>B42*C42*(B42/(Constants!$C$26*1000000000)*IF(ISBLANK(Design!$B$33),Design!$B$32,Design!$B$33)*1000000/2+B42/(Constants!$C$27*1000000000)*IF(ISBLANK(Design!$B$33),Design!$B$32,Design!$B$33)*1000000/2)</f>
        <v>1.5585706249999996E-2</v>
      </c>
      <c r="I42" s="165">
        <f t="shared" ca="1" si="1"/>
        <v>1.2533289567199977</v>
      </c>
      <c r="J42" s="165">
        <f>Constants!$D$25/1000000000*Constants!$C$24*IF(ISBLANK(Design!$B$33),Design!$B$32,Design!$B$33)*1000000</f>
        <v>1.0624999999999999E-2</v>
      </c>
      <c r="K42" s="165">
        <f t="shared" ca="1" si="4"/>
        <v>1.2885434129699977</v>
      </c>
      <c r="L42" s="165">
        <f t="shared" ca="1" si="5"/>
        <v>3.7063112297227391E-2</v>
      </c>
      <c r="M42" s="166">
        <f ca="1">A42+L42*Design!$B$19</f>
        <v>87.112597400941965</v>
      </c>
      <c r="N42" s="166">
        <f ca="1">K42*Design!$C$12+A42</f>
        <v>128.81047604097992</v>
      </c>
      <c r="O42" s="166">
        <f ca="1">Constants!$D$22+Constants!$D$22*Constants!$C$23/100*(N42-25)</f>
        <v>208.04838083278395</v>
      </c>
      <c r="P42" s="165">
        <f ca="1">(1-Constants!$C$20/1000000000*Design!$B$33*1000000) * ($B42+D42-C42*O42/1000) - (D42+C42*(1+($A42-25)*Constants!$C$36/100)*IF(ISBLANK(Design!$B$42),Constants!$C$6/1000,Design!$B$42/1000))</f>
        <v>3.0519044223931093</v>
      </c>
      <c r="Q42" s="171">
        <f ca="1">IF(P42&gt;Design!$C$29,Design!$C$29,P42)</f>
        <v>3.0519044223931093</v>
      </c>
      <c r="R42" s="181">
        <f>2*Design!$D$7/3</f>
        <v>1.6666666666666667</v>
      </c>
      <c r="S42" s="116">
        <f ca="1">FORECAST(R42, OFFSET(Design!$C$15:$C$17,MATCH(R42,Design!$B$15:$B$17,1)-1,0,2), OFFSET(Design!$B$15:$B$17,MATCH(R42,Design!$B$15:$B$17,1)-1,0,2))+(AB42-25)*Design!$B$18/1000</f>
        <v>0.37279468929973358</v>
      </c>
      <c r="T42" s="182">
        <f ca="1">IF(100*(Design!$C$29+S42+R42*IF(ISBLANK(Design!$B$42),Constants!$C$6,Design!$B$42)/1000*(1+Constants!$C$36/100*(AC42-25)))/($B42+S42-R42*AD42/1000)&gt;Design!$C$36,Design!$C$36,100*(Design!$C$29+S42+R42*IF(ISBLANK(Design!$B$42),Constants!$C$6,Design!$B$42)/1000*(1+Constants!$C$36/100*(AC42-25)))/($B42+S42-R42*AD42/1000))</f>
        <v>96.387500000000003</v>
      </c>
      <c r="U42" s="117">
        <f ca="1">IF(($B42-R42*IF(ISBLANK(Design!$B$42),Constants!$C$6,Design!$B$42)/1000*(1+Constants!$C$36/100*(AC42-25))-Design!$C$29)/(Design!$B$41/1000000)*T42/100/(IF(ISBLANK(IF(ISBLANK(Design!$B$41),Design!$B$39,Design!$B$41)),Design!$B$32,Design!$B$33)*1000000)&lt;0,0,($B42-R42*IF(ISBLANK(Design!$B$42),Constants!$C$6,Design!$B$42)/1000*(1+Constants!$C$36/100*(AC42-25))-Design!$C$29)/(IF(ISBLANK(Design!$B$41),Design!$B$39,Design!$B$41)/1000000)*T42/100/(IF(ISBLANK(Design!$B$33),Design!$B$32,Design!$B$33)*1000000))</f>
        <v>0</v>
      </c>
      <c r="V42" s="183">
        <f>$B42*Constants!$C$21/1000+IF(ISBLANK(Design!$B$33),Design!$B$32,Design!$B$33)*1000000*Constants!$D$25/1000000000*($B42-Constants!$C$24)</f>
        <v>9.0037499999999979E-3</v>
      </c>
      <c r="W42" s="183">
        <f>$B42*R42*($B42/(Constants!$C$26*1000000000)*IF(ISBLANK(Design!$B$33),Design!$B$32,Design!$B$33)*1000000/2+$B42/(Constants!$C$27*1000000000)*IF(ISBLANK(Design!$B$33),Design!$B$32,Design!$B$33)*1000000/2)</f>
        <v>1.039047083333333E-2</v>
      </c>
      <c r="X42" s="183">
        <f t="shared" ca="1" si="2"/>
        <v>0.50193569383267989</v>
      </c>
      <c r="Y42" s="183">
        <f>Constants!$D$25/1000000000*Constants!$C$24*IF(ISBLANK(Design!$B$33),Design!$B$32,Design!$B$33)*1000000</f>
        <v>1.0624999999999999E-2</v>
      </c>
      <c r="Z42" s="183">
        <f t="shared" ca="1" si="10"/>
        <v>0.53195491466601319</v>
      </c>
      <c r="AA42" s="183">
        <f t="shared" ca="1" si="7"/>
        <v>2.2445346918254772E-2</v>
      </c>
      <c r="AB42" s="184">
        <f ca="1">$A42+AA42*Design!$B$19</f>
        <v>86.279384774340528</v>
      </c>
      <c r="AC42" s="184">
        <f ca="1">Z42*Design!$C$12+$A42</f>
        <v>103.08646709864445</v>
      </c>
      <c r="AD42" s="184">
        <f ca="1">Constants!$D$22+Constants!$D$22*Constants!$C$23/100*(AC42-25)</f>
        <v>187.46917367891555</v>
      </c>
      <c r="AE42" s="183">
        <f ca="1">(1-Constants!$C$20/1000000000*Design!$B$33*1000000) * ($B42+S42-R42*AD42/1000) - (S42+R42*(1+($A42-25)*Constants!$C$36/100)*IF(ISBLANK(Design!$B$42),Constants!$C$6/1000,Design!$B$42/1000))</f>
        <v>3.2946259588827718</v>
      </c>
      <c r="AF42" s="117">
        <f ca="1">IF(AE42&gt;Design!$C$29,Design!$C$29,AE42)</f>
        <v>3.2946259588827718</v>
      </c>
      <c r="AG42" s="118">
        <f>Design!$D$7/3</f>
        <v>0.83333333333333337</v>
      </c>
      <c r="AH42" s="118">
        <f ca="1">FORECAST(AG42, OFFSET(Design!$C$15:$C$17,MATCH(AG42,Design!$B$15:$B$17,1)-1,0,2), OFFSET(Design!$B$15:$B$17,MATCH(AG42,Design!$B$15:$B$17,1)-1,0,2))+(AQ42-25)*Design!$B$18/1000</f>
        <v>0.30872949873502364</v>
      </c>
      <c r="AI42" s="194">
        <f ca="1">IF(100*(Design!$C$29+AH42+AG42*IF(ISBLANK(Design!$B$42),Constants!$C$6,Design!$B$42)/1000*(1+Constants!$C$36/100*(AR42-25)))/($B42+AH42-AG42*AS42/1000)&gt;Design!$C$36,Design!$C$36,100*(Design!$C$29+AH42+AG42*IF(ISBLANK(Design!$B$42),Constants!$C$6,Design!$B$42)/1000*(1+Constants!$C$36/100*(AR42-25)))/($B42+AH42-AG42*AS42/1000))</f>
        <v>96.387500000000003</v>
      </c>
      <c r="AJ42" s="119">
        <f ca="1">IF(($B42-AG42*IF(ISBLANK(Design!$B$42),Constants!$C$6,Design!$B$42)/1000*(1+Constants!$C$36/100*(AR42-25))-Design!$C$29)/(IF(ISBLANK(Design!$B$41),Design!$B$39,Design!$B$41)/1000000)*AI42/100/(IF(ISBLANK(Design!$B$33),Design!$B$32,Design!$B$33)*1000000)&lt;0,0,($B42-AG42*IF(ISBLANK(Design!$B$42),Constants!$C$6,Design!$B$42)/1000*(1+Constants!$C$36/100*(AR42-25))-Design!$C$29)/(IF(ISBLANK(Design!$B$41),Design!$B$39,Design!$B$41)/1000000)*AI42/100/(IF(ISBLANK(Design!$B$33),Design!$B$32,Design!$B$33)*1000000))</f>
        <v>0</v>
      </c>
      <c r="AK42" s="195">
        <f>$B42*Constants!$C$21/1000+IF(ISBLANK(Design!$B$33),Design!$B$32,Design!$B$33)*1000000*Constants!$D$25/1000000000*($B42-Constants!$C$24)</f>
        <v>9.0037499999999979E-3</v>
      </c>
      <c r="AL42" s="195">
        <f>$B42*AG42*($B42/(Constants!$C$26*1000000000)*IF(ISBLANK(Design!$B$33),Design!$B$32,Design!$B$33)*1000000/2+$B42/(Constants!$C$27*1000000000)*IF(ISBLANK(Design!$B$33),Design!$B$32,Design!$B$33)*1000000/2)</f>
        <v>5.195235416666665E-3</v>
      </c>
      <c r="AM42" s="195">
        <f t="shared" ca="1" si="3"/>
        <v>0.1184066032183894</v>
      </c>
      <c r="AN42" s="195">
        <f>Constants!$D$25/1000000000*Constants!$C$24*IF(ISBLANK(Design!$B$33),Design!$B$32,Design!$B$33)*1000000</f>
        <v>1.0624999999999999E-2</v>
      </c>
      <c r="AO42" s="195">
        <f t="shared" ca="1" si="11"/>
        <v>0.14323058863505606</v>
      </c>
      <c r="AP42" s="195">
        <f t="shared" ca="1" si="9"/>
        <v>9.2940442848355974E-3</v>
      </c>
      <c r="AQ42" s="196">
        <f ca="1">$A42+AP42*Design!$B$19</f>
        <v>85.529760524235627</v>
      </c>
      <c r="AR42" s="196">
        <f ca="1">AO42*Design!$C$12+$A42</f>
        <v>89.869840013591912</v>
      </c>
      <c r="AS42" s="196">
        <f ca="1">Constants!$D$22+Constants!$D$22*Constants!$C$23/100*(AR42-25)</f>
        <v>176.89587201087352</v>
      </c>
      <c r="AT42" s="195">
        <f ca="1">(1-Constants!$C$20/1000000000*Design!$B$33*1000000) * ($B42+AH42-AG42*AS42/1000) - (AH42+AG42*(1+($A42-25)*Constants!$C$36/100)*IF(ISBLANK(Design!$B$42),Constants!$C$6/1000,Design!$B$42/1000))</f>
        <v>3.4972071396627968</v>
      </c>
      <c r="AU42" s="119">
        <f ca="1">IF(AT42&gt;Design!$C$29,Design!$C$29,AT42)</f>
        <v>3.4972071396627968</v>
      </c>
    </row>
    <row r="43" spans="1:47" s="120" customFormat="1" ht="12.75" customHeight="1">
      <c r="A43" s="112">
        <f>Design!$D$13</f>
        <v>85</v>
      </c>
      <c r="B43" s="113">
        <f t="shared" si="0"/>
        <v>3.6149999999999998</v>
      </c>
      <c r="C43" s="114">
        <f>Design!$D$7</f>
        <v>2.5</v>
      </c>
      <c r="D43" s="114">
        <f ca="1">FORECAST(C43, OFFSET(Design!$C$15:$C$17,MATCH(C43,Design!$B$15:$B$17,1)-1,0,2), OFFSET(Design!$B$15:$B$17,MATCH(C43,Design!$B$15:$B$17,1)-1,0,2))+(M43-25)*Design!$B$18/1000</f>
        <v>0.41038740259905804</v>
      </c>
      <c r="E43" s="173">
        <f ca="1">IF(100*(Design!$C$29+D43+C43*IF(ISBLANK(Design!$B$42),Constants!$C$6,Design!$B$42)/1000*(1+Constants!$C$36/100*(N43-25)))/($B43+D43-C43*O43/1000)&gt;Design!$C$36,Design!$C$36,100*(Design!$C$29+D43+C43*IF(ISBLANK(Design!$B$42),Constants!$C$6,Design!$B$42)/1000*(1+Constants!$C$36/100*(N43-25)))/($B43+D43-C43*O43/1000))</f>
        <v>96.387500000000003</v>
      </c>
      <c r="F43" s="115">
        <f ca="1">IF(($B43-C43*IF(ISBLANK(Design!$B$42),Constants!$C$6,Design!$B$42)/1000*(1+Constants!$C$36/100*(N43-25))-Design!$C$29)/(IF(ISBLANK(Design!$B$41),Design!$B$39,Design!$B$41)/1000000)*E43/100/(IF(ISBLANK(Design!$B$33),Design!$B$32,Design!$B$33)*1000000)&lt;0, 0, ($B43-C43*IF(ISBLANK(Design!$B$42),Constants!$C$6,Design!$B$42)/1000*(1+Constants!$C$36/100*(N43-25))-Design!$C$29)/(IF(ISBLANK(Design!$B$41),Design!$B$39,Design!$B$41)/1000000)*E43/100/(IF(ISBLANK(Design!$B$33),Design!$B$32,Design!$B$33)*1000000))</f>
        <v>0</v>
      </c>
      <c r="G43" s="165">
        <f>B43*Constants!$C$21/1000+IF(ISBLANK(Design!$B$33),Design!$B$32,Design!$B$33)*1000000*Constants!$D$25/1000000000*(B43-Constants!$C$24)</f>
        <v>7.9018749999999974E-3</v>
      </c>
      <c r="H43" s="165">
        <f>B43*C43*(B43/(Constants!$C$26*1000000000)*IF(ISBLANK(Design!$B$33),Design!$B$32,Design!$B$33)*1000000/2+B43/(Constants!$C$27*1000000000)*IF(ISBLANK(Design!$B$33),Design!$B$32,Design!$B$33)*1000000/2)</f>
        <v>1.3884989062499999E-2</v>
      </c>
      <c r="I43" s="165">
        <f t="shared" ca="1" si="1"/>
        <v>1.2527797322287966</v>
      </c>
      <c r="J43" s="165">
        <f>Constants!$D$25/1000000000*Constants!$C$24*IF(ISBLANK(Design!$B$33),Design!$B$32,Design!$B$33)*1000000</f>
        <v>1.0624999999999999E-2</v>
      </c>
      <c r="K43" s="165">
        <f t="shared" ca="1" si="4"/>
        <v>1.2851915962912968</v>
      </c>
      <c r="L43" s="165">
        <f t="shared" ca="1" si="5"/>
        <v>3.7063112297227391E-2</v>
      </c>
      <c r="M43" s="166">
        <f ca="1">A43+L43*Design!$B$19</f>
        <v>87.112597400941965</v>
      </c>
      <c r="N43" s="166">
        <f ca="1">K43*Design!$C$12+A43</f>
        <v>128.69651427390409</v>
      </c>
      <c r="O43" s="166">
        <f ca="1">Constants!$D$22+Constants!$D$22*Constants!$C$23/100*(N43-25)</f>
        <v>207.95721141912327</v>
      </c>
      <c r="P43" s="165">
        <f ca="1">(1-Constants!$C$20/1000000000*Design!$B$33*1000000) * ($B43+D43-C43*O43/1000) - (D43+C43*(1+($A43-25)*Constants!$C$36/100)*IF(ISBLANK(Design!$B$42),Constants!$C$6/1000,Design!$B$42/1000))</f>
        <v>2.84489098718959</v>
      </c>
      <c r="Q43" s="171">
        <f ca="1">IF(P43&gt;Design!$C$29,Design!$C$29,P43)</f>
        <v>2.84489098718959</v>
      </c>
      <c r="R43" s="181">
        <f>2*Design!$D$7/3</f>
        <v>1.6666666666666667</v>
      </c>
      <c r="S43" s="116">
        <f ca="1">FORECAST(R43, OFFSET(Design!$C$15:$C$17,MATCH(R43,Design!$B$15:$B$17,1)-1,0,2), OFFSET(Design!$B$15:$B$17,MATCH(R43,Design!$B$15:$B$17,1)-1,0,2))+(AB43-25)*Design!$B$18/1000</f>
        <v>0.37279468929973358</v>
      </c>
      <c r="T43" s="182">
        <f ca="1">IF(100*(Design!$C$29+S43+R43*IF(ISBLANK(Design!$B$42),Constants!$C$6,Design!$B$42)/1000*(1+Constants!$C$36/100*(AC43-25)))/($B43+S43-R43*AD43/1000)&gt;Design!$C$36,Design!$C$36,100*(Design!$C$29+S43+R43*IF(ISBLANK(Design!$B$42),Constants!$C$6,Design!$B$42)/1000*(1+Constants!$C$36/100*(AC43-25)))/($B43+S43-R43*AD43/1000))</f>
        <v>96.387500000000003</v>
      </c>
      <c r="U43" s="117">
        <f ca="1">IF(($B43-R43*IF(ISBLANK(Design!$B$42),Constants!$C$6,Design!$B$42)/1000*(1+Constants!$C$36/100*(AC43-25))-Design!$C$29)/(Design!$B$41/1000000)*T43/100/(IF(ISBLANK(IF(ISBLANK(Design!$B$41),Design!$B$39,Design!$B$41)),Design!$B$32,Design!$B$33)*1000000)&lt;0,0,($B43-R43*IF(ISBLANK(Design!$B$42),Constants!$C$6,Design!$B$42)/1000*(1+Constants!$C$36/100*(AC43-25))-Design!$C$29)/(IF(ISBLANK(Design!$B$41),Design!$B$39,Design!$B$41)/1000000)*T43/100/(IF(ISBLANK(Design!$B$33),Design!$B$32,Design!$B$33)*1000000))</f>
        <v>0</v>
      </c>
      <c r="V43" s="183">
        <f>$B43*Constants!$C$21/1000+IF(ISBLANK(Design!$B$33),Design!$B$32,Design!$B$33)*1000000*Constants!$D$25/1000000000*($B43-Constants!$C$24)</f>
        <v>7.9018749999999974E-3</v>
      </c>
      <c r="W43" s="183">
        <f>$B43*R43*($B43/(Constants!$C$26*1000000000)*IF(ISBLANK(Design!$B$33),Design!$B$32,Design!$B$33)*1000000/2+$B43/(Constants!$C$27*1000000000)*IF(ISBLANK(Design!$B$33),Design!$B$32,Design!$B$33)*1000000/2)</f>
        <v>9.2566593749999985E-3</v>
      </c>
      <c r="X43" s="183">
        <f t="shared" ca="1" si="2"/>
        <v>0.50176008885461121</v>
      </c>
      <c r="Y43" s="183">
        <f>Constants!$D$25/1000000000*Constants!$C$24*IF(ISBLANK(Design!$B$33),Design!$B$32,Design!$B$33)*1000000</f>
        <v>1.0624999999999999E-2</v>
      </c>
      <c r="Z43" s="183">
        <f t="shared" ca="1" si="10"/>
        <v>0.52954362322961124</v>
      </c>
      <c r="AA43" s="183">
        <f t="shared" ca="1" si="7"/>
        <v>2.2445346918254772E-2</v>
      </c>
      <c r="AB43" s="184">
        <f ca="1">$A43+AA43*Design!$B$19</f>
        <v>86.279384774340528</v>
      </c>
      <c r="AC43" s="184">
        <f ca="1">Z43*Design!$C$12+$A43</f>
        <v>103.00448318980678</v>
      </c>
      <c r="AD43" s="184">
        <f ca="1">Constants!$D$22+Constants!$D$22*Constants!$C$23/100*(AC43-25)</f>
        <v>187.40358655184542</v>
      </c>
      <c r="AE43" s="183">
        <f ca="1">(1-Constants!$C$20/1000000000*Design!$B$33*1000000) * ($B43+S43-R43*AD43/1000) - (S43+R43*(1+($A43-25)*Constants!$C$36/100)*IF(ISBLANK(Design!$B$42),Constants!$C$6/1000,Design!$B$42/1000))</f>
        <v>3.0874981968696136</v>
      </c>
      <c r="AF43" s="117">
        <f ca="1">IF(AE43&gt;Design!$C$29,Design!$C$29,AE43)</f>
        <v>3.0874981968696136</v>
      </c>
      <c r="AG43" s="118">
        <f>Design!$D$7/3</f>
        <v>0.83333333333333337</v>
      </c>
      <c r="AH43" s="118">
        <f ca="1">FORECAST(AG43, OFFSET(Design!$C$15:$C$17,MATCH(AG43,Design!$B$15:$B$17,1)-1,0,2), OFFSET(Design!$B$15:$B$17,MATCH(AG43,Design!$B$15:$B$17,1)-1,0,2))+(AQ43-25)*Design!$B$18/1000</f>
        <v>0.30872949873502364</v>
      </c>
      <c r="AI43" s="194">
        <f ca="1">IF(100*(Design!$C$29+AH43+AG43*IF(ISBLANK(Design!$B$42),Constants!$C$6,Design!$B$42)/1000*(1+Constants!$C$36/100*(AR43-25)))/($B43+AH43-AG43*AS43/1000)&gt;Design!$C$36,Design!$C$36,100*(Design!$C$29+AH43+AG43*IF(ISBLANK(Design!$B$42),Constants!$C$6,Design!$B$42)/1000*(1+Constants!$C$36/100*(AR43-25)))/($B43+AH43-AG43*AS43/1000))</f>
        <v>96.387500000000003</v>
      </c>
      <c r="AJ43" s="119">
        <f ca="1">IF(($B43-AG43*IF(ISBLANK(Design!$B$42),Constants!$C$6,Design!$B$42)/1000*(1+Constants!$C$36/100*(AR43-25))-Design!$C$29)/(IF(ISBLANK(Design!$B$41),Design!$B$39,Design!$B$41)/1000000)*AI43/100/(IF(ISBLANK(Design!$B$33),Design!$B$32,Design!$B$33)*1000000)&lt;0,0,($B43-AG43*IF(ISBLANK(Design!$B$42),Constants!$C$6,Design!$B$42)/1000*(1+Constants!$C$36/100*(AR43-25))-Design!$C$29)/(IF(ISBLANK(Design!$B$41),Design!$B$39,Design!$B$41)/1000000)*AI43/100/(IF(ISBLANK(Design!$B$33),Design!$B$32,Design!$B$33)*1000000))</f>
        <v>0</v>
      </c>
      <c r="AK43" s="195">
        <f>$B43*Constants!$C$21/1000+IF(ISBLANK(Design!$B$33),Design!$B$32,Design!$B$33)*1000000*Constants!$D$25/1000000000*($B43-Constants!$C$24)</f>
        <v>7.9018749999999974E-3</v>
      </c>
      <c r="AL43" s="195">
        <f>$B43*AG43*($B43/(Constants!$C$26*1000000000)*IF(ISBLANK(Design!$B$33),Design!$B$32,Design!$B$33)*1000000/2+$B43/(Constants!$C$27*1000000000)*IF(ISBLANK(Design!$B$33),Design!$B$32,Design!$B$33)*1000000/2)</f>
        <v>4.6283296874999992E-3</v>
      </c>
      <c r="AM43" s="195">
        <f t="shared" ca="1" si="3"/>
        <v>0.11837565709421949</v>
      </c>
      <c r="AN43" s="195">
        <f>Constants!$D$25/1000000000*Constants!$C$24*IF(ISBLANK(Design!$B$33),Design!$B$32,Design!$B$33)*1000000</f>
        <v>1.0624999999999999E-2</v>
      </c>
      <c r="AO43" s="195">
        <f t="shared" ca="1" si="11"/>
        <v>0.14153086178171947</v>
      </c>
      <c r="AP43" s="195">
        <f t="shared" ca="1" si="9"/>
        <v>9.2940442848355974E-3</v>
      </c>
      <c r="AQ43" s="196">
        <f ca="1">$A43+AP43*Design!$B$19</f>
        <v>85.529760524235627</v>
      </c>
      <c r="AR43" s="196">
        <f ca="1">AO43*Design!$C$12+$A43</f>
        <v>89.812049300578465</v>
      </c>
      <c r="AS43" s="196">
        <f ca="1">Constants!$D$22+Constants!$D$22*Constants!$C$23/100*(AR43-25)</f>
        <v>176.84963944046277</v>
      </c>
      <c r="AT43" s="195">
        <f ca="1">(1-Constants!$C$20/1000000000*Design!$B$33*1000000) * ($B43+AH43-AG43*AS43/1000) - (AH43+AG43*(1+($A43-25)*Constants!$C$36/100)*IF(ISBLANK(Design!$B$42),Constants!$C$6/1000,Design!$B$42/1000))</f>
        <v>3.2900111500118001</v>
      </c>
      <c r="AU43" s="119">
        <f ca="1">IF(AT43&gt;Design!$C$29,Design!$C$29,AT43)</f>
        <v>3.2900111500118001</v>
      </c>
    </row>
    <row r="44" spans="1:47" s="120" customFormat="1" ht="12.75" customHeight="1" thickBot="1">
      <c r="A44" s="121">
        <f>Design!$D$13</f>
        <v>85</v>
      </c>
      <c r="B44" s="122">
        <f>Constants!$C$7</f>
        <v>3.4</v>
      </c>
      <c r="C44" s="123">
        <f>Design!$D$7</f>
        <v>2.5</v>
      </c>
      <c r="D44" s="123">
        <f ca="1">FORECAST(C44, OFFSET(Design!$C$15:$C$17,MATCH(C44,Design!$B$15:$B$17,1)-1,0,2), OFFSET(Design!$B$15:$B$17,MATCH(C44,Design!$B$15:$B$17,1)-1,0,2))+(M44-25)*Design!$B$18/1000</f>
        <v>0.41038740259905804</v>
      </c>
      <c r="E44" s="174">
        <f ca="1">IF(100*(Design!$C$29+D44+C44*IF(ISBLANK(Design!$B$42),Constants!$C$6,Design!$B$42)/1000*(1+Constants!$C$36/100*(N44-25)))/($B44+D44-C44*O44/1000)&gt;Design!$C$36,Design!$C$36,100*(Design!$C$29+D44+C44*IF(ISBLANK(Design!$B$42),Constants!$C$6,Design!$B$42)/1000*(1+Constants!$C$36/100*(N44-25)))/($B44+D44-C44*O44/1000))</f>
        <v>96.387500000000003</v>
      </c>
      <c r="F44" s="124">
        <f ca="1">IF(($B44-C44*IF(ISBLANK(Design!$B$42),Constants!$C$6,Design!$B$42)/1000*(1+Constants!$C$36/100*(N44-25))-Design!$C$29)/(IF(ISBLANK(Design!$B$41),Design!$B$39,Design!$B$41)/1000000)*E44/100/(IF(ISBLANK(Design!$B$33),Design!$B$32,Design!$B$33)*1000000)&lt;0, 0, ($B44-C44*IF(ISBLANK(Design!$B$42),Constants!$C$6,Design!$B$42)/1000*(1+Constants!$C$36/100*(N44-25))-Design!$C$29)/(IF(ISBLANK(Design!$B$41),Design!$B$39,Design!$B$41)/1000000)*E44/100/(IF(ISBLANK(Design!$B$33),Design!$B$32,Design!$B$33)*1000000))</f>
        <v>0</v>
      </c>
      <c r="G44" s="167">
        <f>B44*Constants!$C$21/1000+IF(ISBLANK(Design!$B$33),Design!$B$32,Design!$B$33)*1000000*Constants!$D$25/1000000000*(B44-Constants!$C$24)</f>
        <v>6.7999999999999988E-3</v>
      </c>
      <c r="H44" s="167">
        <f>B44*C44*(B44/(Constants!$C$26*1000000000)*IF(ISBLANK(Design!$B$33),Design!$B$32,Design!$B$33)*1000000/2+B44/(Constants!$C$27*1000000000)*IF(ISBLANK(Design!$B$33),Design!$B$32,Design!$B$33)*1000000/2)</f>
        <v>1.2282499999999998E-2</v>
      </c>
      <c r="I44" s="167">
        <f t="shared" ca="1" si="1"/>
        <v>1.2522497575207838</v>
      </c>
      <c r="J44" s="167">
        <f>Constants!$D$25/1000000000*Constants!$C$24*IF(ISBLANK(Design!$B$33),Design!$B$32,Design!$B$33)*1000000</f>
        <v>1.0624999999999999E-2</v>
      </c>
      <c r="K44" s="167">
        <f t="shared" ca="1" si="4"/>
        <v>1.2819572575207838</v>
      </c>
      <c r="L44" s="167">
        <f t="shared" ca="1" si="5"/>
        <v>3.7063112297227391E-2</v>
      </c>
      <c r="M44" s="168">
        <f ca="1">A44+L44*Design!$B$19</f>
        <v>87.112597400941965</v>
      </c>
      <c r="N44" s="168">
        <f ca="1">K44*Design!$C$12+A44</f>
        <v>128.58654675570665</v>
      </c>
      <c r="O44" s="168">
        <f ca="1">Constants!$D$22+Constants!$D$22*Constants!$C$23/100*(N44-25)</f>
        <v>207.86923740456533</v>
      </c>
      <c r="P44" s="167">
        <f ca="1">(1-Constants!$C$20/1000000000*Design!$B$33*1000000) * ($B44+D44-C44*O44/1000) - (D44+C44*(1+($A44-25)*Constants!$C$36/100)*IF(ISBLANK(Design!$B$42),Constants!$C$6/1000,Design!$B$42/1000))</f>
        <v>2.6378698520727957</v>
      </c>
      <c r="Q44" s="345">
        <f ca="1">IF(P44&gt;Design!$C$29,Design!$C$29,P44)</f>
        <v>2.6378698520727957</v>
      </c>
      <c r="R44" s="185">
        <f>2*Design!$D$7/3</f>
        <v>1.6666666666666667</v>
      </c>
      <c r="S44" s="125">
        <f ca="1">FORECAST(R44, OFFSET(Design!$C$15:$C$17,MATCH(R44,Design!$B$15:$B$17,1)-1,0,2), OFFSET(Design!$B$15:$B$17,MATCH(R44,Design!$B$15:$B$17,1)-1,0,2))+(AB44-25)*Design!$B$18/1000</f>
        <v>0.37279468929973358</v>
      </c>
      <c r="T44" s="186">
        <f ca="1">IF(100*(Design!$C$29+S44+R44*IF(ISBLANK(Design!$B$42),Constants!$C$6,Design!$B$42)/1000*(1+Constants!$C$36/100*(AC44-25)))/($B44+S44-R44*AD44/1000)&gt;Design!$C$36,Design!$C$36,100*(Design!$C$29+S44+R44*IF(ISBLANK(Design!$B$42),Constants!$C$6,Design!$B$42)/1000*(1+Constants!$C$36/100*(AC44-25)))/($B44+S44-R44*AD44/1000))</f>
        <v>96.387500000000003</v>
      </c>
      <c r="U44" s="126">
        <f ca="1">IF(($B44-R44*IF(ISBLANK(Design!$B$42),Constants!$C$6,Design!$B$42)/1000*(1+Constants!$C$36/100*(AC44-25))-Design!$C$29)/(Design!$B$41/1000000)*T44/100/(IF(ISBLANK(IF(ISBLANK(Design!$B$41),Design!$B$39,Design!$B$41)),Design!$B$32,Design!$B$33)*1000000)&lt;0,0,($B44-R44*IF(ISBLANK(Design!$B$42),Constants!$C$6,Design!$B$42)/1000*(1+Constants!$C$36/100*(AC44-25))-Design!$C$29)/(IF(ISBLANK(Design!$B$41),Design!$B$39,Design!$B$41)/1000000)*T44/100/(IF(ISBLANK(Design!$B$33),Design!$B$32,Design!$B$33)*1000000))</f>
        <v>0</v>
      </c>
      <c r="V44" s="187">
        <f>$B44*Constants!$C$21/1000+IF(ISBLANK(Design!$B$33),Design!$B$32,Design!$B$33)*1000000*Constants!$D$25/1000000000*($B44-Constants!$C$24)</f>
        <v>6.7999999999999988E-3</v>
      </c>
      <c r="W44" s="187">
        <f>$B44*R44*($B44/(Constants!$C$26*1000000000)*IF(ISBLANK(Design!$B$33),Design!$B$32,Design!$B$33)*1000000/2+$B44/(Constants!$C$27*1000000000)*IF(ISBLANK(Design!$B$33),Design!$B$32,Design!$B$33)*1000000/2)</f>
        <v>8.1883333333333339E-3</v>
      </c>
      <c r="X44" s="187">
        <f t="shared" ca="1" si="2"/>
        <v>0.50158962751603398</v>
      </c>
      <c r="Y44" s="187">
        <f>Constants!$D$25/1000000000*Constants!$C$24*IF(ISBLANK(Design!$B$33),Design!$B$32,Design!$B$33)*1000000</f>
        <v>1.0624999999999999E-2</v>
      </c>
      <c r="Z44" s="187">
        <f t="shared" ca="1" si="10"/>
        <v>0.52720296084936735</v>
      </c>
      <c r="AA44" s="187">
        <f t="shared" ca="1" si="7"/>
        <v>2.2445346918254772E-2</v>
      </c>
      <c r="AB44" s="188">
        <f ca="1">$A44+AA44*Design!$B$19</f>
        <v>86.279384774340528</v>
      </c>
      <c r="AC44" s="188">
        <f ca="1">Z44*Design!$C$12+$A44</f>
        <v>102.92490066887849</v>
      </c>
      <c r="AD44" s="188">
        <f ca="1">Constants!$D$22+Constants!$D$22*Constants!$C$23/100*(AC44-25)</f>
        <v>187.33992053510281</v>
      </c>
      <c r="AE44" s="187">
        <f ca="1">(1-Constants!$C$20/1000000000*Design!$B$33*1000000) * ($B44+S44-R44*AD44/1000) - (S44+R44*(1+($A44-25)*Constants!$C$36/100)*IF(ISBLANK(Design!$B$42),Constants!$C$6/1000,Design!$B$42/1000))</f>
        <v>2.8803673486727601</v>
      </c>
      <c r="AF44" s="126">
        <f ca="1">IF(AE44&gt;Design!$C$29,Design!$C$29,AE44)</f>
        <v>2.8803673486727601</v>
      </c>
      <c r="AG44" s="127">
        <f>Design!$D$7/3</f>
        <v>0.83333333333333337</v>
      </c>
      <c r="AH44" s="127">
        <f ca="1">FORECAST(AG44, OFFSET(Design!$C$15:$C$17,MATCH(AG44,Design!$B$15:$B$17,1)-1,0,2), OFFSET(Design!$B$15:$B$17,MATCH(AG44,Design!$B$15:$B$17,1)-1,0,2))+(AQ44-25)*Design!$B$18/1000</f>
        <v>0.30872949873502364</v>
      </c>
      <c r="AI44" s="197">
        <f ca="1">IF(100*(Design!$C$29+AH44+AG44*IF(ISBLANK(Design!$B$42),Constants!$C$6,Design!$B$42)/1000*(1+Constants!$C$36/100*(AR44-25)))/($B44+AH44-AG44*AS44/1000)&gt;Design!$C$36,Design!$C$36,100*(Design!$C$29+AH44+AG44*IF(ISBLANK(Design!$B$42),Constants!$C$6,Design!$B$42)/1000*(1+Constants!$C$36/100*(AR44-25)))/($B44+AH44-AG44*AS44/1000))</f>
        <v>96.387500000000003</v>
      </c>
      <c r="AJ44" s="128">
        <f ca="1">IF(($B44-AG44*IF(ISBLANK(Design!$B$42),Constants!$C$6,Design!$B$42)/1000*(1+Constants!$C$36/100*(AR44-25))-Design!$C$29)/(IF(ISBLANK(Design!$B$41),Design!$B$39,Design!$B$41)/1000000)*AI44/100/(IF(ISBLANK(Design!$B$33),Design!$B$32,Design!$B$33)*1000000)&lt;0,0,($B44-AG44*IF(ISBLANK(Design!$B$42),Constants!$C$6,Design!$B$42)/1000*(1+Constants!$C$36/100*(AR44-25))-Design!$C$29)/(IF(ISBLANK(Design!$B$41),Design!$B$39,Design!$B$41)/1000000)*AI44/100/(IF(ISBLANK(Design!$B$33),Design!$B$32,Design!$B$33)*1000000))</f>
        <v>0</v>
      </c>
      <c r="AK44" s="198">
        <f>$B44*Constants!$C$21/1000+IF(ISBLANK(Design!$B$33),Design!$B$32,Design!$B$33)*1000000*Constants!$D$25/1000000000*($B44-Constants!$C$24)</f>
        <v>6.7999999999999988E-3</v>
      </c>
      <c r="AL44" s="198">
        <f>$B44*AG44*($B44/(Constants!$C$26*1000000000)*IF(ISBLANK(Design!$B$33),Design!$B$32,Design!$B$33)*1000000/2+$B44/(Constants!$C$27*1000000000)*IF(ISBLANK(Design!$B$33),Design!$B$32,Design!$B$33)*1000000/2)</f>
        <v>4.094166666666667E-3</v>
      </c>
      <c r="AM44" s="198">
        <f t="shared" ca="1" si="3"/>
        <v>0.11834531815582304</v>
      </c>
      <c r="AN44" s="198">
        <f>Constants!$D$25/1000000000*Constants!$C$24*IF(ISBLANK(Design!$B$33),Design!$B$32,Design!$B$33)*1000000</f>
        <v>1.0624999999999999E-2</v>
      </c>
      <c r="AO44" s="198">
        <f t="shared" ca="1" si="11"/>
        <v>0.1398644848224897</v>
      </c>
      <c r="AP44" s="198">
        <f t="shared" ca="1" si="9"/>
        <v>9.2940442848355974E-3</v>
      </c>
      <c r="AQ44" s="199">
        <f ca="1">$A44+AP44*Design!$B$19</f>
        <v>85.529760524235627</v>
      </c>
      <c r="AR44" s="199">
        <f ca="1">AO44*Design!$C$12+$A44</f>
        <v>89.755392483964656</v>
      </c>
      <c r="AS44" s="199">
        <f ca="1">Constants!$D$22+Constants!$D$22*Constants!$C$23/100*(AR44-25)</f>
        <v>176.80431398717172</v>
      </c>
      <c r="AT44" s="198">
        <f ca="1">(1-Constants!$C$20/1000000000*Design!$B$33*1000000) * ($B44+AH44-AG44*AS44/1000) - (AH44+AG44*(1+($A44-25)*Constants!$C$36/100)*IF(ISBLANK(Design!$B$42),Constants!$C$6/1000,Design!$B$42/1000))</f>
        <v>3.0828144317378761</v>
      </c>
      <c r="AU44" s="128">
        <f ca="1">IF(AT44&gt;Design!$C$29,Design!$C$29,AT44)</f>
        <v>3.0828144317378761</v>
      </c>
    </row>
    <row r="45" spans="1:47" s="229" customFormat="1" ht="18" customHeight="1">
      <c r="A45" s="237" t="s">
        <v>269</v>
      </c>
      <c r="B45" s="230"/>
      <c r="C45" s="231"/>
      <c r="D45" s="231"/>
      <c r="E45" s="232"/>
      <c r="F45" s="233"/>
      <c r="G45" s="233"/>
      <c r="H45" s="233"/>
      <c r="I45" s="233"/>
      <c r="J45" s="233"/>
      <c r="K45" s="233"/>
      <c r="L45" s="233"/>
      <c r="M45" s="233"/>
      <c r="N45" s="232"/>
      <c r="O45" s="232"/>
      <c r="P45" s="233"/>
      <c r="Q45" s="233"/>
      <c r="R45" s="231"/>
      <c r="S45" s="231"/>
      <c r="T45" s="232"/>
      <c r="U45" s="233"/>
      <c r="V45" s="233"/>
      <c r="W45" s="233"/>
      <c r="X45" s="233"/>
      <c r="Y45" s="233"/>
      <c r="Z45" s="233"/>
      <c r="AA45" s="233"/>
      <c r="AB45" s="233"/>
      <c r="AC45" s="232"/>
      <c r="AD45" s="232"/>
      <c r="AE45" s="233"/>
      <c r="AF45" s="233"/>
      <c r="AG45" s="231"/>
      <c r="AH45" s="231"/>
      <c r="AI45" s="232"/>
      <c r="AJ45" s="233"/>
      <c r="AK45" s="233"/>
      <c r="AL45" s="233"/>
      <c r="AM45" s="233"/>
      <c r="AN45" s="233"/>
      <c r="AO45" s="233"/>
      <c r="AP45" s="233"/>
      <c r="AQ45" s="233"/>
      <c r="AR45" s="232"/>
      <c r="AS45" s="232"/>
      <c r="AT45" s="233"/>
      <c r="AU45" s="234"/>
    </row>
    <row r="46" spans="1:47" ht="15.75" thickBot="1">
      <c r="A46" s="210" t="s">
        <v>198</v>
      </c>
      <c r="B46" s="235" t="s">
        <v>108</v>
      </c>
      <c r="C46" s="208" t="s">
        <v>94</v>
      </c>
      <c r="D46" s="208" t="s">
        <v>223</v>
      </c>
      <c r="E46" s="200" t="s">
        <v>221</v>
      </c>
      <c r="F46" s="200" t="s">
        <v>222</v>
      </c>
      <c r="G46" s="200" t="s">
        <v>95</v>
      </c>
      <c r="H46" s="200" t="s">
        <v>96</v>
      </c>
      <c r="I46" s="200" t="s">
        <v>97</v>
      </c>
      <c r="J46" s="200" t="s">
        <v>186</v>
      </c>
      <c r="K46" s="200" t="s">
        <v>98</v>
      </c>
      <c r="L46" s="200" t="s">
        <v>243</v>
      </c>
      <c r="M46" s="200" t="s">
        <v>270</v>
      </c>
      <c r="N46" s="200" t="s">
        <v>271</v>
      </c>
      <c r="O46" s="200" t="s">
        <v>113</v>
      </c>
      <c r="P46" s="200" t="s">
        <v>235</v>
      </c>
      <c r="Q46" s="211" t="s">
        <v>234</v>
      </c>
      <c r="R46" s="208" t="s">
        <v>94</v>
      </c>
      <c r="S46" s="208" t="s">
        <v>223</v>
      </c>
      <c r="T46" s="200" t="s">
        <v>221</v>
      </c>
      <c r="U46" s="200" t="s">
        <v>222</v>
      </c>
      <c r="V46" s="200" t="s">
        <v>95</v>
      </c>
      <c r="W46" s="200" t="s">
        <v>96</v>
      </c>
      <c r="X46" s="200" t="s">
        <v>97</v>
      </c>
      <c r="Y46" s="200" t="s">
        <v>186</v>
      </c>
      <c r="Z46" s="200" t="s">
        <v>98</v>
      </c>
      <c r="AA46" s="200" t="s">
        <v>243</v>
      </c>
      <c r="AB46" s="200" t="s">
        <v>270</v>
      </c>
      <c r="AC46" s="200" t="s">
        <v>271</v>
      </c>
      <c r="AD46" s="200" t="s">
        <v>113</v>
      </c>
      <c r="AE46" s="200" t="s">
        <v>235</v>
      </c>
      <c r="AF46" s="211" t="s">
        <v>234</v>
      </c>
      <c r="AG46" s="208" t="s">
        <v>94</v>
      </c>
      <c r="AH46" s="208" t="s">
        <v>223</v>
      </c>
      <c r="AI46" s="200" t="s">
        <v>221</v>
      </c>
      <c r="AJ46" s="200" t="s">
        <v>222</v>
      </c>
      <c r="AK46" s="200" t="s">
        <v>95</v>
      </c>
      <c r="AL46" s="200" t="s">
        <v>96</v>
      </c>
      <c r="AM46" s="200" t="s">
        <v>97</v>
      </c>
      <c r="AN46" s="200" t="s">
        <v>186</v>
      </c>
      <c r="AO46" s="200" t="s">
        <v>98</v>
      </c>
      <c r="AP46" s="200" t="s">
        <v>243</v>
      </c>
      <c r="AQ46" s="200" t="s">
        <v>270</v>
      </c>
      <c r="AR46" s="200" t="s">
        <v>271</v>
      </c>
      <c r="AS46" s="200" t="s">
        <v>113</v>
      </c>
      <c r="AT46" s="200" t="s">
        <v>235</v>
      </c>
      <c r="AU46" s="211" t="s">
        <v>234</v>
      </c>
    </row>
    <row r="47" spans="1:47" ht="12.75" customHeight="1">
      <c r="A47" s="159">
        <f>Design!$D$13</f>
        <v>85</v>
      </c>
      <c r="B47" s="160">
        <f t="shared" ref="B47:B86" si="12">$B48+$AU$88</f>
        <v>11.999999999999995</v>
      </c>
      <c r="C47" s="161">
        <f>Design!$D$7</f>
        <v>2.5</v>
      </c>
      <c r="D47" s="161">
        <f ca="1">FORECAST(C47, OFFSET(Design!$C$15:$C$17,MATCH(C47,Design!$B$15:$B$17,1)-1,0,2), OFFSET(Design!$B$15:$B$17,MATCH(C47,Design!$B$15:$B$17,1)-1,0,2))+(M47-25)*Design!$B$18/1000</f>
        <v>0.38321114697911546</v>
      </c>
      <c r="E47" s="172">
        <f ca="1">IF(100*(Design!$C$29+D47+C47*IF(ISBLANK(Design!$B$42),Constants!$C$6,Design!$B$42)/1000*(1+Constants!$C$36/100*(N47-25)))/($B47+D47-C47*O47/1000)&gt;Design!$C$36,Design!$C$36,100*(Design!$C$29+D47+C47*IF(ISBLANK(Design!$B$42),Constants!$C$6,Design!$B$42)/1000*(1+Constants!$C$36/100*(N47-25)))/($B47+D47-C47*O47/1000))</f>
        <v>46.364866394641794</v>
      </c>
      <c r="F47" s="162">
        <f ca="1">IF(($B47-C47*IF(ISBLANK(Design!$B$42),Constants!$C$6,Design!$B$42)/1000*(1+Constants!$C$36/100*(N47-25))-Design!$C$29)/(IF(ISBLANK(Design!$B$41),Design!$B$39,Design!$B$41)/1000000)*E47/100/(IF(ISBLANK(Design!$B$33),Design!$B$32,Design!$B$33)*1000000)&lt;0,0,($B47-C47*IF(ISBLANK(Design!$B$42),Constants!$C$6,Design!$B$42)/1000*(1+Constants!$C$36/100*(N47-25))-Design!$C$29)/(IF(ISBLANK(Design!$B$41),Design!$B$39,Design!$B$41)/1000000)*E47/100/(IF(ISBLANK(Design!$B$33),Design!$B$32,Design!$B$33)*1000000))</f>
        <v>0.74913880933622168</v>
      </c>
      <c r="G47" s="163">
        <f>B47*Constants!$C$21/1000+IF(ISBLANK(Design!$B$33),Design!$B$32,Design!$B$33)*1000000*Constants!$D$25/1000000000*(B47-Constants!$C$24)</f>
        <v>5.0874999999999976E-2</v>
      </c>
      <c r="H47" s="163">
        <f>B47*C47*(B47/(Constants!$C$26*1000000000)*IF(ISBLANK(Design!$B$33),Design!$B$32,Design!$B$33)*1000000/2+B47/(Constants!$C$27*1000000000)*IF(ISBLANK(Design!$B$33),Design!$B$32,Design!$B$33)*1000000/2)</f>
        <v>0.15299999999999986</v>
      </c>
      <c r="I47" s="163">
        <f t="shared" ref="I47:I87" ca="1" si="13">IF($D$115,1,E47/100*(C47^2+F47^2/12)*O47/1000)</f>
        <v>0.56714160193796781</v>
      </c>
      <c r="J47" s="163">
        <f>Constants!$D$25/1000000000*Constants!$C$24*IF(ISBLANK(Design!$B$33),Design!$B$32,Design!$B$33)*1000000</f>
        <v>1.0624999999999999E-2</v>
      </c>
      <c r="K47" s="163">
        <f ca="1">SUM(G47:J47)</f>
        <v>0.78164160193796761</v>
      </c>
      <c r="L47" s="163">
        <f ca="1">C47*D47*(1-E47/100)</f>
        <v>0.51383952668218547</v>
      </c>
      <c r="M47" s="164">
        <f ca="1">$A47+L47*Design!$B$19</f>
        <v>114.28885302088457</v>
      </c>
      <c r="N47" s="164">
        <f ca="1">K47*Design!$C$12+A47</f>
        <v>111.5758144658909</v>
      </c>
      <c r="O47" s="164">
        <f ca="1">Constants!$D$22+Constants!$D$22*Constants!$C$23/100*(N47-25)</f>
        <v>194.26065157271273</v>
      </c>
      <c r="P47" s="163">
        <f ca="1">(1-Constants!$D$20/1000000000*Design!$B$33*1000000) * ($B47+D47-C47*O47/1000) - (D47+C47*(1+($A47-25)*Constants!$C$36/100)*IF(ISBLANK(Design!$B$42),Constants!$C$6/1000,Design!$B$42/1000))</f>
        <v>10.733428207696099</v>
      </c>
      <c r="Q47" s="162">
        <f ca="1">IF(P47&gt;Design!$C$29,Design!$C$29,P47)</f>
        <v>4.9990521327014221</v>
      </c>
      <c r="R47" s="176">
        <f>2*Design!$D$7/3</f>
        <v>1.6666666666666667</v>
      </c>
      <c r="S47" s="176">
        <f ca="1">FORECAST(R47, OFFSET(Design!$C$15:$C$17,MATCH(R47,Design!$B$15:$B$17,1)-1,0,2), OFFSET(Design!$B$15:$B$17,MATCH(R47,Design!$B$15:$B$17,1)-1,0,2))+(AB47-25)*Design!$B$18/1000</f>
        <v>0.3555482542656192</v>
      </c>
      <c r="T47" s="177">
        <f ca="1">IF(100*(Design!$C$29+S47+R47*IF(ISBLANK(Design!$B$42),Constants!$C$6,Design!$B$42)/1000*(1+Constants!$C$36/100*(AC47-25)))/($B47+S47-R47*AD47/1000)&gt;Design!$C$36,Design!$C$36,100*(Design!$C$29+S47+R47*IF(ISBLANK(Design!$B$42),Constants!$C$6,Design!$B$42)/1000*(1+Constants!$C$36/100*(AC47-25)))/($B47+S47-R47*AD47/1000))</f>
        <v>45.152696652815351</v>
      </c>
      <c r="U47" s="178">
        <f ca="1">IF(($B47-R47*IF(ISBLANK(Design!$B$42),Constants!$C$6,Design!$B$42)/1000*(1+Constants!$C$36/100*(AC47-25))-Design!$C$29)/(IF(ISBLANK(Design!$B$41),Design!$B$39,Design!$B$41)/1000000)*T47/100/(IF(ISBLANK(Design!$B$33),Design!$B$32,Design!$B$33)*1000000)&lt;0,0,($B47-R47*IF(ISBLANK(Design!$B$42),Constants!$C$6,Design!$B$42)/1000*(1+Constants!$C$36/100*(AC47-25))-Design!$C$29)/(IF(ISBLANK(Design!$B$41),Design!$B$39,Design!$B$41)/1000000)*T47/100/(IF(ISBLANK(Design!$B$33),Design!$B$32,Design!$B$33)*1000000))</f>
        <v>0.73466281637621089</v>
      </c>
      <c r="V47" s="179">
        <f>$B47*Constants!$C$21/1000+IF(ISBLANK(Design!$B$33),Design!$B$32,Design!$B$33)*1000000*Constants!$D$25/1000000000*($B47-Constants!$C$24)</f>
        <v>5.0874999999999976E-2</v>
      </c>
      <c r="W47" s="179">
        <f>$B47*R47*($B47/(Constants!$C$26*1000000000)*IF(ISBLANK(Design!$B$33),Design!$B$32,Design!$B$33)*1000000/2+$B47/(Constants!$C$27*1000000000)*IF(ISBLANK(Design!$B$33),Design!$B$32,Design!$B$33)*1000000/2)</f>
        <v>0.10199999999999992</v>
      </c>
      <c r="X47" s="179">
        <f t="shared" ref="X47:X87" ca="1" si="14">IF($D$115,1,T47/100*(R47^2+U47^2/12)*AD47/1000)</f>
        <v>0.23428757386049018</v>
      </c>
      <c r="Y47" s="179">
        <f>Constants!$D$25/1000000000*Constants!$C$24*IF(ISBLANK(Design!$B$33),Design!$B$32,Design!$B$33)*1000000</f>
        <v>1.0624999999999999E-2</v>
      </c>
      <c r="Z47" s="179">
        <f ca="1">SUM(V47:Y47)</f>
        <v>0.39778757386049007</v>
      </c>
      <c r="AA47" s="179">
        <f ca="1">R47*S47*(1-T47/100)</f>
        <v>0.32501438260447263</v>
      </c>
      <c r="AB47" s="180">
        <f ca="1">$A47+AA47*Design!$B$19</f>
        <v>103.52581980845494</v>
      </c>
      <c r="AC47" s="180">
        <f ca="1">Z47*Design!$C$12+$A47</f>
        <v>98.524777511256659</v>
      </c>
      <c r="AD47" s="180">
        <f ca="1">Constants!$D$22+Constants!$D$22*Constants!$C$23/100*(AC47-25)</f>
        <v>183.81982200900532</v>
      </c>
      <c r="AE47" s="179">
        <f ca="1">(1-Constants!$D$20/1000000000*Design!$B$33*1000000) * ($B47+S47-R47*AD47/1000) - (S47+R47*(1+($A47-25)*Constants!$C$36/100)*IF(ISBLANK(Design!$B$42),Constants!$C$6/1000,Design!$B$42/1000))</f>
        <v>10.945529664213472</v>
      </c>
      <c r="AF47" s="178">
        <f ca="1">IF(AE47&gt;Design!$C$29,Design!$C$29,AE47)</f>
        <v>4.9990521327014221</v>
      </c>
      <c r="AG47" s="189">
        <f>Design!$D$7/3</f>
        <v>0.83333333333333337</v>
      </c>
      <c r="AH47" s="189">
        <f ca="1">FORECAST(AG47, OFFSET(Design!$C$15:$C$17,MATCH(AG47,Design!$B$15:$B$17,1)-1,0,2), OFFSET(Design!$B$15:$B$17,MATCH(AG47,Design!$B$15:$B$17,1)-1,0,2))+(AQ47-25)*Design!$B$18/1000</f>
        <v>0.30124018024023552</v>
      </c>
      <c r="AI47" s="190">
        <f ca="1">IF(100*(Design!$C$29+AH47+AG47*IF(ISBLANK(Design!$B$42),Constants!$C$6,Design!$B$42)/1000*(1+Constants!$C$36/100*(AR47-25)))/($B47+AH47-AG47*AS47/1000)&gt;Design!$C$36,Design!$C$36,100*(Design!$C$29+AH47+AG47*IF(ISBLANK(Design!$B$42),Constants!$C$6,Design!$B$42)/1000*(1+Constants!$C$36/100*(AR47-25)))/($B47+AH47-AG47*AS47/1000))</f>
        <v>43.957437531958874</v>
      </c>
      <c r="AJ47" s="191">
        <f ca="1">IF(($B47-AG47*IF(ISBLANK(Design!$B$42),Constants!$C$6,Design!$B$42)/1000*(1+Constants!$C$36/100*(AR47-25))-Design!$C$29)/(IF(ISBLANK(Design!$B$41),Design!$B$39,Design!$B$41)/1000000)*AI47/100/(IF(ISBLANK(Design!$B$33),Design!$B$32,Design!$B$33)*1000000)&lt;0,0,($B47-AG47*IF(ISBLANK(Design!$B$42),Constants!$C$6,Design!$B$42)/1000*(1+Constants!$C$36/100*(AR47-25))-Design!$C$29)/(IF(ISBLANK(Design!$B$41),Design!$B$39,Design!$B$41)/1000000)*AI47/100/(IF(ISBLANK(Design!$B$33),Design!$B$32,Design!$B$33)*1000000))</f>
        <v>0.71976393703612607</v>
      </c>
      <c r="AK47" s="192">
        <f>$B47*Constants!$C$21/1000+IF(ISBLANK(Design!$B$33),Design!$B$32,Design!$B$33)*1000000*Constants!$D$25/1000000000*($B47-Constants!$C$24)</f>
        <v>5.0874999999999976E-2</v>
      </c>
      <c r="AL47" s="192">
        <f>$B47*AG47*($B47/(Constants!$C$26*1000000000)*IF(ISBLANK(Design!$B$33),Design!$B$32,Design!$B$33)*1000000/2+$B47/(Constants!$C$27*1000000000)*IF(ISBLANK(Design!$B$33),Design!$B$32,Design!$B$33)*1000000/2)</f>
        <v>5.0999999999999962E-2</v>
      </c>
      <c r="AM47" s="192">
        <f t="shared" ref="AM47:AM87" ca="1" si="15">IF($D$115,1,AI47/100*(AG47^2+AJ47^2/12)*AS47/1000)</f>
        <v>5.7593120043141273E-2</v>
      </c>
      <c r="AN47" s="192">
        <f>Constants!$D$25/1000000000*Constants!$C$24*IF(ISBLANK(Design!$B$33),Design!$B$32,Design!$B$33)*1000000</f>
        <v>1.0624999999999999E-2</v>
      </c>
      <c r="AO47" s="192">
        <f ca="1">SUM(AK47:AN47)</f>
        <v>0.1700931200431412</v>
      </c>
      <c r="AP47" s="192">
        <f ca="1">AG47*AH47*(1-AI47/100)</f>
        <v>0.14068559682497805</v>
      </c>
      <c r="AQ47" s="193">
        <f ca="1">$A47+AP47*Design!$B$19</f>
        <v>93.019079019023749</v>
      </c>
      <c r="AR47" s="193">
        <f ca="1">AO47*Design!$C$12+$A47</f>
        <v>90.783166081466803</v>
      </c>
      <c r="AS47" s="193">
        <f ca="1">Constants!$D$22+Constants!$D$22*Constants!$C$23/100*(AR47-25)</f>
        <v>177.62653286517343</v>
      </c>
      <c r="AT47" s="192">
        <f ca="1">(1-Constants!$D$20/1000000000*Design!$B$33*1000000) * ($B47+AH47-AG47*AS47/1000) - (AH47+AG47*(1+($A47-25)*Constants!$C$36/100)*IF(ISBLANK(Design!$B$42),Constants!$C$6/1000,Design!$B$42/1000))</f>
        <v>11.139319257604743</v>
      </c>
      <c r="AU47" s="191">
        <f ca="1">IF(AT47&gt;Design!$C$29,Design!$C$29,AT47)</f>
        <v>4.9990521327014221</v>
      </c>
    </row>
    <row r="48" spans="1:47" ht="12.75" customHeight="1">
      <c r="A48" s="112">
        <f>Design!$D$13</f>
        <v>85</v>
      </c>
      <c r="B48" s="113">
        <f t="shared" si="12"/>
        <v>11.784999999999995</v>
      </c>
      <c r="C48" s="114">
        <f>Design!$D$7</f>
        <v>2.5</v>
      </c>
      <c r="D48" s="114">
        <f ca="1">FORECAST(C48, OFFSET(Design!$C$15:$C$17,MATCH(C48,Design!$B$15:$B$17,1)-1,0,2), OFFSET(Design!$B$15:$B$17,MATCH(C48,Design!$B$15:$B$17,1)-1,0,2))+(M48-25)*Design!$B$18/1000</f>
        <v>0.38364633032811335</v>
      </c>
      <c r="E48" s="173">
        <f ca="1">IF(100*(Design!$C$29+D48+C48*IF(ISBLANK(Design!$B$42),Constants!$C$6,Design!$B$42)/1000*(1+Constants!$C$36/100*(N48-25)))/($B48+D48-C48*O48/1000)&gt;Design!$C$36,Design!$C$36,100*(Design!$C$29+D48+C48*IF(ISBLANK(Design!$B$42),Constants!$C$6,Design!$B$42)/1000*(1+Constants!$C$36/100*(N48-25)))/($B48+D48-C48*O48/1000))</f>
        <v>47.22173094654125</v>
      </c>
      <c r="F48" s="115">
        <f ca="1">IF(($B48-C48*IF(ISBLANK(Design!$B$42),Constants!$C$6,Design!$B$42)/1000*(1+Constants!$C$36/100*(N48-25))-Design!$C$29)/(IF(ISBLANK(Design!$B$41),Design!$B$39,Design!$B$41)/1000000)*E48/100/(IF(ISBLANK(Design!$B$33),Design!$B$32,Design!$B$33)*1000000)&lt;0,0,($B48-C48*IF(ISBLANK(Design!$B$42),Constants!$C$6,Design!$B$42)/1000*(1+Constants!$C$36/100*(N48-25))-Design!$C$29)/(IF(ISBLANK(Design!$B$41),Design!$B$39,Design!$B$41)/1000000)*E48/100/(IF(ISBLANK(Design!$B$33),Design!$B$32,Design!$B$33)*1000000))</f>
        <v>0.73908874069855224</v>
      </c>
      <c r="G48" s="165">
        <f>B48*Constants!$C$21/1000+IF(ISBLANK(Design!$B$33),Design!$B$32,Design!$B$33)*1000000*Constants!$D$25/1000000000*(B48-Constants!$C$24)</f>
        <v>4.9773124999999974E-2</v>
      </c>
      <c r="H48" s="165">
        <f>B48*C48*(B48/(Constants!$C$26*1000000000)*IF(ISBLANK(Design!$B$33),Design!$B$32,Design!$B$33)*1000000/2+B48/(Constants!$C$27*1000000000)*IF(ISBLANK(Design!$B$33),Design!$B$32,Design!$B$33)*1000000/2)</f>
        <v>0.14756661406249985</v>
      </c>
      <c r="I48" s="165">
        <f t="shared" ca="1" si="13"/>
        <v>0.57784564889948964</v>
      </c>
      <c r="J48" s="165">
        <f>Constants!$D$25/1000000000*Constants!$C$24*IF(ISBLANK(Design!$B$33),Design!$B$32,Design!$B$33)*1000000</f>
        <v>1.0624999999999999E-2</v>
      </c>
      <c r="K48" s="165">
        <f t="shared" ref="K48" ca="1" si="16">SUM(G48:J48)</f>
        <v>0.78581038796198943</v>
      </c>
      <c r="L48" s="165">
        <f t="shared" ref="L48:L87" ca="1" si="17">C48*D48*(1-E48/100)</f>
        <v>0.50620473108573194</v>
      </c>
      <c r="M48" s="166">
        <f ca="1">$A48+L48*Design!$B$19</f>
        <v>113.85366967188672</v>
      </c>
      <c r="N48" s="166">
        <f ca="1">K48*Design!$C$12+A48</f>
        <v>111.71755319070763</v>
      </c>
      <c r="O48" s="166">
        <f ca="1">Constants!$D$22+Constants!$D$22*Constants!$C$23/100*(N48-25)</f>
        <v>194.3740425525661</v>
      </c>
      <c r="P48" s="165">
        <f ca="1">(1-Constants!$D$20/1000000000*Design!$B$33*1000000) * ($B48+D48-C48*O48/1000) - (D48+C48*(1+($A48-25)*Constants!$C$36/100)*IF(ISBLANK(Design!$B$42),Constants!$C$6/1000,Design!$B$42/1000))</f>
        <v>10.530015098495525</v>
      </c>
      <c r="Q48" s="115">
        <f ca="1">IF(P48&gt;Design!$C$29,Design!$C$29,P48)</f>
        <v>4.9990521327014221</v>
      </c>
      <c r="R48" s="116">
        <f>2*Design!$D$7/3</f>
        <v>1.6666666666666667</v>
      </c>
      <c r="S48" s="116">
        <f ca="1">FORECAST(R48, OFFSET(Design!$C$15:$C$17,MATCH(R48,Design!$B$15:$B$17,1)-1,0,2), OFFSET(Design!$B$15:$B$17,MATCH(R48,Design!$B$15:$B$17,1)-1,0,2))+(AB48-25)*Design!$B$18/1000</f>
        <v>0.35581214788861204</v>
      </c>
      <c r="T48" s="182">
        <f ca="1">IF(100*(Design!$C$29+S48+R48*IF(ISBLANK(Design!$B$42),Constants!$C$6,Design!$B$42)/1000*(1+Constants!$C$36/100*(AC48-25)))/($B48+S48-R48*AD48/1000)&gt;Design!$C$36,Design!$C$36,100*(Design!$C$29+S48+R48*IF(ISBLANK(Design!$B$42),Constants!$C$6,Design!$B$42)/1000*(1+Constants!$C$36/100*(AC48-25)))/($B48+S48-R48*AD48/1000))</f>
        <v>45.974075620259327</v>
      </c>
      <c r="U48" s="117">
        <f ca="1">IF(($B48-R48*IF(ISBLANK(Design!$B$42),Constants!$C$6,Design!$B$42)/1000*(1+Constants!$C$36/100*(AC48-25))-Design!$C$29)/(IF(ISBLANK(Design!$B$41),Design!$B$39,Design!$B$41)/1000000)*T48/100/(IF(ISBLANK(Design!$B$33),Design!$B$32,Design!$B$33)*1000000)&lt;0,0,($B48-R48*IF(ISBLANK(Design!$B$42),Constants!$C$6,Design!$B$42)/1000*(1+Constants!$C$36/100*(AC48-25))-Design!$C$29)/(IF(ISBLANK(Design!$B$41),Design!$B$39,Design!$B$41)/1000000)*T48/100/(IF(ISBLANK(Design!$B$33),Design!$B$32,Design!$B$33)*1000000))</f>
        <v>0.72477025922405547</v>
      </c>
      <c r="V48" s="183">
        <f>$B48*Constants!$C$21/1000+IF(ISBLANK(Design!$B$33),Design!$B$32,Design!$B$33)*1000000*Constants!$D$25/1000000000*($B48-Constants!$C$24)</f>
        <v>4.9773124999999974E-2</v>
      </c>
      <c r="W48" s="183">
        <f>$B48*R48*($B48/(Constants!$C$26*1000000000)*IF(ISBLANK(Design!$B$33),Design!$B$32,Design!$B$33)*1000000/2+$B48/(Constants!$C$27*1000000000)*IF(ISBLANK(Design!$B$33),Design!$B$32,Design!$B$33)*1000000/2)</f>
        <v>9.8377742708333243E-2</v>
      </c>
      <c r="X48" s="183">
        <f t="shared" ca="1" si="14"/>
        <v>0.23842723383692743</v>
      </c>
      <c r="Y48" s="183">
        <f>Constants!$D$25/1000000000*Constants!$C$24*IF(ISBLANK(Design!$B$33),Design!$B$32,Design!$B$33)*1000000</f>
        <v>1.0624999999999999E-2</v>
      </c>
      <c r="Z48" s="183">
        <f t="shared" ref="Z48" ca="1" si="18">SUM(V48:Y48)</f>
        <v>0.39720310154526062</v>
      </c>
      <c r="AA48" s="183">
        <f t="shared" ref="AA48:AA87" ca="1" si="19">R48*S48*(1-T48/100)</f>
        <v>0.32038466992038772</v>
      </c>
      <c r="AB48" s="184">
        <f ca="1">$A48+AA48*Design!$B$19</f>
        <v>103.2619261854621</v>
      </c>
      <c r="AC48" s="184">
        <f ca="1">Z48*Design!$C$12+$A48</f>
        <v>98.504905452538864</v>
      </c>
      <c r="AD48" s="184">
        <f ca="1">Constants!$D$22+Constants!$D$22*Constants!$C$23/100*(AC48-25)</f>
        <v>183.8039243620311</v>
      </c>
      <c r="AE48" s="183">
        <f ca="1">(1-Constants!$D$20/1000000000*Design!$B$33*1000000) * ($B48+S48-R48*AD48/1000) - (S48+R48*(1+($A48-25)*Constants!$C$36/100)*IF(ISBLANK(Design!$B$42),Constants!$C$6/1000,Design!$B$42/1000))</f>
        <v>10.742418866260769</v>
      </c>
      <c r="AF48" s="117">
        <f ca="1">IF(AE48&gt;Design!$C$29,Design!$C$29,AE48)</f>
        <v>4.9990521327014221</v>
      </c>
      <c r="AG48" s="118">
        <f>Design!$D$7/3</f>
        <v>0.83333333333333337</v>
      </c>
      <c r="AH48" s="118">
        <f ca="1">FORECAST(AG48, OFFSET(Design!$C$15:$C$17,MATCH(AG48,Design!$B$15:$B$17,1)-1,0,2), OFFSET(Design!$B$15:$B$17,MATCH(AG48,Design!$B$15:$B$17,1)-1,0,2))+(AQ48-25)*Design!$B$18/1000</f>
        <v>0.30135059683510335</v>
      </c>
      <c r="AI48" s="194">
        <f ca="1">IF(100*(Design!$C$29+AH48+AG48*IF(ISBLANK(Design!$B$42),Constants!$C$6,Design!$B$42)/1000*(1+Constants!$C$36/100*(AR48-25)))/($B48+AH48-AG48*AS48/1000)&gt;Design!$C$36,Design!$C$36,100*(Design!$C$29+AH48+AG48*IF(ISBLANK(Design!$B$42),Constants!$C$6,Design!$B$42)/1000*(1+Constants!$C$36/100*(AR48-25)))/($B48+AH48-AG48*AS48/1000))</f>
        <v>44.749352399947071</v>
      </c>
      <c r="AJ48" s="119">
        <f ca="1">IF(($B48-AG48*IF(ISBLANK(Design!$B$42),Constants!$C$6,Design!$B$42)/1000*(1+Constants!$C$36/100*(AR48-25))-Design!$C$29)/(IF(ISBLANK(Design!$B$41),Design!$B$39,Design!$B$41)/1000000)*AI48/100/(IF(ISBLANK(Design!$B$33),Design!$B$32,Design!$B$33)*1000000)&lt;0,0,($B48-AG48*IF(ISBLANK(Design!$B$42),Constants!$C$6,Design!$B$42)/1000*(1+Constants!$C$36/100*(AR48-25))-Design!$C$29)/(IF(ISBLANK(Design!$B$41),Design!$B$39,Design!$B$41)/1000000)*AI48/100/(IF(ISBLANK(Design!$B$33),Design!$B$32,Design!$B$33)*1000000))</f>
        <v>0.71009386168805855</v>
      </c>
      <c r="AK48" s="195">
        <f>$B48*Constants!$C$21/1000+IF(ISBLANK(Design!$B$33),Design!$B$32,Design!$B$33)*1000000*Constants!$D$25/1000000000*($B48-Constants!$C$24)</f>
        <v>4.9773124999999974E-2</v>
      </c>
      <c r="AL48" s="195">
        <f>$B48*AG48*($B48/(Constants!$C$26*1000000000)*IF(ISBLANK(Design!$B$33),Design!$B$32,Design!$B$33)*1000000/2+$B48/(Constants!$C$27*1000000000)*IF(ISBLANK(Design!$B$33),Design!$B$32,Design!$B$33)*1000000/2)</f>
        <v>4.9188871354166622E-2</v>
      </c>
      <c r="AM48" s="195">
        <f t="shared" ca="1" si="15"/>
        <v>5.8521308877562267E-2</v>
      </c>
      <c r="AN48" s="195">
        <f>Constants!$D$25/1000000000*Constants!$C$24*IF(ISBLANK(Design!$B$33),Design!$B$32,Design!$B$33)*1000000</f>
        <v>1.0624999999999999E-2</v>
      </c>
      <c r="AO48" s="195">
        <f t="shared" ref="AO48" ca="1" si="20">SUM(AK48:AN48)</f>
        <v>0.16810830523172887</v>
      </c>
      <c r="AP48" s="195">
        <f t="shared" ref="AP48:AP87" ca="1" si="21">AG48*AH48*(1-AI48/100)</f>
        <v>0.13874846358168269</v>
      </c>
      <c r="AQ48" s="196">
        <f ca="1">$A48+AP48*Design!$B$19</f>
        <v>92.908662424155921</v>
      </c>
      <c r="AR48" s="196">
        <f ca="1">AO48*Design!$C$12+$A48</f>
        <v>90.715682377878778</v>
      </c>
      <c r="AS48" s="196">
        <f ca="1">Constants!$D$22+Constants!$D$22*Constants!$C$23/100*(AR48-25)</f>
        <v>177.57254590230303</v>
      </c>
      <c r="AT48" s="195">
        <f ca="1">(1-Constants!$D$20/1000000000*Design!$B$33*1000000) * ($B48+AH48-AG48*AS48/1000) - (AH48+AG48*(1+($A48-25)*Constants!$C$36/100)*IF(ISBLANK(Design!$B$42),Constants!$C$6/1000,Design!$B$42/1000))</f>
        <v>10.936234410573853</v>
      </c>
      <c r="AU48" s="119">
        <f ca="1">IF(AT48&gt;Design!$C$29,Design!$C$29,AT48)</f>
        <v>4.9990521327014221</v>
      </c>
    </row>
    <row r="49" spans="1:47" ht="12.75" customHeight="1">
      <c r="A49" s="112">
        <f>Design!$D$13</f>
        <v>85</v>
      </c>
      <c r="B49" s="113">
        <f t="shared" si="12"/>
        <v>11.569999999999995</v>
      </c>
      <c r="C49" s="114">
        <f>Design!$D$7</f>
        <v>2.5</v>
      </c>
      <c r="D49" s="114">
        <f ca="1">FORECAST(C49, OFFSET(Design!$C$15:$C$17,MATCH(C49,Design!$B$15:$B$17,1)-1,0,2), OFFSET(Design!$B$15:$B$17,MATCH(C49,Design!$B$15:$B$17,1)-1,0,2))+(M49-25)*Design!$B$18/1000</f>
        <v>0.38409901770151811</v>
      </c>
      <c r="E49" s="173">
        <f ca="1">IF(100*(Design!$C$29+D49+C49*IF(ISBLANK(Design!$B$42),Constants!$C$6,Design!$B$42)/1000*(1+Constants!$C$36/100*(N49-25)))/($B49+D49-C49*O49/1000)&gt;Design!$C$36,Design!$C$36,100*(Design!$C$29+D49+C49*IF(ISBLANK(Design!$B$42),Constants!$C$6,Design!$B$42)/1000*(1+Constants!$C$36/100*(N49-25)))/($B49+D49-C49*O49/1000))</f>
        <v>48.11100009331583</v>
      </c>
      <c r="F49" s="115">
        <f ca="1">IF(($B49-C49*IF(ISBLANK(Design!$B$42),Constants!$C$6,Design!$B$42)/1000*(1+Constants!$C$36/100*(N49-25))-Design!$C$29)/(IF(ISBLANK(Design!$B$41),Design!$B$39,Design!$B$41)/1000000)*E49/100/(IF(ISBLANK(Design!$B$33),Design!$B$32,Design!$B$33)*1000000)&lt;0,0,($B49-C49*IF(ISBLANK(Design!$B$42),Constants!$C$6,Design!$B$42)/1000*(1+Constants!$C$36/100*(N49-25))-Design!$C$29)/(IF(ISBLANK(Design!$B$41),Design!$B$39,Design!$B$41)/1000000)*E49/100/(IF(ISBLANK(Design!$B$33),Design!$B$32,Design!$B$33)*1000000))</f>
        <v>0.72866145956252071</v>
      </c>
      <c r="G49" s="165">
        <f>B49*Constants!$C$21/1000+IF(ISBLANK(Design!$B$33),Design!$B$32,Design!$B$33)*1000000*Constants!$D$25/1000000000*(B49-Constants!$C$24)</f>
        <v>4.8671249999999971E-2</v>
      </c>
      <c r="H49" s="165">
        <f>B49*C49*(B49/(Constants!$C$26*1000000000)*IF(ISBLANK(Design!$B$33),Design!$B$32,Design!$B$33)*1000000/2+B49/(Constants!$C$27*1000000000)*IF(ISBLANK(Design!$B$33),Design!$B$32,Design!$B$33)*1000000/2)</f>
        <v>0.14223145624999989</v>
      </c>
      <c r="I49" s="165">
        <f t="shared" ca="1" si="13"/>
        <v>0.58899650871894538</v>
      </c>
      <c r="J49" s="165">
        <f>Constants!$D$25/1000000000*Constants!$C$24*IF(ISBLANK(Design!$B$33),Design!$B$32,Design!$B$33)*1000000</f>
        <v>1.0624999999999999E-2</v>
      </c>
      <c r="K49" s="165">
        <f ca="1">SUM(G49:J49)</f>
        <v>0.7905242149689452</v>
      </c>
      <c r="L49" s="165">
        <f t="shared" ca="1" si="17"/>
        <v>0.49826284734178877</v>
      </c>
      <c r="M49" s="166">
        <f ca="1">$A49+L49*Design!$B$19</f>
        <v>113.40098229848196</v>
      </c>
      <c r="N49" s="166">
        <f ca="1">K49*Design!$C$12+A49</f>
        <v>111.87782330894413</v>
      </c>
      <c r="O49" s="166">
        <f ca="1">Constants!$D$22+Constants!$D$22*Constants!$C$23/100*(N49-25)</f>
        <v>194.50225864715532</v>
      </c>
      <c r="P49" s="165">
        <f ca="1">(1-Constants!$D$20/1000000000*Design!$B$33*1000000) * ($B49+D49-C49*O49/1000) - (D49+C49*(1+($A49-25)*Constants!$C$36/100)*IF(ISBLANK(Design!$B$42),Constants!$C$6/1000,Design!$B$42/1000))</f>
        <v>10.326566007129736</v>
      </c>
      <c r="Q49" s="115">
        <f ca="1">IF(P49&gt;Design!$C$29,Design!$C$29,P49)</f>
        <v>4.9990521327014221</v>
      </c>
      <c r="R49" s="116">
        <f>2*Design!$D$7/3</f>
        <v>1.6666666666666667</v>
      </c>
      <c r="S49" s="116">
        <f ca="1">FORECAST(R49, OFFSET(Design!$C$15:$C$17,MATCH(R49,Design!$B$15:$B$17,1)-1,0,2), OFFSET(Design!$B$15:$B$17,MATCH(R49,Design!$B$15:$B$17,1)-1,0,2))+(AB49-25)*Design!$B$18/1000</f>
        <v>0.35608624178153386</v>
      </c>
      <c r="T49" s="182">
        <f ca="1">IF(100*(Design!$C$29+S49+R49*IF(ISBLANK(Design!$B$42),Constants!$C$6,Design!$B$42)/1000*(1+Constants!$C$36/100*(AC49-25)))/($B49+S49-R49*AD49/1000)&gt;Design!$C$36,Design!$C$36,100*(Design!$C$29+S49+R49*IF(ISBLANK(Design!$B$42),Constants!$C$6,Design!$B$42)/1000*(1+Constants!$C$36/100*(AC49-25)))/($B49+S49-R49*AD49/1000))</f>
        <v>46.825914381848435</v>
      </c>
      <c r="U49" s="117">
        <f ca="1">IF(($B49-R49*IF(ISBLANK(Design!$B$42),Constants!$C$6,Design!$B$42)/1000*(1+Constants!$C$36/100*(AC49-25))-Design!$C$29)/(IF(ISBLANK(Design!$B$41),Design!$B$39,Design!$B$41)/1000000)*T49/100/(IF(ISBLANK(Design!$B$33),Design!$B$32,Design!$B$33)*1000000)&lt;0,0,($B49-R49*IF(ISBLANK(Design!$B$42),Constants!$C$6,Design!$B$42)/1000*(1+Constants!$C$36/100*(AC49-25))-Design!$C$29)/(IF(ISBLANK(Design!$B$41),Design!$B$39,Design!$B$41)/1000000)*T49/100/(IF(ISBLANK(Design!$B$33),Design!$B$32,Design!$B$33)*1000000))</f>
        <v>0.71451124200980631</v>
      </c>
      <c r="V49" s="183">
        <f>$B49*Constants!$C$21/1000+IF(ISBLANK(Design!$B$33),Design!$B$32,Design!$B$33)*1000000*Constants!$D$25/1000000000*($B49-Constants!$C$24)</f>
        <v>4.8671249999999971E-2</v>
      </c>
      <c r="W49" s="183">
        <f>$B49*R49*($B49/(Constants!$C$26*1000000000)*IF(ISBLANK(Design!$B$33),Design!$B$32,Design!$B$33)*1000000/2+$B49/(Constants!$C$27*1000000000)*IF(ISBLANK(Design!$B$33),Design!$B$32,Design!$B$33)*1000000/2)</f>
        <v>9.4820970833333254E-2</v>
      </c>
      <c r="X49" s="183">
        <f t="shared" ca="1" si="14"/>
        <v>0.2427261490309095</v>
      </c>
      <c r="Y49" s="183">
        <f>Constants!$D$25/1000000000*Constants!$C$24*IF(ISBLANK(Design!$B$33),Design!$B$32,Design!$B$33)*1000000</f>
        <v>1.0624999999999999E-2</v>
      </c>
      <c r="Z49" s="183">
        <f ca="1">SUM(V49:Y49)</f>
        <v>0.39684336986424273</v>
      </c>
      <c r="AA49" s="183">
        <f t="shared" ca="1" si="19"/>
        <v>0.31557600513228501</v>
      </c>
      <c r="AB49" s="184">
        <f ca="1">$A49+AA49*Design!$B$19</f>
        <v>102.98783229254025</v>
      </c>
      <c r="AC49" s="184">
        <f ca="1">Z49*Design!$C$12+$A49</f>
        <v>98.492674575384257</v>
      </c>
      <c r="AD49" s="184">
        <f ca="1">Constants!$D$22+Constants!$D$22*Constants!$C$23/100*(AC49-25)</f>
        <v>183.79413966030739</v>
      </c>
      <c r="AE49" s="183">
        <f ca="1">(1-Constants!$D$20/1000000000*Design!$B$33*1000000) * ($B49+S49-R49*AD49/1000) - (S49+R49*(1+($A49-25)*Constants!$C$36/100)*IF(ISBLANK(Design!$B$42),Constants!$C$6/1000,Design!$B$42/1000))</f>
        <v>10.539297879401438</v>
      </c>
      <c r="AF49" s="117">
        <f ca="1">IF(AE49&gt;Design!$C$29,Design!$C$29,AE49)</f>
        <v>4.9990521327014221</v>
      </c>
      <c r="AG49" s="118">
        <f>Design!$D$7/3</f>
        <v>0.83333333333333337</v>
      </c>
      <c r="AH49" s="118">
        <f ca="1">FORECAST(AG49, OFFSET(Design!$C$15:$C$17,MATCH(AG49,Design!$B$15:$B$17,1)-1,0,2), OFFSET(Design!$B$15:$B$17,MATCH(AG49,Design!$B$15:$B$17,1)-1,0,2))+(AQ49-25)*Design!$B$18/1000</f>
        <v>0.30146514971620653</v>
      </c>
      <c r="AI49" s="194">
        <f ca="1">IF(100*(Design!$C$29+AH49+AG49*IF(ISBLANK(Design!$B$42),Constants!$C$6,Design!$B$42)/1000*(1+Constants!$C$36/100*(AR49-25)))/($B49+AH49-AG49*AS49/1000)&gt;Design!$C$36,Design!$C$36,100*(Design!$C$29+AH49+AG49*IF(ISBLANK(Design!$B$42),Constants!$C$6,Design!$B$42)/1000*(1+Constants!$C$36/100*(AR49-25)))/($B49+AH49-AG49*AS49/1000))</f>
        <v>45.570319869372632</v>
      </c>
      <c r="AJ49" s="119">
        <f ca="1">IF(($B49-AG49*IF(ISBLANK(Design!$B$42),Constants!$C$6,Design!$B$42)/1000*(1+Constants!$C$36/100*(AR49-25))-Design!$C$29)/(IF(ISBLANK(Design!$B$41),Design!$B$39,Design!$B$41)/1000000)*AI49/100/(IF(ISBLANK(Design!$B$33),Design!$B$32,Design!$B$33)*1000000)&lt;0,0,($B49-AG49*IF(ISBLANK(Design!$B$42),Constants!$C$6,Design!$B$42)/1000*(1+Constants!$C$36/100*(AR49-25))-Design!$C$29)/(IF(ISBLANK(Design!$B$41),Design!$B$39,Design!$B$41)/1000000)*AI49/100/(IF(ISBLANK(Design!$B$33),Design!$B$32,Design!$B$33)*1000000))</f>
        <v>0.70006887387531402</v>
      </c>
      <c r="AK49" s="195">
        <f>$B49*Constants!$C$21/1000+IF(ISBLANK(Design!$B$33),Design!$B$32,Design!$B$33)*1000000*Constants!$D$25/1000000000*($B49-Constants!$C$24)</f>
        <v>4.8671249999999971E-2</v>
      </c>
      <c r="AL49" s="195">
        <f>$B49*AG49*($B49/(Constants!$C$26*1000000000)*IF(ISBLANK(Design!$B$33),Design!$B$32,Design!$B$33)*1000000/2+$B49/(Constants!$C$27*1000000000)*IF(ISBLANK(Design!$B$33),Design!$B$32,Design!$B$33)*1000000/2)</f>
        <v>4.7410485416666627E-2</v>
      </c>
      <c r="AM49" s="195">
        <f t="shared" ca="1" si="15"/>
        <v>5.9482111482784171E-2</v>
      </c>
      <c r="AN49" s="195">
        <f>Constants!$D$25/1000000000*Constants!$C$24*IF(ISBLANK(Design!$B$33),Design!$B$32,Design!$B$33)*1000000</f>
        <v>1.0624999999999999E-2</v>
      </c>
      <c r="AO49" s="195">
        <f ca="1">SUM(AK49:AN49)</f>
        <v>0.16618884689945077</v>
      </c>
      <c r="AP49" s="195">
        <f t="shared" ca="1" si="21"/>
        <v>0.13673876391320677</v>
      </c>
      <c r="AQ49" s="196">
        <f ca="1">$A49+AP49*Design!$B$19</f>
        <v>92.794109543052784</v>
      </c>
      <c r="AR49" s="196">
        <f ca="1">AO49*Design!$C$12+$A49</f>
        <v>90.650420794581322</v>
      </c>
      <c r="AS49" s="196">
        <f ca="1">Constants!$D$22+Constants!$D$22*Constants!$C$23/100*(AR49-25)</f>
        <v>177.52033663566505</v>
      </c>
      <c r="AT49" s="195">
        <f ca="1">(1-Constants!$D$20/1000000000*Design!$B$33*1000000) * ($B49+AH49-AG49*AS49/1000) - (AH49+AG49*(1+($A49-25)*Constants!$C$36/100)*IF(ISBLANK(Design!$B$42),Constants!$C$6/1000,Design!$B$42/1000))</f>
        <v>10.73314793544772</v>
      </c>
      <c r="AU49" s="119">
        <f ca="1">IF(AT49&gt;Design!$C$29,Design!$C$29,AT49)</f>
        <v>4.9990521327014221</v>
      </c>
    </row>
    <row r="50" spans="1:47" ht="12.75" customHeight="1">
      <c r="A50" s="112">
        <f>Design!$D$13</f>
        <v>85</v>
      </c>
      <c r="B50" s="113">
        <f t="shared" si="12"/>
        <v>11.354999999999995</v>
      </c>
      <c r="C50" s="114">
        <f>Design!$D$7</f>
        <v>2.5</v>
      </c>
      <c r="D50" s="114">
        <f ca="1">FORECAST(C50, OFFSET(Design!$C$15:$C$17,MATCH(C50,Design!$B$15:$B$17,1)-1,0,2), OFFSET(Design!$B$15:$B$17,MATCH(C50,Design!$B$15:$B$17,1)-1,0,2))+(M50-25)*Design!$B$18/1000</f>
        <v>0.38457028879767441</v>
      </c>
      <c r="E50" s="173">
        <f ca="1">IF(100*(Design!$C$29+D50+C50*IF(ISBLANK(Design!$B$42),Constants!$C$6,Design!$B$42)/1000*(1+Constants!$C$36/100*(N50-25)))/($B50+D50-C50*O50/1000)&gt;Design!$C$36,Design!$C$36,100*(Design!$C$29+D50+C50*IF(ISBLANK(Design!$B$42),Constants!$C$6,Design!$B$42)/1000*(1+Constants!$C$36/100*(N50-25)))/($B50+D50-C50*O50/1000))</f>
        <v>49.034551274768532</v>
      </c>
      <c r="F50" s="115">
        <f ca="1">IF(($B50-C50*IF(ISBLANK(Design!$B$42),Constants!$C$6,Design!$B$42)/1000*(1+Constants!$C$36/100*(N50-25))-Design!$C$29)/(IF(ISBLANK(Design!$B$41),Design!$B$39,Design!$B$41)/1000000)*E50/100/(IF(ISBLANK(Design!$B$33),Design!$B$32,Design!$B$33)*1000000)&lt;0,0,($B50-C50*IF(ISBLANK(Design!$B$42),Constants!$C$6,Design!$B$42)/1000*(1+Constants!$C$36/100*(N50-25))-Design!$C$29)/(IF(ISBLANK(Design!$B$41),Design!$B$39,Design!$B$41)/1000000)*E50/100/(IF(ISBLANK(Design!$B$33),Design!$B$32,Design!$B$33)*1000000))</f>
        <v>0.71783516823309612</v>
      </c>
      <c r="G50" s="165">
        <f>B50*Constants!$C$21/1000+IF(ISBLANK(Design!$B$33),Design!$B$32,Design!$B$33)*1000000*Constants!$D$25/1000000000*(B50-Constants!$C$24)</f>
        <v>4.7569374999999976E-2</v>
      </c>
      <c r="H50" s="165">
        <f>B50*C50*(B50/(Constants!$C$26*1000000000)*IF(ISBLANK(Design!$B$33),Design!$B$32,Design!$B$33)*1000000/2+B50/(Constants!$C$27*1000000000)*IF(ISBLANK(Design!$B$33),Design!$B$32,Design!$B$33)*1000000/2)</f>
        <v>0.13699452656249989</v>
      </c>
      <c r="I50" s="165">
        <f t="shared" ca="1" si="13"/>
        <v>0.60062232025374596</v>
      </c>
      <c r="J50" s="165">
        <f>Constants!$D$25/1000000000*Constants!$C$24*IF(ISBLANK(Design!$B$33),Design!$B$32,Design!$B$33)*1000000</f>
        <v>1.0624999999999999E-2</v>
      </c>
      <c r="K50" s="165">
        <f t="shared" ref="K50:K87" ca="1" si="22">SUM(G50:J50)</f>
        <v>0.79581122181624575</v>
      </c>
      <c r="L50" s="165">
        <f t="shared" ca="1" si="17"/>
        <v>0.48999493337413325</v>
      </c>
      <c r="M50" s="166">
        <f ca="1">$A50+L50*Design!$B$19</f>
        <v>112.92971120232559</v>
      </c>
      <c r="N50" s="166">
        <f ca="1">K50*Design!$C$12+A50</f>
        <v>112.05758154175236</v>
      </c>
      <c r="O50" s="166">
        <f ca="1">Constants!$D$22+Constants!$D$22*Constants!$C$23/100*(N50-25)</f>
        <v>194.64606523340188</v>
      </c>
      <c r="P50" s="165">
        <f ca="1">(1-Constants!$D$20/1000000000*Design!$B$33*1000000) * ($B50+D50-C50*O50/1000) - (D50+C50*(1+($A50-25)*Constants!$C$36/100)*IF(ISBLANK(Design!$B$42),Constants!$C$6/1000,Design!$B$42/1000))</f>
        <v>10.123079066220782</v>
      </c>
      <c r="Q50" s="115">
        <f ca="1">IF(P50&gt;Design!$C$29,Design!$C$29,P50)</f>
        <v>4.9990521327014221</v>
      </c>
      <c r="R50" s="116">
        <f>2*Design!$D$7/3</f>
        <v>1.6666666666666667</v>
      </c>
      <c r="S50" s="116">
        <f ca="1">FORECAST(R50, OFFSET(Design!$C$15:$C$17,MATCH(R50,Design!$B$15:$B$17,1)-1,0,2), OFFSET(Design!$B$15:$B$17,MATCH(R50,Design!$B$15:$B$17,1)-1,0,2))+(AB50-25)*Design!$B$18/1000</f>
        <v>0.35637113874433446</v>
      </c>
      <c r="T50" s="182">
        <f ca="1">IF(100*(Design!$C$29+S50+R50*IF(ISBLANK(Design!$B$42),Constants!$C$6,Design!$B$42)/1000*(1+Constants!$C$36/100*(AC50-25)))/($B50+S50-R50*AD50/1000)&gt;Design!$C$36,Design!$C$36,100*(Design!$C$29+S50+R50*IF(ISBLANK(Design!$B$42),Constants!$C$6,Design!$B$42)/1000*(1+Constants!$C$36/100*(AC50-25)))/($B50+S50-R50*AD50/1000))</f>
        <v>47.709938482095353</v>
      </c>
      <c r="U50" s="117">
        <f ca="1">IF(($B50-R50*IF(ISBLANK(Design!$B$42),Constants!$C$6,Design!$B$42)/1000*(1+Constants!$C$36/100*(AC50-25))-Design!$C$29)/(IF(ISBLANK(Design!$B$41),Design!$B$39,Design!$B$41)/1000000)*T50/100/(IF(ISBLANK(Design!$B$33),Design!$B$32,Design!$B$33)*1000000)&lt;0,0,($B50-R50*IF(ISBLANK(Design!$B$42),Constants!$C$6,Design!$B$42)/1000*(1+Constants!$C$36/100*(AC50-25))-Design!$C$29)/(IF(ISBLANK(Design!$B$41),Design!$B$39,Design!$B$41)/1000000)*T50/100/(IF(ISBLANK(Design!$B$33),Design!$B$32,Design!$B$33)*1000000))</f>
        <v>0.70386497383266811</v>
      </c>
      <c r="V50" s="183">
        <f>$B50*Constants!$C$21/1000+IF(ISBLANK(Design!$B$33),Design!$B$32,Design!$B$33)*1000000*Constants!$D$25/1000000000*($B50-Constants!$C$24)</f>
        <v>4.7569374999999976E-2</v>
      </c>
      <c r="W50" s="183">
        <f>$B50*R50*($B50/(Constants!$C$26*1000000000)*IF(ISBLANK(Design!$B$33),Design!$B$32,Design!$B$33)*1000000/2+$B50/(Constants!$C$27*1000000000)*IF(ISBLANK(Design!$B$33),Design!$B$32,Design!$B$33)*1000000/2)</f>
        <v>9.1329684374999928E-2</v>
      </c>
      <c r="X50" s="183">
        <f t="shared" ca="1" si="14"/>
        <v>0.24719362193896893</v>
      </c>
      <c r="Y50" s="183">
        <f>Constants!$D$25/1000000000*Constants!$C$24*IF(ISBLANK(Design!$B$33),Design!$B$32,Design!$B$33)*1000000</f>
        <v>1.0624999999999999E-2</v>
      </c>
      <c r="Z50" s="183">
        <f t="shared" ref="Z50:Z87" ca="1" si="23">SUM(V50:Y50)</f>
        <v>0.39671768131396884</v>
      </c>
      <c r="AA50" s="183">
        <f t="shared" ca="1" si="19"/>
        <v>0.31057781280244973</v>
      </c>
      <c r="AB50" s="184">
        <f ca="1">$A50+AA50*Design!$B$19</f>
        <v>102.70293532973963</v>
      </c>
      <c r="AC50" s="184">
        <f ca="1">Z50*Design!$C$12+$A50</f>
        <v>98.48840116467494</v>
      </c>
      <c r="AD50" s="184">
        <f ca="1">Constants!$D$22+Constants!$D$22*Constants!$C$23/100*(AC50-25)</f>
        <v>183.79072093173994</v>
      </c>
      <c r="AE50" s="183">
        <f ca="1">(1-Constants!$D$20/1000000000*Design!$B$33*1000000) * ($B50+S50-R50*AD50/1000) - (S50+R50*(1+($A50-25)*Constants!$C$36/100)*IF(ISBLANK(Design!$B$42),Constants!$C$6/1000,Design!$B$42/1000))</f>
        <v>10.336166271917268</v>
      </c>
      <c r="AF50" s="117">
        <f ca="1">IF(AE50&gt;Design!$C$29,Design!$C$29,AE50)</f>
        <v>4.9990521327014221</v>
      </c>
      <c r="AG50" s="118">
        <f>Design!$D$7/3</f>
        <v>0.83333333333333337</v>
      </c>
      <c r="AH50" s="118">
        <f ca="1">FORECAST(AG50, OFFSET(Design!$C$15:$C$17,MATCH(AG50,Design!$B$15:$B$17,1)-1,0,2), OFFSET(Design!$B$15:$B$17,MATCH(AG50,Design!$B$15:$B$17,1)-1,0,2))+(AQ50-25)*Design!$B$18/1000</f>
        <v>0.30158407562788009</v>
      </c>
      <c r="AI50" s="194">
        <f ca="1">IF(100*(Design!$C$29+AH50+AG50*IF(ISBLANK(Design!$B$42),Constants!$C$6,Design!$B$42)/1000*(1+Constants!$C$36/100*(AR50-25)))/($B50+AH50-AG50*AS50/1000)&gt;Design!$C$36,Design!$C$36,100*(Design!$C$29+AH50+AG50*IF(ISBLANK(Design!$B$42),Constants!$C$6,Design!$B$42)/1000*(1+Constants!$C$36/100*(AR50-25)))/($B50+AH50-AG50*AS50/1000))</f>
        <v>46.421967752843898</v>
      </c>
      <c r="AJ50" s="119">
        <f ca="1">IF(($B50-AG50*IF(ISBLANK(Design!$B$42),Constants!$C$6,Design!$B$42)/1000*(1+Constants!$C$36/100*(AR50-25))-Design!$C$29)/(IF(ISBLANK(Design!$B$41),Design!$B$39,Design!$B$41)/1000000)*AI50/100/(IF(ISBLANK(Design!$B$33),Design!$B$32,Design!$B$33)*1000000)&lt;0,0,($B50-AG50*IF(ISBLANK(Design!$B$42),Constants!$C$6,Design!$B$42)/1000*(1+Constants!$C$36/100*(AR50-25))-Design!$C$29)/(IF(ISBLANK(Design!$B$41),Design!$B$39,Design!$B$41)/1000000)*AI50/100/(IF(ISBLANK(Design!$B$33),Design!$B$32,Design!$B$33)*1000000))</f>
        <v>0.68966906482962276</v>
      </c>
      <c r="AK50" s="195">
        <f>$B50*Constants!$C$21/1000+IF(ISBLANK(Design!$B$33),Design!$B$32,Design!$B$33)*1000000*Constants!$D$25/1000000000*($B50-Constants!$C$24)</f>
        <v>4.7569374999999976E-2</v>
      </c>
      <c r="AL50" s="195">
        <f>$B50*AG50*($B50/(Constants!$C$26*1000000000)*IF(ISBLANK(Design!$B$33),Design!$B$32,Design!$B$33)*1000000/2+$B50/(Constants!$C$27*1000000000)*IF(ISBLANK(Design!$B$33),Design!$B$32,Design!$B$33)*1000000/2)</f>
        <v>4.5664842187499964E-2</v>
      </c>
      <c r="AM50" s="195">
        <f t="shared" ca="1" si="15"/>
        <v>6.0477328727519743E-2</v>
      </c>
      <c r="AN50" s="195">
        <f>Constants!$D$25/1000000000*Constants!$C$24*IF(ISBLANK(Design!$B$33),Design!$B$32,Design!$B$33)*1000000</f>
        <v>1.0624999999999999E-2</v>
      </c>
      <c r="AO50" s="195">
        <f t="shared" ref="AO50:AO87" ca="1" si="24">SUM(AK50:AN50)</f>
        <v>0.16433654591501967</v>
      </c>
      <c r="AP50" s="195">
        <f t="shared" ca="1" si="21"/>
        <v>0.13465234441016102</v>
      </c>
      <c r="AQ50" s="196">
        <f ca="1">$A50+AP50*Design!$B$19</f>
        <v>92.675183631379184</v>
      </c>
      <c r="AR50" s="196">
        <f ca="1">AO50*Design!$C$12+$A50</f>
        <v>90.587442561110663</v>
      </c>
      <c r="AS50" s="196">
        <f ca="1">Constants!$D$22+Constants!$D$22*Constants!$C$23/100*(AR50-25)</f>
        <v>177.46995404888852</v>
      </c>
      <c r="AT50" s="195">
        <f ca="1">(1-Constants!$D$20/1000000000*Design!$B$33*1000000) * ($B50+AH50-AG50*AS50/1000) - (AH50+AG50*(1+($A50-25)*Constants!$C$36/100)*IF(ISBLANK(Design!$B$42),Constants!$C$6/1000,Design!$B$42/1000))</f>
        <v>10.530059780581816</v>
      </c>
      <c r="AU50" s="119">
        <f ca="1">IF(AT50&gt;Design!$C$29,Design!$C$29,AT50)</f>
        <v>4.9990521327014221</v>
      </c>
    </row>
    <row r="51" spans="1:47" ht="12.75" customHeight="1">
      <c r="A51" s="112">
        <f>Design!$D$13</f>
        <v>85</v>
      </c>
      <c r="B51" s="113">
        <f t="shared" si="12"/>
        <v>11.139999999999995</v>
      </c>
      <c r="C51" s="114">
        <f>Design!$D$7</f>
        <v>2.5</v>
      </c>
      <c r="D51" s="114">
        <f ca="1">FORECAST(C51, OFFSET(Design!$C$15:$C$17,MATCH(C51,Design!$B$15:$B$17,1)-1,0,2), OFFSET(Design!$B$15:$B$17,MATCH(C51,Design!$B$15:$B$17,1)-1,0,2))+(M51-25)*Design!$B$18/1000</f>
        <v>0.3850613141885374</v>
      </c>
      <c r="E51" s="173">
        <f ca="1">IF(100*(Design!$C$29+D51+C51*IF(ISBLANK(Design!$B$42),Constants!$C$6,Design!$B$42)/1000*(1+Constants!$C$36/100*(N51-25)))/($B51+D51-C51*O51/1000)&gt;Design!$C$36,Design!$C$36,100*(Design!$C$29+D51+C51*IF(ISBLANK(Design!$B$42),Constants!$C$6,Design!$B$42)/1000*(1+Constants!$C$36/100*(N51-25)))/($B51+D51-C51*O51/1000))</f>
        <v>49.994410230784162</v>
      </c>
      <c r="F51" s="115">
        <f ca="1">IF(($B51-C51*IF(ISBLANK(Design!$B$42),Constants!$C$6,Design!$B$42)/1000*(1+Constants!$C$36/100*(N51-25))-Design!$C$29)/(IF(ISBLANK(Design!$B$41),Design!$B$39,Design!$B$41)/1000000)*E51/100/(IF(ISBLANK(Design!$B$33),Design!$B$32,Design!$B$33)*1000000)&lt;0,0,($B51-C51*IF(ISBLANK(Design!$B$42),Constants!$C$6,Design!$B$42)/1000*(1+Constants!$C$36/100*(N51-25))-Design!$C$29)/(IF(ISBLANK(Design!$B$41),Design!$B$39,Design!$B$41)/1000000)*E51/100/(IF(ISBLANK(Design!$B$33),Design!$B$32,Design!$B$33)*1000000))</f>
        <v>0.70658635401745551</v>
      </c>
      <c r="G51" s="165">
        <f>B51*Constants!$C$21/1000+IF(ISBLANK(Design!$B$33),Design!$B$32,Design!$B$33)*1000000*Constants!$D$25/1000000000*(B51-Constants!$C$24)</f>
        <v>4.6467499999999974E-2</v>
      </c>
      <c r="H51" s="165">
        <f>B51*C51*(B51/(Constants!$C$26*1000000000)*IF(ISBLANK(Design!$B$33),Design!$B$32,Design!$B$33)*1000000/2+B51/(Constants!$C$27*1000000000)*IF(ISBLANK(Design!$B$33),Design!$B$32,Design!$B$33)*1000000/2)</f>
        <v>0.1318558249999999</v>
      </c>
      <c r="I51" s="165">
        <f t="shared" ca="1" si="13"/>
        <v>0.61275364979941838</v>
      </c>
      <c r="J51" s="165">
        <f>Constants!$D$25/1000000000*Constants!$C$24*IF(ISBLANK(Design!$B$33),Design!$B$32,Design!$B$33)*1000000</f>
        <v>1.0624999999999999E-2</v>
      </c>
      <c r="K51" s="165">
        <f t="shared" ca="1" si="22"/>
        <v>0.80170197479941818</v>
      </c>
      <c r="L51" s="165">
        <f t="shared" ca="1" si="17"/>
        <v>0.48138045283267816</v>
      </c>
      <c r="M51" s="166">
        <f ca="1">$A51+L51*Design!$B$19</f>
        <v>112.43868581146265</v>
      </c>
      <c r="N51" s="166">
        <f ca="1">K51*Design!$C$12+A51</f>
        <v>112.25786714318022</v>
      </c>
      <c r="O51" s="166">
        <f ca="1">Constants!$D$22+Constants!$D$22*Constants!$C$23/100*(N51-25)</f>
        <v>194.80629371454418</v>
      </c>
      <c r="P51" s="165">
        <f ca="1">(1-Constants!$D$20/1000000000*Design!$B$33*1000000) * ($B51+D51-C51*O51/1000) - (D51+C51*(1+($A51-25)*Constants!$C$36/100)*IF(ISBLANK(Design!$B$42),Constants!$C$6/1000,Design!$B$42/1000))</f>
        <v>9.9195522474240381</v>
      </c>
      <c r="Q51" s="115">
        <f ca="1">IF(P51&gt;Design!$C$29,Design!$C$29,P51)</f>
        <v>4.9990521327014221</v>
      </c>
      <c r="R51" s="116">
        <f>2*Design!$D$7/3</f>
        <v>1.6666666666666667</v>
      </c>
      <c r="S51" s="116">
        <f ca="1">FORECAST(R51, OFFSET(Design!$C$15:$C$17,MATCH(R51,Design!$B$15:$B$17,1)-1,0,2), OFFSET(Design!$B$15:$B$17,MATCH(R51,Design!$B$15:$B$17,1)-1,0,2))+(AB51-25)*Design!$B$18/1000</f>
        <v>0.35666749001530196</v>
      </c>
      <c r="T51" s="182">
        <f ca="1">IF(100*(Design!$C$29+S51+R51*IF(ISBLANK(Design!$B$42),Constants!$C$6,Design!$B$42)/1000*(1+Constants!$C$36/100*(AC51-25)))/($B51+S51-R51*AD51/1000)&gt;Design!$C$36,Design!$C$36,100*(Design!$C$29+S51+R51*IF(ISBLANK(Design!$B$42),Constants!$C$6,Design!$B$42)/1000*(1+Constants!$C$36/100*(AC51-25)))/($B51+S51-R51*AD51/1000))</f>
        <v>48.628006266903377</v>
      </c>
      <c r="U51" s="117">
        <f ca="1">IF(($B51-R51*IF(ISBLANK(Design!$B$42),Constants!$C$6,Design!$B$42)/1000*(1+Constants!$C$36/100*(AC51-25))-Design!$C$29)/(IF(ISBLANK(Design!$B$41),Design!$B$39,Design!$B$41)/1000000)*T51/100/(IF(ISBLANK(Design!$B$33),Design!$B$32,Design!$B$33)*1000000)&lt;0,0,($B51-R51*IF(ISBLANK(Design!$B$42),Constants!$C$6,Design!$B$42)/1000*(1+Constants!$C$36/100*(AC51-25))-Design!$C$29)/(IF(ISBLANK(Design!$B$41),Design!$B$39,Design!$B$41)/1000000)*T51/100/(IF(ISBLANK(Design!$B$33),Design!$B$32,Design!$B$33)*1000000))</f>
        <v>0.69280906178928381</v>
      </c>
      <c r="V51" s="183">
        <f>$B51*Constants!$C$21/1000+IF(ISBLANK(Design!$B$33),Design!$B$32,Design!$B$33)*1000000*Constants!$D$25/1000000000*($B51-Constants!$C$24)</f>
        <v>4.6467499999999974E-2</v>
      </c>
      <c r="W51" s="183">
        <f>$B51*R51*($B51/(Constants!$C$26*1000000000)*IF(ISBLANK(Design!$B$33),Design!$B$32,Design!$B$33)*1000000/2+$B51/(Constants!$C$27*1000000000)*IF(ISBLANK(Design!$B$33),Design!$B$32,Design!$B$33)*1000000/2)</f>
        <v>8.7903883333333266E-2</v>
      </c>
      <c r="X51" s="183">
        <f t="shared" ca="1" si="14"/>
        <v>0.25183970080637447</v>
      </c>
      <c r="Y51" s="183">
        <f>Constants!$D$25/1000000000*Constants!$C$24*IF(ISBLANK(Design!$B$33),Design!$B$32,Design!$B$33)*1000000</f>
        <v>1.0624999999999999E-2</v>
      </c>
      <c r="Z51" s="183">
        <f t="shared" ca="1" si="23"/>
        <v>0.39683608413970772</v>
      </c>
      <c r="AA51" s="183">
        <f t="shared" ca="1" si="19"/>
        <v>0.30537866769775662</v>
      </c>
      <c r="AB51" s="184">
        <f ca="1">$A51+AA51*Design!$B$19</f>
        <v>102.40658405877213</v>
      </c>
      <c r="AC51" s="184">
        <f ca="1">Z51*Design!$C$12+$A51</f>
        <v>98.492426860750058</v>
      </c>
      <c r="AD51" s="184">
        <f ca="1">Constants!$D$22+Constants!$D$22*Constants!$C$23/100*(AC51-25)</f>
        <v>183.79394148860004</v>
      </c>
      <c r="AE51" s="183">
        <f ca="1">(1-Constants!$D$20/1000000000*Design!$B$33*1000000) * ($B51+S51-R51*AD51/1000) - (S51+R51*(1+($A51-25)*Constants!$C$36/100)*IF(ISBLANK(Design!$B$42),Constants!$C$6/1000,Design!$B$42/1000))</f>
        <v>10.133023577474392</v>
      </c>
      <c r="AF51" s="117">
        <f ca="1">IF(AE51&gt;Design!$C$29,Design!$C$29,AE51)</f>
        <v>4.9990521327014221</v>
      </c>
      <c r="AG51" s="118">
        <f>Design!$D$7/3</f>
        <v>0.83333333333333337</v>
      </c>
      <c r="AH51" s="118">
        <f ca="1">FORECAST(AG51, OFFSET(Design!$C$15:$C$17,MATCH(AG51,Design!$B$15:$B$17,1)-1,0,2), OFFSET(Design!$B$15:$B$17,MATCH(AG51,Design!$B$15:$B$17,1)-1,0,2))+(AQ51-25)*Design!$B$18/1000</f>
        <v>0.30170762972449583</v>
      </c>
      <c r="AI51" s="194">
        <f ca="1">IF(100*(Design!$C$29+AH51+AG51*IF(ISBLANK(Design!$B$42),Constants!$C$6,Design!$B$42)/1000*(1+Constants!$C$36/100*(AR51-25)))/($B51+AH51-AG51*AS51/1000)&gt;Design!$C$36,Design!$C$36,100*(Design!$C$29+AH51+AG51*IF(ISBLANK(Design!$B$42),Constants!$C$6,Design!$B$42)/1000*(1+Constants!$C$36/100*(AR51-25)))/($B51+AH51-AG51*AS51/1000))</f>
        <v>47.306047725326849</v>
      </c>
      <c r="AJ51" s="119">
        <f ca="1">IF(($B51-AG51*IF(ISBLANK(Design!$B$42),Constants!$C$6,Design!$B$42)/1000*(1+Constants!$C$36/100*(AR51-25))-Design!$C$29)/(IF(ISBLANK(Design!$B$41),Design!$B$39,Design!$B$41)/1000000)*AI51/100/(IF(ISBLANK(Design!$B$33),Design!$B$32,Design!$B$33)*1000000)&lt;0,0,($B51-AG51*IF(ISBLANK(Design!$B$42),Constants!$C$6,Design!$B$42)/1000*(1+Constants!$C$36/100*(AR51-25))-Design!$C$29)/(IF(ISBLANK(Design!$B$41),Design!$B$39,Design!$B$41)/1000000)*AI51/100/(IF(ISBLANK(Design!$B$33),Design!$B$32,Design!$B$33)*1000000))</f>
        <v>0.6788730092286327</v>
      </c>
      <c r="AK51" s="195">
        <f>$B51*Constants!$C$21/1000+IF(ISBLANK(Design!$B$33),Design!$B$32,Design!$B$33)*1000000*Constants!$D$25/1000000000*($B51-Constants!$C$24)</f>
        <v>4.6467499999999974E-2</v>
      </c>
      <c r="AL51" s="195">
        <f>$B51*AG51*($B51/(Constants!$C$26*1000000000)*IF(ISBLANK(Design!$B$33),Design!$B$32,Design!$B$33)*1000000/2+$B51/(Constants!$C$27*1000000000)*IF(ISBLANK(Design!$B$33),Design!$B$32,Design!$B$33)*1000000/2)</f>
        <v>4.3951941666666633E-2</v>
      </c>
      <c r="AM51" s="195">
        <f t="shared" ca="1" si="15"/>
        <v>6.1508902503164514E-2</v>
      </c>
      <c r="AN51" s="195">
        <f>Constants!$D$25/1000000000*Constants!$C$24*IF(ISBLANK(Design!$B$33),Design!$B$32,Design!$B$33)*1000000</f>
        <v>1.0624999999999999E-2</v>
      </c>
      <c r="AO51" s="195">
        <f t="shared" ca="1" si="24"/>
        <v>0.16255334416983111</v>
      </c>
      <c r="AP51" s="195">
        <f t="shared" ca="1" si="21"/>
        <v>0.1324847286800612</v>
      </c>
      <c r="AQ51" s="196">
        <f ca="1">$A51+AP51*Design!$B$19</f>
        <v>92.551629534763492</v>
      </c>
      <c r="AR51" s="196">
        <f ca="1">AO51*Design!$C$12+$A51</f>
        <v>90.526813701774259</v>
      </c>
      <c r="AS51" s="196">
        <f ca="1">Constants!$D$22+Constants!$D$22*Constants!$C$23/100*(AR51-25)</f>
        <v>177.4214509614194</v>
      </c>
      <c r="AT51" s="195">
        <f ca="1">(1-Constants!$D$20/1000000000*Design!$B$33*1000000) * ($B51+AH51-AG51*AS51/1000) - (AH51+AG51*(1+($A51-25)*Constants!$C$36/100)*IF(ISBLANK(Design!$B$42),Constants!$C$6/1000,Design!$B$42/1000))</f>
        <v>10.326969890294547</v>
      </c>
      <c r="AU51" s="119">
        <f ca="1">IF(AT51&gt;Design!$C$29,Design!$C$29,AT51)</f>
        <v>4.9990521327014221</v>
      </c>
    </row>
    <row r="52" spans="1:47" ht="12.75" customHeight="1">
      <c r="A52" s="112">
        <f>Design!$D$13</f>
        <v>85</v>
      </c>
      <c r="B52" s="113">
        <f t="shared" si="12"/>
        <v>10.924999999999995</v>
      </c>
      <c r="C52" s="114">
        <f>Design!$D$7</f>
        <v>2.5</v>
      </c>
      <c r="D52" s="114">
        <f ca="1">FORECAST(C52, OFFSET(Design!$C$15:$C$17,MATCH(C52,Design!$B$15:$B$17,1)-1,0,2), OFFSET(Design!$B$15:$B$17,MATCH(C52,Design!$B$15:$B$17,1)-1,0,2))+(M52-25)*Design!$B$18/1000</f>
        <v>0.38557336511061252</v>
      </c>
      <c r="E52" s="173">
        <f ca="1">IF(100*(Design!$C$29+D52+C52*IF(ISBLANK(Design!$B$42),Constants!$C$6,Design!$B$42)/1000*(1+Constants!$C$36/100*(N52-25)))/($B52+D52-C52*O52/1000)&gt;Design!$C$36,Design!$C$36,100*(Design!$C$29+D52+C52*IF(ISBLANK(Design!$B$42),Constants!$C$6,Design!$B$42)/1000*(1+Constants!$C$36/100*(N52-25)))/($B52+D52-C52*O52/1000))</f>
        <v>50.992765987653939</v>
      </c>
      <c r="F52" s="115">
        <f ca="1">IF(($B52-C52*IF(ISBLANK(Design!$B$42),Constants!$C$6,Design!$B$42)/1000*(1+Constants!$C$36/100*(N52-25))-Design!$C$29)/(IF(ISBLANK(Design!$B$41),Design!$B$39,Design!$B$41)/1000000)*E52/100/(IF(ISBLANK(Design!$B$33),Design!$B$32,Design!$B$33)*1000000)&lt;0,0,($B52-C52*IF(ISBLANK(Design!$B$42),Constants!$C$6,Design!$B$42)/1000*(1+Constants!$C$36/100*(N52-25))-Design!$C$29)/(IF(ISBLANK(Design!$B$41),Design!$B$39,Design!$B$41)/1000000)*E52/100/(IF(ISBLANK(Design!$B$33),Design!$B$32,Design!$B$33)*1000000))</f>
        <v>0.6948896167124885</v>
      </c>
      <c r="G52" s="165">
        <f>B52*Constants!$C$21/1000+IF(ISBLANK(Design!$B$33),Design!$B$32,Design!$B$33)*1000000*Constants!$D$25/1000000000*(B52-Constants!$C$24)</f>
        <v>4.5365624999999979E-2</v>
      </c>
      <c r="H52" s="165">
        <f>B52*C52*(B52/(Constants!$C$26*1000000000)*IF(ISBLANK(Design!$B$33),Design!$B$32,Design!$B$33)*1000000/2+B52/(Constants!$C$27*1000000000)*IF(ISBLANK(Design!$B$33),Design!$B$32,Design!$B$33)*1000000/2)</f>
        <v>0.1268153515624999</v>
      </c>
      <c r="I52" s="165">
        <f t="shared" ca="1" si="13"/>
        <v>0.62542376012576606</v>
      </c>
      <c r="J52" s="165">
        <f>Constants!$D$25/1000000000*Constants!$C$24*IF(ISBLANK(Design!$B$33),Design!$B$32,Design!$B$33)*1000000</f>
        <v>1.0624999999999999E-2</v>
      </c>
      <c r="K52" s="165">
        <f t="shared" ca="1" si="22"/>
        <v>0.80822973668826592</v>
      </c>
      <c r="L52" s="165">
        <f t="shared" ca="1" si="17"/>
        <v>0.47239710332258839</v>
      </c>
      <c r="M52" s="166">
        <f ca="1">$A52+L52*Design!$B$19</f>
        <v>111.92663488938754</v>
      </c>
      <c r="N52" s="166">
        <f ca="1">K52*Design!$C$12+A52</f>
        <v>112.47981104740104</v>
      </c>
      <c r="O52" s="166">
        <f ca="1">Constants!$D$22+Constants!$D$22*Constants!$C$23/100*(N52-25)</f>
        <v>194.98384883792085</v>
      </c>
      <c r="P52" s="165">
        <f ca="1">(1-Constants!$D$20/1000000000*Design!$B$33*1000000) * ($B52+D52-C52*O52/1000) - (D52+C52*(1+($A52-25)*Constants!$C$36/100)*IF(ISBLANK(Design!$B$42),Constants!$C$6/1000,Design!$B$42/1000))</f>
        <v>9.7159833436035701</v>
      </c>
      <c r="Q52" s="115">
        <f ca="1">IF(P52&gt;Design!$C$29,Design!$C$29,P52)</f>
        <v>4.9990521327014221</v>
      </c>
      <c r="R52" s="116">
        <f>2*Design!$D$7/3</f>
        <v>1.6666666666666667</v>
      </c>
      <c r="S52" s="116">
        <f ca="1">FORECAST(R52, OFFSET(Design!$C$15:$C$17,MATCH(R52,Design!$B$15:$B$17,1)-1,0,2), OFFSET(Design!$B$15:$B$17,MATCH(R52,Design!$B$15:$B$17,1)-1,0,2))+(AB52-25)*Design!$B$18/1000</f>
        <v>0.35697600023473824</v>
      </c>
      <c r="T52" s="182">
        <f ca="1">IF(100*(Design!$C$29+S52+R52*IF(ISBLANK(Design!$B$42),Constants!$C$6,Design!$B$42)/1000*(1+Constants!$C$36/100*(AC52-25)))/($B52+S52-R52*AD52/1000)&gt;Design!$C$36,Design!$C$36,100*(Design!$C$29+S52+R52*IF(ISBLANK(Design!$B$42),Constants!$C$6,Design!$B$42)/1000*(1+Constants!$C$36/100*(AC52-25)))/($B52+S52-R52*AD52/1000))</f>
        <v>49.582121905607622</v>
      </c>
      <c r="U52" s="117">
        <f ca="1">IF(($B52-R52*IF(ISBLANK(Design!$B$42),Constants!$C$6,Design!$B$42)/1000*(1+Constants!$C$36/100*(AC52-25))-Design!$C$29)/(IF(ISBLANK(Design!$B$41),Design!$B$39,Design!$B$41)/1000000)*T52/100/(IF(ISBLANK(Design!$B$33),Design!$B$32,Design!$B$33)*1000000)&lt;0,0,($B52-R52*IF(ISBLANK(Design!$B$42),Constants!$C$6,Design!$B$42)/1000*(1+Constants!$C$36/100*(AC52-25))-Design!$C$29)/(IF(ISBLANK(Design!$B$41),Design!$B$39,Design!$B$41)/1000000)*T52/100/(IF(ISBLANK(Design!$B$33),Design!$B$32,Design!$B$33)*1000000))</f>
        <v>0.68131935369273333</v>
      </c>
      <c r="V52" s="183">
        <f>$B52*Constants!$C$21/1000+IF(ISBLANK(Design!$B$33),Design!$B$32,Design!$B$33)*1000000*Constants!$D$25/1000000000*($B52-Constants!$C$24)</f>
        <v>4.5365624999999979E-2</v>
      </c>
      <c r="W52" s="183">
        <f>$B52*R52*($B52/(Constants!$C$26*1000000000)*IF(ISBLANK(Design!$B$33),Design!$B$32,Design!$B$33)*1000000/2+$B52/(Constants!$C$27*1000000000)*IF(ISBLANK(Design!$B$33),Design!$B$32,Design!$B$33)*1000000/2)</f>
        <v>8.4543567708333253E-2</v>
      </c>
      <c r="X52" s="183">
        <f t="shared" ca="1" si="14"/>
        <v>0.25667525658744295</v>
      </c>
      <c r="Y52" s="183">
        <f>Constants!$D$25/1000000000*Constants!$C$24*IF(ISBLANK(Design!$B$33),Design!$B$32,Design!$B$33)*1000000</f>
        <v>1.0624999999999999E-2</v>
      </c>
      <c r="Z52" s="183">
        <f t="shared" ca="1" si="23"/>
        <v>0.39720944929577617</v>
      </c>
      <c r="AA52" s="183">
        <f t="shared" ca="1" si="19"/>
        <v>0.29996620770764698</v>
      </c>
      <c r="AB52" s="184">
        <f ca="1">$A52+AA52*Design!$B$19</f>
        <v>102.09807383933588</v>
      </c>
      <c r="AC52" s="184">
        <f ca="1">Z52*Design!$C$12+$A52</f>
        <v>98.505121276056386</v>
      </c>
      <c r="AD52" s="184">
        <f ca="1">Constants!$D$22+Constants!$D$22*Constants!$C$23/100*(AC52-25)</f>
        <v>183.80409702084512</v>
      </c>
      <c r="AE52" s="183">
        <f ca="1">(1-Constants!$D$20/1000000000*Design!$B$33*1000000) * ($B52+S52-R52*AD52/1000) - (S52+R52*(1+($A52-25)*Constants!$C$36/100)*IF(ISBLANK(Design!$B$42),Constants!$C$6/1000,Design!$B$42/1000))</f>
        <v>9.9298692915529543</v>
      </c>
      <c r="AF52" s="117">
        <f ca="1">IF(AE52&gt;Design!$C$29,Design!$C$29,AE52)</f>
        <v>4.9990521327014221</v>
      </c>
      <c r="AG52" s="118">
        <f>Design!$D$7/3</f>
        <v>0.83333333333333337</v>
      </c>
      <c r="AH52" s="118">
        <f ca="1">FORECAST(AG52, OFFSET(Design!$C$15:$C$17,MATCH(AG52,Design!$B$15:$B$17,1)-1,0,2), OFFSET(Design!$B$15:$B$17,MATCH(AG52,Design!$B$15:$B$17,1)-1,0,2))+(AQ52-25)*Design!$B$18/1000</f>
        <v>0.30183608739461909</v>
      </c>
      <c r="AI52" s="194">
        <f ca="1">IF(100*(Design!$C$29+AH52+AG52*IF(ISBLANK(Design!$B$42),Constants!$C$6,Design!$B$42)/1000*(1+Constants!$C$36/100*(AR52-25)))/($B52+AH52-AG52*AS52/1000)&gt;Design!$C$36,Design!$C$36,100*(Design!$C$29+AH52+AG52*IF(ISBLANK(Design!$B$42),Constants!$C$6,Design!$B$42)/1000*(1+Constants!$C$36/100*(AR52-25)))/($B52+AH52-AG52*AS52/1000))</f>
        <v>48.224447327545406</v>
      </c>
      <c r="AJ52" s="119">
        <f ca="1">IF(($B52-AG52*IF(ISBLANK(Design!$B$42),Constants!$C$6,Design!$B$42)/1000*(1+Constants!$C$36/100*(AR52-25))-Design!$C$29)/(IF(ISBLANK(Design!$B$41),Design!$B$39,Design!$B$41)/1000000)*AI52/100/(IF(ISBLANK(Design!$B$33),Design!$B$32,Design!$B$33)*1000000)&lt;0,0,($B52-AG52*IF(ISBLANK(Design!$B$42),Constants!$C$6,Design!$B$42)/1000*(1+Constants!$C$36/100*(AR52-25))-Design!$C$29)/(IF(ISBLANK(Design!$B$41),Design!$B$39,Design!$B$41)/1000000)*AI52/100/(IF(ISBLANK(Design!$B$33),Design!$B$32,Design!$B$33)*1000000))</f>
        <v>0.66765761806098045</v>
      </c>
      <c r="AK52" s="195">
        <f>$B52*Constants!$C$21/1000+IF(ISBLANK(Design!$B$33),Design!$B$32,Design!$B$33)*1000000*Constants!$D$25/1000000000*($B52-Constants!$C$24)</f>
        <v>4.5365624999999979E-2</v>
      </c>
      <c r="AL52" s="195">
        <f>$B52*AG52*($B52/(Constants!$C$26*1000000000)*IF(ISBLANK(Design!$B$33),Design!$B$32,Design!$B$33)*1000000/2+$B52/(Constants!$C$27*1000000000)*IF(ISBLANK(Design!$B$33),Design!$B$32,Design!$B$33)*1000000/2)</f>
        <v>4.2271783854166627E-2</v>
      </c>
      <c r="AM52" s="195">
        <f t="shared" ca="1" si="15"/>
        <v>6.2578930407498609E-2</v>
      </c>
      <c r="AN52" s="195">
        <f>Constants!$D$25/1000000000*Constants!$C$24*IF(ISBLANK(Design!$B$33),Design!$B$32,Design!$B$33)*1000000</f>
        <v>1.0624999999999999E-2</v>
      </c>
      <c r="AO52" s="195">
        <f t="shared" ca="1" si="24"/>
        <v>0.16084133926166522</v>
      </c>
      <c r="AP52" s="195">
        <f t="shared" ca="1" si="21"/>
        <v>0.13023108534456426</v>
      </c>
      <c r="AQ52" s="196">
        <f ca="1">$A52+AP52*Design!$B$19</f>
        <v>92.423171864640167</v>
      </c>
      <c r="AR52" s="196">
        <f ca="1">AO52*Design!$C$12+$A52</f>
        <v>90.468605534896625</v>
      </c>
      <c r="AS52" s="196">
        <f ca="1">Constants!$D$22+Constants!$D$22*Constants!$C$23/100*(AR52-25)</f>
        <v>177.37488442791729</v>
      </c>
      <c r="AT52" s="195">
        <f ca="1">(1-Constants!$D$20/1000000000*Design!$B$33*1000000) * ($B52+AH52-AG52*AS52/1000) - (AH52+AG52*(1+($A52-25)*Constants!$C$36/100)*IF(ISBLANK(Design!$B$42),Constants!$C$6/1000,Design!$B$42/1000))</f>
        <v>10.123878204452048</v>
      </c>
      <c r="AU52" s="119">
        <f ca="1">IF(AT52&gt;Design!$C$29,Design!$C$29,AT52)</f>
        <v>4.9990521327014221</v>
      </c>
    </row>
    <row r="53" spans="1:47" ht="12.75" customHeight="1">
      <c r="A53" s="112">
        <f>Design!$D$13</f>
        <v>85</v>
      </c>
      <c r="B53" s="113">
        <f t="shared" si="12"/>
        <v>10.709999999999996</v>
      </c>
      <c r="C53" s="114">
        <f>Design!$D$7</f>
        <v>2.5</v>
      </c>
      <c r="D53" s="114">
        <f ca="1">FORECAST(C53, OFFSET(Design!$C$15:$C$17,MATCH(C53,Design!$B$15:$B$17,1)-1,0,2), OFFSET(Design!$B$15:$B$17,MATCH(C53,Design!$B$15:$B$17,1)-1,0,2))+(M53-25)*Design!$B$18/1000</f>
        <v>0.3861078245532778</v>
      </c>
      <c r="E53" s="173">
        <f ca="1">IF(100*(Design!$C$29+D53+C53*IF(ISBLANK(Design!$B$42),Constants!$C$6,Design!$B$42)/1000*(1+Constants!$C$36/100*(N53-25)))/($B53+D53-C53*O53/1000)&gt;Design!$C$36,Design!$C$36,100*(Design!$C$29+D53+C53*IF(ISBLANK(Design!$B$42),Constants!$C$6,Design!$B$42)/1000*(1+Constants!$C$36/100*(N53-25)))/($B53+D53-C53*O53/1000))</f>
        <v>52.031987706229032</v>
      </c>
      <c r="F53" s="115">
        <f ca="1">IF(($B53-C53*IF(ISBLANK(Design!$B$42),Constants!$C$6,Design!$B$42)/1000*(1+Constants!$C$36/100*(N53-25))-Design!$C$29)/(IF(ISBLANK(Design!$B$41),Design!$B$39,Design!$B$41)/1000000)*E53/100/(IF(ISBLANK(Design!$B$33),Design!$B$32,Design!$B$33)*1000000)&lt;0,0,($B53-C53*IF(ISBLANK(Design!$B$42),Constants!$C$6,Design!$B$42)/1000*(1+Constants!$C$36/100*(N53-25))-Design!$C$29)/(IF(ISBLANK(Design!$B$41),Design!$B$39,Design!$B$41)/1000000)*E53/100/(IF(ISBLANK(Design!$B$33),Design!$B$32,Design!$B$33)*1000000))</f>
        <v>0.68271747477446132</v>
      </c>
      <c r="G53" s="165">
        <f>B53*Constants!$C$21/1000+IF(ISBLANK(Design!$B$33),Design!$B$32,Design!$B$33)*1000000*Constants!$D$25/1000000000*(B53-Constants!$C$24)</f>
        <v>4.4263749999999977E-2</v>
      </c>
      <c r="H53" s="165">
        <f>B53*C53*(B53/(Constants!$C$26*1000000000)*IF(ISBLANK(Design!$B$33),Design!$B$32,Design!$B$33)*1000000/2+B53/(Constants!$C$27*1000000000)*IF(ISBLANK(Design!$B$33),Design!$B$32,Design!$B$33)*1000000/2)</f>
        <v>0.12187310624999988</v>
      </c>
      <c r="I53" s="165">
        <f t="shared" ca="1" si="13"/>
        <v>0.63866891630724709</v>
      </c>
      <c r="J53" s="165">
        <f>Constants!$D$25/1000000000*Constants!$C$24*IF(ISBLANK(Design!$B$33),Design!$B$32,Design!$B$33)*1000000</f>
        <v>1.0624999999999999E-2</v>
      </c>
      <c r="K53" s="165">
        <f t="shared" ca="1" si="22"/>
        <v>0.81543077255724694</v>
      </c>
      <c r="L53" s="165">
        <f t="shared" ca="1" si="17"/>
        <v>0.46302062187231985</v>
      </c>
      <c r="M53" s="166">
        <f ca="1">$A53+L53*Design!$B$19</f>
        <v>111.39217544672223</v>
      </c>
      <c r="N53" s="166">
        <f ca="1">K53*Design!$C$12+A53</f>
        <v>112.72464626694639</v>
      </c>
      <c r="O53" s="166">
        <f ca="1">Constants!$D$22+Constants!$D$22*Constants!$C$23/100*(N53-25)</f>
        <v>195.17971701355714</v>
      </c>
      <c r="P53" s="165">
        <f ca="1">(1-Constants!$D$20/1000000000*Design!$B$33*1000000) * ($B53+D53-C53*O53/1000) - (D53+C53*(1+($A53-25)*Constants!$C$36/100)*IF(ISBLANK(Design!$B$42),Constants!$C$6/1000,Design!$B$42/1000))</f>
        <v>9.5123699485720312</v>
      </c>
      <c r="Q53" s="115">
        <f ca="1">IF(P53&gt;Design!$C$29,Design!$C$29,P53)</f>
        <v>4.9990521327014221</v>
      </c>
      <c r="R53" s="116">
        <f>2*Design!$D$7/3</f>
        <v>1.6666666666666667</v>
      </c>
      <c r="S53" s="116">
        <f ca="1">FORECAST(R53, OFFSET(Design!$C$15:$C$17,MATCH(R53,Design!$B$15:$B$17,1)-1,0,2), OFFSET(Design!$B$15:$B$17,MATCH(R53,Design!$B$15:$B$17,1)-1,0,2))+(AB53-25)*Design!$B$18/1000</f>
        <v>0.35729743303160932</v>
      </c>
      <c r="T53" s="182">
        <f ca="1">IF(100*(Design!$C$29+S53+R53*IF(ISBLANK(Design!$B$42),Constants!$C$6,Design!$B$42)/1000*(1+Constants!$C$36/100*(AC53-25)))/($B53+S53-R53*AD53/1000)&gt;Design!$C$36,Design!$C$36,100*(Design!$C$29+S53+R53*IF(ISBLANK(Design!$B$42),Constants!$C$6,Design!$B$42)/1000*(1+Constants!$C$36/100*(AC53-25)))/($B53+S53-R53*AD53/1000))</f>
        <v>50.57444997540577</v>
      </c>
      <c r="U53" s="117">
        <f ca="1">IF(($B53-R53*IF(ISBLANK(Design!$B$42),Constants!$C$6,Design!$B$42)/1000*(1+Constants!$C$36/100*(AC53-25))-Design!$C$29)/(IF(ISBLANK(Design!$B$41),Design!$B$39,Design!$B$41)/1000000)*T53/100/(IF(ISBLANK(Design!$B$33),Design!$B$32,Design!$B$33)*1000000)&lt;0,0,($B53-R53*IF(ISBLANK(Design!$B$42),Constants!$C$6,Design!$B$42)/1000*(1+Constants!$C$36/100*(AC53-25))-Design!$C$29)/(IF(ISBLANK(Design!$B$41),Design!$B$39,Design!$B$41)/1000000)*T53/100/(IF(ISBLANK(Design!$B$33),Design!$B$32,Design!$B$33)*1000000))</f>
        <v>0.66936976189688202</v>
      </c>
      <c r="V53" s="183">
        <f>$B53*Constants!$C$21/1000+IF(ISBLANK(Design!$B$33),Design!$B$32,Design!$B$33)*1000000*Constants!$D$25/1000000000*($B53-Constants!$C$24)</f>
        <v>4.4263749999999977E-2</v>
      </c>
      <c r="W53" s="183">
        <f>$B53*R53*($B53/(Constants!$C$26*1000000000)*IF(ISBLANK(Design!$B$33),Design!$B$32,Design!$B$33)*1000000/2+$B53/(Constants!$C$27*1000000000)*IF(ISBLANK(Design!$B$33),Design!$B$32,Design!$B$33)*1000000/2)</f>
        <v>8.1248737499999932E-2</v>
      </c>
      <c r="X53" s="183">
        <f t="shared" ca="1" si="14"/>
        <v>0.26171206972395217</v>
      </c>
      <c r="Y53" s="183">
        <f>Constants!$D$25/1000000000*Constants!$C$24*IF(ISBLANK(Design!$B$33),Design!$B$32,Design!$B$33)*1000000</f>
        <v>1.0624999999999999E-2</v>
      </c>
      <c r="Z53" s="183">
        <f t="shared" ca="1" si="23"/>
        <v>0.3978495572239521</v>
      </c>
      <c r="AA53" s="183">
        <f t="shared" ca="1" si="19"/>
        <v>0.2943270358327153</v>
      </c>
      <c r="AB53" s="184">
        <f ca="1">$A53+AA53*Design!$B$19</f>
        <v>101.77664104246477</v>
      </c>
      <c r="AC53" s="184">
        <f ca="1">Z53*Design!$C$12+$A53</f>
        <v>98.52688494561437</v>
      </c>
      <c r="AD53" s="184">
        <f ca="1">Constants!$D$22+Constants!$D$22*Constants!$C$23/100*(AC53-25)</f>
        <v>183.8215079564915</v>
      </c>
      <c r="AE53" s="183">
        <f ca="1">(1-Constants!$D$20/1000000000*Design!$B$33*1000000) * ($B53+S53-R53*AD53/1000) - (S53+R53*(1+($A53-25)*Constants!$C$36/100)*IF(ISBLANK(Design!$B$42),Constants!$C$6/1000,Design!$B$42/1000))</f>
        <v>9.7267028674218405</v>
      </c>
      <c r="AF53" s="117">
        <f ca="1">IF(AE53&gt;Design!$C$29,Design!$C$29,AE53)</f>
        <v>4.9990521327014221</v>
      </c>
      <c r="AG53" s="118">
        <f>Design!$D$7/3</f>
        <v>0.83333333333333337</v>
      </c>
      <c r="AH53" s="118">
        <f ca="1">FORECAST(AG53, OFFSET(Design!$C$15:$C$17,MATCH(AG53,Design!$B$15:$B$17,1)-1,0,2), OFFSET(Design!$B$15:$B$17,MATCH(AG53,Design!$B$15:$B$17,1)-1,0,2))+(AQ53-25)*Design!$B$18/1000</f>
        <v>0.30196974630634271</v>
      </c>
      <c r="AI53" s="194">
        <f ca="1">IF(100*(Design!$C$29+AH53+AG53*IF(ISBLANK(Design!$B$42),Constants!$C$6,Design!$B$42)/1000*(1+Constants!$C$36/100*(AR53-25)))/($B53+AH53-AG53*AS53/1000)&gt;Design!$C$36,Design!$C$36,100*(Design!$C$29+AH53+AG53*IF(ISBLANK(Design!$B$42),Constants!$C$6,Design!$B$42)/1000*(1+Constants!$C$36/100*(AR53-25)))/($B53+AH53-AG53*AS53/1000))</f>
        <v>49.179203392106892</v>
      </c>
      <c r="AJ53" s="119">
        <f ca="1">IF(($B53-AG53*IF(ISBLANK(Design!$B$42),Constants!$C$6,Design!$B$42)/1000*(1+Constants!$C$36/100*(AR53-25))-Design!$C$29)/(IF(ISBLANK(Design!$B$41),Design!$B$39,Design!$B$41)/1000000)*AI53/100/(IF(ISBLANK(Design!$B$33),Design!$B$32,Design!$B$33)*1000000)&lt;0,0,($B53-AG53*IF(ISBLANK(Design!$B$42),Constants!$C$6,Design!$B$42)/1000*(1+Constants!$C$36/100*(AR53-25))-Design!$C$29)/(IF(ISBLANK(Design!$B$41),Design!$B$39,Design!$B$41)/1000000)*AI53/100/(IF(ISBLANK(Design!$B$33),Design!$B$32,Design!$B$33)*1000000))</f>
        <v>0.65599797403167004</v>
      </c>
      <c r="AK53" s="195">
        <f>$B53*Constants!$C$21/1000+IF(ISBLANK(Design!$B$33),Design!$B$32,Design!$B$33)*1000000*Constants!$D$25/1000000000*($B53-Constants!$C$24)</f>
        <v>4.4263749999999977E-2</v>
      </c>
      <c r="AL53" s="195">
        <f>$B53*AG53*($B53/(Constants!$C$26*1000000000)*IF(ISBLANK(Design!$B$33),Design!$B$32,Design!$B$33)*1000000/2+$B53/(Constants!$C$27*1000000000)*IF(ISBLANK(Design!$B$33),Design!$B$32,Design!$B$33)*1000000/2)</f>
        <v>4.0624368749999966E-2</v>
      </c>
      <c r="AM53" s="195">
        <f t="shared" ca="1" si="15"/>
        <v>6.3689682370429393E-2</v>
      </c>
      <c r="AN53" s="195">
        <f>Constants!$D$25/1000000000*Constants!$C$24*IF(ISBLANK(Design!$B$33),Design!$B$32,Design!$B$33)*1000000</f>
        <v>1.0624999999999999E-2</v>
      </c>
      <c r="AO53" s="195">
        <f t="shared" ca="1" si="24"/>
        <v>0.15920280112042934</v>
      </c>
      <c r="AP53" s="195">
        <f t="shared" ca="1" si="21"/>
        <v>0.12788619215643104</v>
      </c>
      <c r="AQ53" s="196">
        <f ca="1">$A53+AP53*Design!$B$19</f>
        <v>92.289512952916567</v>
      </c>
      <c r="AR53" s="196">
        <f ca="1">AO53*Design!$C$12+$A53</f>
        <v>90.412895238094592</v>
      </c>
      <c r="AS53" s="196">
        <f ca="1">Constants!$D$22+Constants!$D$22*Constants!$C$23/100*(AR53-25)</f>
        <v>177.33031619047568</v>
      </c>
      <c r="AT53" s="195">
        <f ca="1">(1-Constants!$D$20/1000000000*Design!$B$33*1000000) * ($B53+AH53-AG53*AS53/1000) - (AH53+AG53*(1+($A53-25)*Constants!$C$36/100)*IF(ISBLANK(Design!$B$42),Constants!$C$6/1000,Design!$B$42/1000))</f>
        <v>9.9207846579991088</v>
      </c>
      <c r="AU53" s="119">
        <f ca="1">IF(AT53&gt;Design!$C$29,Design!$C$29,AT53)</f>
        <v>4.9990521327014221</v>
      </c>
    </row>
    <row r="54" spans="1:47" ht="12.75" customHeight="1">
      <c r="A54" s="112">
        <f>Design!$D$13</f>
        <v>85</v>
      </c>
      <c r="B54" s="113">
        <f t="shared" si="12"/>
        <v>10.494999999999996</v>
      </c>
      <c r="C54" s="114">
        <f>Design!$D$7</f>
        <v>2.5</v>
      </c>
      <c r="D54" s="114">
        <f ca="1">FORECAST(C54, OFFSET(Design!$C$15:$C$17,MATCH(C54,Design!$B$15:$B$17,1)-1,0,2), OFFSET(Design!$B$15:$B$17,MATCH(C54,Design!$B$15:$B$17,1)-1,0,2))+(M54-25)*Design!$B$18/1000</f>
        <v>0.38666619985021478</v>
      </c>
      <c r="E54" s="173">
        <f ca="1">IF(100*(Design!$C$29+D54+C54*IF(ISBLANK(Design!$B$42),Constants!$C$6,Design!$B$42)/1000*(1+Constants!$C$36/100*(N54-25)))/($B54+D54-C54*O54/1000)&gt;Design!$C$36,Design!$C$36,100*(Design!$C$29+D54+C54*IF(ISBLANK(Design!$B$42),Constants!$C$6,Design!$B$42)/1000*(1+Constants!$C$36/100*(N54-25)))/($B54+D54-C54*O54/1000))</f>
        <v>53.114643668684899</v>
      </c>
      <c r="F54" s="115">
        <f ca="1">IF(($B54-C54*IF(ISBLANK(Design!$B$42),Constants!$C$6,Design!$B$42)/1000*(1+Constants!$C$36/100*(N54-25))-Design!$C$29)/(IF(ISBLANK(Design!$B$41),Design!$B$39,Design!$B$41)/1000000)*E54/100/(IF(ISBLANK(Design!$B$33),Design!$B$32,Design!$B$33)*1000000)&lt;0,0,($B54-C54*IF(ISBLANK(Design!$B$42),Constants!$C$6,Design!$B$42)/1000*(1+Constants!$C$36/100*(N54-25))-Design!$C$29)/(IF(ISBLANK(Design!$B$41),Design!$B$39,Design!$B$41)/1000000)*E54/100/(IF(ISBLANK(Design!$B$33),Design!$B$32,Design!$B$33)*1000000))</f>
        <v>0.67004014702133208</v>
      </c>
      <c r="G54" s="165">
        <f>B54*Constants!$C$21/1000+IF(ISBLANK(Design!$B$33),Design!$B$32,Design!$B$33)*1000000*Constants!$D$25/1000000000*(B54-Constants!$C$24)</f>
        <v>4.3161874999999975E-2</v>
      </c>
      <c r="H54" s="165">
        <f>B54*C54*(B54/(Constants!$C$26*1000000000)*IF(ISBLANK(Design!$B$33),Design!$B$32,Design!$B$33)*1000000/2+B54/(Constants!$C$27*1000000000)*IF(ISBLANK(Design!$B$33),Design!$B$32,Design!$B$33)*1000000/2)</f>
        <v>0.11702908906249991</v>
      </c>
      <c r="I54" s="165">
        <f t="shared" ca="1" si="13"/>
        <v>0.6525287343875007</v>
      </c>
      <c r="J54" s="165">
        <f>Constants!$D$25/1000000000*Constants!$C$24*IF(ISBLANK(Design!$B$33),Design!$B$32,Design!$B$33)*1000000</f>
        <v>1.0624999999999999E-2</v>
      </c>
      <c r="K54" s="165">
        <f t="shared" ca="1" si="22"/>
        <v>0.82334469845000058</v>
      </c>
      <c r="L54" s="165">
        <f t="shared" ca="1" si="17"/>
        <v>0.45322456403132039</v>
      </c>
      <c r="M54" s="166">
        <f ca="1">$A54+L54*Design!$B$19</f>
        <v>110.83380014978526</v>
      </c>
      <c r="N54" s="166">
        <f ca="1">K54*Design!$C$12+A54</f>
        <v>112.99371974730002</v>
      </c>
      <c r="O54" s="166">
        <f ca="1">Constants!$D$22+Constants!$D$22*Constants!$C$23/100*(N54-25)</f>
        <v>195.39497579784</v>
      </c>
      <c r="P54" s="165">
        <f ca="1">(1-Constants!$D$20/1000000000*Design!$B$33*1000000) * ($B54+D54-C54*O54/1000) - (D54+C54*(1+($A54-25)*Constants!$C$36/100)*IF(ISBLANK(Design!$B$42),Constants!$C$6/1000,Design!$B$42/1000))</f>
        <v>9.3087094339957481</v>
      </c>
      <c r="Q54" s="115">
        <f ca="1">IF(P54&gt;Design!$C$29,Design!$C$29,P54)</f>
        <v>4.9990521327014221</v>
      </c>
      <c r="R54" s="116">
        <f>2*Design!$D$7/3</f>
        <v>1.6666666666666667</v>
      </c>
      <c r="S54" s="116">
        <f ca="1">FORECAST(R54, OFFSET(Design!$C$15:$C$17,MATCH(R54,Design!$B$15:$B$17,1)-1,0,2), OFFSET(Design!$B$15:$B$17,MATCH(R54,Design!$B$15:$B$17,1)-1,0,2))+(AB54-25)*Design!$B$18/1000</f>
        <v>0.35763261732631518</v>
      </c>
      <c r="T54" s="182">
        <f ca="1">IF(100*(Design!$C$29+S54+R54*IF(ISBLANK(Design!$B$42),Constants!$C$6,Design!$B$42)/1000*(1+Constants!$C$36/100*(AC54-25)))/($B54+S54-R54*AD54/1000)&gt;Design!$C$36,Design!$C$36,100*(Design!$C$29+S54+R54*IF(ISBLANK(Design!$B$42),Constants!$C$6,Design!$B$42)/1000*(1+Constants!$C$36/100*(AC54-25)))/($B54+S54-R54*AD54/1000))</f>
        <v>51.607331831265554</v>
      </c>
      <c r="U54" s="117">
        <f ca="1">IF(($B54-R54*IF(ISBLANK(Design!$B$42),Constants!$C$6,Design!$B$42)/1000*(1+Constants!$C$36/100*(AC54-25))-Design!$C$29)/(IF(ISBLANK(Design!$B$41),Design!$B$39,Design!$B$41)/1000000)*T54/100/(IF(ISBLANK(Design!$B$33),Design!$B$32,Design!$B$33)*1000000)&lt;0,0,($B54-R54*IF(ISBLANK(Design!$B$42),Constants!$C$6,Design!$B$42)/1000*(1+Constants!$C$36/100*(AC54-25))-Design!$C$29)/(IF(ISBLANK(Design!$B$41),Design!$B$39,Design!$B$41)/1000000)*T54/100/(IF(ISBLANK(Design!$B$33),Design!$B$32,Design!$B$33)*1000000))</f>
        <v>0.65693206552471906</v>
      </c>
      <c r="V54" s="183">
        <f>$B54*Constants!$C$21/1000+IF(ISBLANK(Design!$B$33),Design!$B$32,Design!$B$33)*1000000*Constants!$D$25/1000000000*($B54-Constants!$C$24)</f>
        <v>4.3161874999999975E-2</v>
      </c>
      <c r="W54" s="183">
        <f>$B54*R54*($B54/(Constants!$C$26*1000000000)*IF(ISBLANK(Design!$B$33),Design!$B$32,Design!$B$33)*1000000/2+$B54/(Constants!$C$27*1000000000)*IF(ISBLANK(Design!$B$33),Design!$B$32,Design!$B$33)*1000000/2)</f>
        <v>7.8019392708333274E-2</v>
      </c>
      <c r="X54" s="183">
        <f t="shared" ca="1" si="14"/>
        <v>0.26696292824714846</v>
      </c>
      <c r="Y54" s="183">
        <f>Constants!$D$25/1000000000*Constants!$C$24*IF(ISBLANK(Design!$B$33),Design!$B$32,Design!$B$33)*1000000</f>
        <v>1.0624999999999999E-2</v>
      </c>
      <c r="Z54" s="183">
        <f t="shared" ca="1" si="23"/>
        <v>0.39876919595548171</v>
      </c>
      <c r="AA54" s="183">
        <f t="shared" ca="1" si="19"/>
        <v>0.288446609609806</v>
      </c>
      <c r="AB54" s="184">
        <f ca="1">$A54+AA54*Design!$B$19</f>
        <v>101.44145674775893</v>
      </c>
      <c r="AC54" s="184">
        <f ca="1">Z54*Design!$C$12+$A54</f>
        <v>98.558152662486378</v>
      </c>
      <c r="AD54" s="184">
        <f ca="1">Constants!$D$22+Constants!$D$22*Constants!$C$23/100*(AC54-25)</f>
        <v>183.8465221299891</v>
      </c>
      <c r="AE54" s="183">
        <f ca="1">(1-Constants!$D$20/1000000000*Design!$B$33*1000000) * ($B54+S54-R54*AD54/1000) - (S54+R54*(1+($A54-25)*Constants!$C$36/100)*IF(ISBLANK(Design!$B$42),Constants!$C$6/1000,Design!$B$42/1000))</f>
        <v>9.5235237115888722</v>
      </c>
      <c r="AF54" s="117">
        <f ca="1">IF(AE54&gt;Design!$C$29,Design!$C$29,AE54)</f>
        <v>4.9990521327014221</v>
      </c>
      <c r="AG54" s="118">
        <f>Design!$D$7/3</f>
        <v>0.83333333333333337</v>
      </c>
      <c r="AH54" s="118">
        <f ca="1">FORECAST(AG54, OFFSET(Design!$C$15:$C$17,MATCH(AG54,Design!$B$15:$B$17,1)-1,0,2), OFFSET(Design!$B$15:$B$17,MATCH(AG54,Design!$B$15:$B$17,1)-1,0,2))+(AQ54-25)*Design!$B$18/1000</f>
        <v>0.30210892870571171</v>
      </c>
      <c r="AI54" s="194">
        <f ca="1">IF(100*(Design!$C$29+AH54+AG54*IF(ISBLANK(Design!$B$42),Constants!$C$6,Design!$B$42)/1000*(1+Constants!$C$36/100*(AR54-25)))/($B54+AH54-AG54*AS54/1000)&gt;Design!$C$36,Design!$C$36,100*(Design!$C$29+AH54+AG54*IF(ISBLANK(Design!$B$42),Constants!$C$6,Design!$B$42)/1000*(1+Constants!$C$36/100*(AR54-25)))/($B54+AH54-AG54*AS54/1000))</f>
        <v>50.172517092944183</v>
      </c>
      <c r="AJ54" s="119">
        <f ca="1">IF(($B54-AG54*IF(ISBLANK(Design!$B$42),Constants!$C$6,Design!$B$42)/1000*(1+Constants!$C$36/100*(AR54-25))-Design!$C$29)/(IF(ISBLANK(Design!$B$41),Design!$B$39,Design!$B$41)/1000000)*AI54/100/(IF(ISBLANK(Design!$B$33),Design!$B$32,Design!$B$33)*1000000)&lt;0,0,($B54-AG54*IF(ISBLANK(Design!$B$42),Constants!$C$6,Design!$B$42)/1000*(1+Constants!$C$36/100*(AR54-25))-Design!$C$29)/(IF(ISBLANK(Design!$B$41),Design!$B$39,Design!$B$41)/1000000)*AI54/100/(IF(ISBLANK(Design!$B$33),Design!$B$32,Design!$B$33)*1000000))</f>
        <v>0.64386714704317594</v>
      </c>
      <c r="AK54" s="195">
        <f>$B54*Constants!$C$21/1000+IF(ISBLANK(Design!$B$33),Design!$B$32,Design!$B$33)*1000000*Constants!$D$25/1000000000*($B54-Constants!$C$24)</f>
        <v>4.3161874999999975E-2</v>
      </c>
      <c r="AL54" s="195">
        <f>$B54*AG54*($B54/(Constants!$C$26*1000000000)*IF(ISBLANK(Design!$B$33),Design!$B$32,Design!$B$33)*1000000/2+$B54/(Constants!$C$27*1000000000)*IF(ISBLANK(Design!$B$33),Design!$B$32,Design!$B$33)*1000000/2)</f>
        <v>3.9009696354166637E-2</v>
      </c>
      <c r="AM54" s="195">
        <f t="shared" ca="1" si="15"/>
        <v>6.484361953643028E-2</v>
      </c>
      <c r="AN54" s="195">
        <f>Constants!$D$25/1000000000*Constants!$C$24*IF(ISBLANK(Design!$B$33),Design!$B$32,Design!$B$33)*1000000</f>
        <v>1.0624999999999999E-2</v>
      </c>
      <c r="AO54" s="195">
        <f t="shared" ca="1" si="24"/>
        <v>0.15764019089059689</v>
      </c>
      <c r="AP54" s="195">
        <f t="shared" ca="1" si="21"/>
        <v>0.1254443956762733</v>
      </c>
      <c r="AQ54" s="196">
        <f ca="1">$A54+AP54*Design!$B$19</f>
        <v>92.150330553547576</v>
      </c>
      <c r="AR54" s="196">
        <f ca="1">AO54*Design!$C$12+$A54</f>
        <v>90.359766490280293</v>
      </c>
      <c r="AS54" s="196">
        <f ca="1">Constants!$D$22+Constants!$D$22*Constants!$C$23/100*(AR54-25)</f>
        <v>177.28781319222423</v>
      </c>
      <c r="AT54" s="195">
        <f ca="1">(1-Constants!$D$20/1000000000*Design!$B$33*1000000) * ($B54+AH54-AG54*AS54/1000) - (AH54+AG54*(1+($A54-25)*Constants!$C$36/100)*IF(ISBLANK(Design!$B$42),Constants!$C$6/1000,Design!$B$42/1000))</f>
        <v>9.7176891804278789</v>
      </c>
      <c r="AU54" s="119">
        <f ca="1">IF(AT54&gt;Design!$C$29,Design!$C$29,AT54)</f>
        <v>4.9990521327014221</v>
      </c>
    </row>
    <row r="55" spans="1:47" ht="12.75" customHeight="1">
      <c r="A55" s="112">
        <f>Design!$D$13</f>
        <v>85</v>
      </c>
      <c r="B55" s="113">
        <f t="shared" si="12"/>
        <v>10.279999999999996</v>
      </c>
      <c r="C55" s="114">
        <f>Design!$D$7</f>
        <v>2.5</v>
      </c>
      <c r="D55" s="114">
        <f ca="1">FORECAST(C55, OFFSET(Design!$C$15:$C$17,MATCH(C55,Design!$B$15:$B$17,1)-1,0,2), OFFSET(Design!$B$15:$B$17,MATCH(C55,Design!$B$15:$B$17,1)-1,0,2))+(M55-25)*Design!$B$18/1000</f>
        <v>0.38725013701795397</v>
      </c>
      <c r="E55" s="173">
        <f ca="1">IF(100*(Design!$C$29+D55+C55*IF(ISBLANK(Design!$B$42),Constants!$C$6,Design!$B$42)/1000*(1+Constants!$C$36/100*(N55-25)))/($B55+D55-C55*O55/1000)&gt;Design!$C$36,Design!$C$36,100*(Design!$C$29+D55+C55*IF(ISBLANK(Design!$B$42),Constants!$C$6,Design!$B$42)/1000*(1+Constants!$C$36/100*(N55-25)))/($B55+D55-C55*O55/1000))</f>
        <v>54.24352272897351</v>
      </c>
      <c r="F55" s="115">
        <f ca="1">IF(($B55-C55*IF(ISBLANK(Design!$B$42),Constants!$C$6,Design!$B$42)/1000*(1+Constants!$C$36/100*(N55-25))-Design!$C$29)/(IF(ISBLANK(Design!$B$41),Design!$B$39,Design!$B$41)/1000000)*E55/100/(IF(ISBLANK(Design!$B$33),Design!$B$32,Design!$B$33)*1000000)&lt;0,0,($B55-C55*IF(ISBLANK(Design!$B$42),Constants!$C$6,Design!$B$42)/1000*(1+Constants!$C$36/100*(N55-25))-Design!$C$29)/(IF(ISBLANK(Design!$B$41),Design!$B$39,Design!$B$41)/1000000)*E55/100/(IF(ISBLANK(Design!$B$33),Design!$B$32,Design!$B$33)*1000000))</f>
        <v>0.65682530617267632</v>
      </c>
      <c r="G55" s="165">
        <f>B55*Constants!$C$21/1000+IF(ISBLANK(Design!$B$33),Design!$B$32,Design!$B$33)*1000000*Constants!$D$25/1000000000*(B55-Constants!$C$24)</f>
        <v>4.2059999999999979E-2</v>
      </c>
      <c r="H55" s="165">
        <f>B55*C55*(B55/(Constants!$C$26*1000000000)*IF(ISBLANK(Design!$B$33),Design!$B$32,Design!$B$33)*1000000/2+B55/(Constants!$C$27*1000000000)*IF(ISBLANK(Design!$B$33),Design!$B$32,Design!$B$33)*1000000/2)</f>
        <v>0.11228329999999989</v>
      </c>
      <c r="I55" s="165">
        <f t="shared" ca="1" si="13"/>
        <v>0.66704658008434892</v>
      </c>
      <c r="J55" s="165">
        <f>Constants!$D$25/1000000000*Constants!$C$24*IF(ISBLANK(Design!$B$33),Design!$B$32,Design!$B$33)*1000000</f>
        <v>1.0624999999999999E-2</v>
      </c>
      <c r="K55" s="165">
        <f t="shared" ca="1" si="22"/>
        <v>0.83201488008434876</v>
      </c>
      <c r="L55" s="165">
        <f t="shared" ca="1" si="17"/>
        <v>0.44298005231659759</v>
      </c>
      <c r="M55" s="166">
        <f ca="1">$A55+L55*Design!$B$19</f>
        <v>110.24986298204607</v>
      </c>
      <c r="N55" s="166">
        <f ca="1">K55*Design!$C$12+A55</f>
        <v>113.28850592286786</v>
      </c>
      <c r="O55" s="166">
        <f ca="1">Constants!$D$22+Constants!$D$22*Constants!$C$23/100*(N55-25)</f>
        <v>195.63080473829427</v>
      </c>
      <c r="P55" s="165">
        <f ca="1">(1-Constants!$D$20/1000000000*Design!$B$33*1000000) * ($B55+D55-C55*O55/1000) - (D55+C55*(1+($A55-25)*Constants!$C$36/100)*IF(ISBLANK(Design!$B$42),Constants!$C$6/1000,Design!$B$42/1000))</f>
        <v>9.1049989229884947</v>
      </c>
      <c r="Q55" s="115">
        <f ca="1">IF(P55&gt;Design!$C$29,Design!$C$29,P55)</f>
        <v>4.9990521327014221</v>
      </c>
      <c r="R55" s="116">
        <f>2*Design!$D$7/3</f>
        <v>1.6666666666666667</v>
      </c>
      <c r="S55" s="116">
        <f ca="1">FORECAST(R55, OFFSET(Design!$C$15:$C$17,MATCH(R55,Design!$B$15:$B$17,1)-1,0,2), OFFSET(Design!$B$15:$B$17,MATCH(R55,Design!$B$15:$B$17,1)-1,0,2))+(AB55-25)*Design!$B$18/1000</f>
        <v>0.35798245445898103</v>
      </c>
      <c r="T55" s="182">
        <f ca="1">IF(100*(Design!$C$29+S55+R55*IF(ISBLANK(Design!$B$42),Constants!$C$6,Design!$B$42)/1000*(1+Constants!$C$36/100*(AC55-25)))/($B55+S55-R55*AD55/1000)&gt;Design!$C$36,Design!$C$36,100*(Design!$C$29+S55+R55*IF(ISBLANK(Design!$B$42),Constants!$C$6,Design!$B$42)/1000*(1+Constants!$C$36/100*(AC55-25)))/($B55+S55-R55*AD55/1000))</f>
        <v>52.683304021547329</v>
      </c>
      <c r="U55" s="117">
        <f ca="1">IF(($B55-R55*IF(ISBLANK(Design!$B$42),Constants!$C$6,Design!$B$42)/1000*(1+Constants!$C$36/100*(AC55-25))-Design!$C$29)/(IF(ISBLANK(Design!$B$41),Design!$B$39,Design!$B$41)/1000000)*T55/100/(IF(ISBLANK(Design!$B$33),Design!$B$32,Design!$B$33)*1000000)&lt;0,0,($B55-R55*IF(ISBLANK(Design!$B$42),Constants!$C$6,Design!$B$42)/1000*(1+Constants!$C$36/100*(AC55-25))-Design!$C$29)/(IF(ISBLANK(Design!$B$41),Design!$B$39,Design!$B$41)/1000000)*T55/100/(IF(ISBLANK(Design!$B$33),Design!$B$32,Design!$B$33)*1000000))</f>
        <v>0.64397568794888294</v>
      </c>
      <c r="V55" s="183">
        <f>$B55*Constants!$C$21/1000+IF(ISBLANK(Design!$B$33),Design!$B$32,Design!$B$33)*1000000*Constants!$D$25/1000000000*($B55-Constants!$C$24)</f>
        <v>4.2059999999999979E-2</v>
      </c>
      <c r="W55" s="183">
        <f>$B55*R55*($B55/(Constants!$C$26*1000000000)*IF(ISBLANK(Design!$B$33),Design!$B$32,Design!$B$33)*1000000/2+$B55/(Constants!$C$27*1000000000)*IF(ISBLANK(Design!$B$33),Design!$B$32,Design!$B$33)*1000000/2)</f>
        <v>7.4855533333333266E-2</v>
      </c>
      <c r="X55" s="183">
        <f t="shared" ca="1" si="14"/>
        <v>0.27244173898062801</v>
      </c>
      <c r="Y55" s="183">
        <f>Constants!$D$25/1000000000*Constants!$C$24*IF(ISBLANK(Design!$B$33),Design!$B$32,Design!$B$33)*1000000</f>
        <v>1.0624999999999999E-2</v>
      </c>
      <c r="Z55" s="183">
        <f t="shared" ca="1" si="23"/>
        <v>0.39998227231396122</v>
      </c>
      <c r="AA55" s="183">
        <f t="shared" ca="1" si="19"/>
        <v>0.28230911605426479</v>
      </c>
      <c r="AB55" s="184">
        <f ca="1">$A55+AA55*Design!$B$19</f>
        <v>101.09161961509309</v>
      </c>
      <c r="AC55" s="184">
        <f ca="1">Z55*Design!$C$12+$A55</f>
        <v>98.599397258674685</v>
      </c>
      <c r="AD55" s="184">
        <f ca="1">Constants!$D$22+Constants!$D$22*Constants!$C$23/100*(AC55-25)</f>
        <v>183.87951780693976</v>
      </c>
      <c r="AE55" s="183">
        <f ca="1">(1-Constants!$D$20/1000000000*Design!$B$33*1000000) * ($B55+S55-R55*AD55/1000) - (S55+R55*(1+($A55-25)*Constants!$C$36/100)*IF(ISBLANK(Design!$B$42),Constants!$C$6/1000,Design!$B$42/1000))</f>
        <v>9.3203311786442935</v>
      </c>
      <c r="AF55" s="117">
        <f ca="1">IF(AE55&gt;Design!$C$29,Design!$C$29,AE55)</f>
        <v>4.9990521327014221</v>
      </c>
      <c r="AG55" s="118">
        <f>Design!$D$7/3</f>
        <v>0.83333333333333337</v>
      </c>
      <c r="AH55" s="118">
        <f ca="1">FORECAST(AG55, OFFSET(Design!$C$15:$C$17,MATCH(AG55,Design!$B$15:$B$17,1)-1,0,2), OFFSET(Design!$B$15:$B$17,MATCH(AG55,Design!$B$15:$B$17,1)-1,0,2))+(AQ55-25)*Design!$B$18/1000</f>
        <v>0.30225398400552994</v>
      </c>
      <c r="AI55" s="194">
        <f ca="1">IF(100*(Design!$C$29+AH55+AG55*IF(ISBLANK(Design!$B$42),Constants!$C$6,Design!$B$42)/1000*(1+Constants!$C$36/100*(AR55-25)))/($B55+AH55-AG55*AS55/1000)&gt;Design!$C$36,Design!$C$36,100*(Design!$C$29+AH55+AG55*IF(ISBLANK(Design!$B$42),Constants!$C$6,Design!$B$42)/1000*(1+Constants!$C$36/100*(AR55-25)))/($B55+AH55-AG55*AS55/1000))</f>
        <v>51.206770851634687</v>
      </c>
      <c r="AJ55" s="119">
        <f ca="1">IF(($B55-AG55*IF(ISBLANK(Design!$B$42),Constants!$C$6,Design!$B$42)/1000*(1+Constants!$C$36/100*(AR55-25))-Design!$C$29)/(IF(ISBLANK(Design!$B$41),Design!$B$39,Design!$B$41)/1000000)*AI55/100/(IF(ISBLANK(Design!$B$33),Design!$B$32,Design!$B$33)*1000000)&lt;0,0,($B55-AG55*IF(ISBLANK(Design!$B$42),Constants!$C$6,Design!$B$42)/1000*(1+Constants!$C$36/100*(AR55-25))-Design!$C$29)/(IF(ISBLANK(Design!$B$41),Design!$B$39,Design!$B$41)/1000000)*AI55/100/(IF(ISBLANK(Design!$B$33),Design!$B$32,Design!$B$33)*1000000))</f>
        <v>0.63123598688215798</v>
      </c>
      <c r="AK55" s="195">
        <f>$B55*Constants!$C$21/1000+IF(ISBLANK(Design!$B$33),Design!$B$32,Design!$B$33)*1000000*Constants!$D$25/1000000000*($B55-Constants!$C$24)</f>
        <v>4.2059999999999979E-2</v>
      </c>
      <c r="AL55" s="195">
        <f>$B55*AG55*($B55/(Constants!$C$26*1000000000)*IF(ISBLANK(Design!$B$33),Design!$B$32,Design!$B$33)*1000000/2+$B55/(Constants!$C$27*1000000000)*IF(ISBLANK(Design!$B$33),Design!$B$32,Design!$B$33)*1000000/2)</f>
        <v>3.7427766666666633E-2</v>
      </c>
      <c r="AM55" s="195">
        <f t="shared" ca="1" si="15"/>
        <v>6.6043415778981734E-2</v>
      </c>
      <c r="AN55" s="195">
        <f>Constants!$D$25/1000000000*Constants!$C$24*IF(ISBLANK(Design!$B$33),Design!$B$32,Design!$B$33)*1000000</f>
        <v>1.0624999999999999E-2</v>
      </c>
      <c r="AO55" s="195">
        <f t="shared" ca="1" si="24"/>
        <v>0.15615618244564833</v>
      </c>
      <c r="AP55" s="195">
        <f t="shared" ca="1" si="21"/>
        <v>0.1228995658549014</v>
      </c>
      <c r="AQ55" s="196">
        <f ca="1">$A55+AP55*Design!$B$19</f>
        <v>92.00527525372938</v>
      </c>
      <c r="AR55" s="196">
        <f ca="1">AO55*Design!$C$12+$A55</f>
        <v>90.309310203152037</v>
      </c>
      <c r="AS55" s="196">
        <f ca="1">Constants!$D$22+Constants!$D$22*Constants!$C$23/100*(AR55-25)</f>
        <v>177.24744816252164</v>
      </c>
      <c r="AT55" s="195">
        <f ca="1">(1-Constants!$D$20/1000000000*Design!$B$33*1000000) * ($B55+AH55-AG55*AS55/1000) - (AH55+AG55*(1+($A55-25)*Constants!$C$36/100)*IF(ISBLANK(Design!$B$42),Constants!$C$6/1000,Design!$B$42/1000))</f>
        <v>9.5145916951740706</v>
      </c>
      <c r="AU55" s="119">
        <f ca="1">IF(AT55&gt;Design!$C$29,Design!$C$29,AT55)</f>
        <v>4.9990521327014221</v>
      </c>
    </row>
    <row r="56" spans="1:47" ht="12.75" customHeight="1">
      <c r="A56" s="112">
        <f>Design!$D$13</f>
        <v>85</v>
      </c>
      <c r="B56" s="113">
        <f t="shared" si="12"/>
        <v>10.064999999999996</v>
      </c>
      <c r="C56" s="114">
        <f>Design!$D$7</f>
        <v>2.5</v>
      </c>
      <c r="D56" s="114">
        <f ca="1">FORECAST(C56, OFFSET(Design!$C$15:$C$17,MATCH(C56,Design!$B$15:$B$17,1)-1,0,2), OFFSET(Design!$B$15:$B$17,MATCH(C56,Design!$B$15:$B$17,1)-1,0,2))+(M56-25)*Design!$B$18/1000</f>
        <v>0.38786143713205001</v>
      </c>
      <c r="E56" s="173">
        <f ca="1">IF(100*(Design!$C$29+D56+C56*IF(ISBLANK(Design!$B$42),Constants!$C$6,Design!$B$42)/1000*(1+Constants!$C$36/100*(N56-25)))/($B56+D56-C56*O56/1000)&gt;Design!$C$36,Design!$C$36,100*(Design!$C$29+D56+C56*IF(ISBLANK(Design!$B$42),Constants!$C$6,Design!$B$42)/1000*(1+Constants!$C$36/100*(N56-25)))/($B56+D56-C56*O56/1000))</f>
        <v>55.421658610083504</v>
      </c>
      <c r="F56" s="115">
        <f ca="1">IF(($B56-C56*IF(ISBLANK(Design!$B$42),Constants!$C$6,Design!$B$42)/1000*(1+Constants!$C$36/100*(N56-25))-Design!$C$29)/(IF(ISBLANK(Design!$B$41),Design!$B$39,Design!$B$41)/1000000)*E56/100/(IF(ISBLANK(Design!$B$33),Design!$B$32,Design!$B$33)*1000000)&lt;0,0,($B56-C56*IF(ISBLANK(Design!$B$42),Constants!$C$6,Design!$B$42)/1000*(1+Constants!$C$36/100*(N56-25))-Design!$C$29)/(IF(ISBLANK(Design!$B$41),Design!$B$39,Design!$B$41)/1000000)*E56/100/(IF(ISBLANK(Design!$B$33),Design!$B$32,Design!$B$33)*1000000))</f>
        <v>0.643037799877334</v>
      </c>
      <c r="G56" s="165">
        <f>B56*Constants!$C$21/1000+IF(ISBLANK(Design!$B$33),Design!$B$32,Design!$B$33)*1000000*Constants!$D$25/1000000000*(B56-Constants!$C$24)</f>
        <v>4.0958124999999977E-2</v>
      </c>
      <c r="H56" s="165">
        <f>B56*C56*(B56/(Constants!$C$26*1000000000)*IF(ISBLANK(Design!$B$33),Design!$B$32,Design!$B$33)*1000000/2+B56/(Constants!$C$27*1000000000)*IF(ISBLANK(Design!$B$33),Design!$B$32,Design!$B$33)*1000000/2)</f>
        <v>0.10763573906249992</v>
      </c>
      <c r="I56" s="165">
        <f t="shared" ca="1" si="13"/>
        <v>0.68227002616889276</v>
      </c>
      <c r="J56" s="165">
        <f>Constants!$D$25/1000000000*Constants!$C$24*IF(ISBLANK(Design!$B$33),Design!$B$32,Design!$B$33)*1000000</f>
        <v>1.0624999999999999E-2</v>
      </c>
      <c r="K56" s="165">
        <f t="shared" ca="1" si="22"/>
        <v>0.84148889023139262</v>
      </c>
      <c r="L56" s="165">
        <f t="shared" ca="1" si="17"/>
        <v>0.43225548891140403</v>
      </c>
      <c r="M56" s="166">
        <f ca="1">$A56+L56*Design!$B$19</f>
        <v>109.63856286795003</v>
      </c>
      <c r="N56" s="166">
        <f ca="1">K56*Design!$C$12+A56</f>
        <v>113.61062226786734</v>
      </c>
      <c r="O56" s="166">
        <f ca="1">Constants!$D$22+Constants!$D$22*Constants!$C$23/100*(N56-25)</f>
        <v>195.88849781429388</v>
      </c>
      <c r="P56" s="165">
        <f ca="1">(1-Constants!$D$20/1000000000*Design!$B$33*1000000) * ($B56+D56-C56*O56/1000) - (D56+C56*(1+($A56-25)*Constants!$C$36/100)*IF(ISBLANK(Design!$B$42),Constants!$C$6/1000,Design!$B$42/1000))</f>
        <v>8.9012352598233164</v>
      </c>
      <c r="Q56" s="115">
        <f ca="1">IF(P56&gt;Design!$C$29,Design!$C$29,P56)</f>
        <v>4.9990521327014221</v>
      </c>
      <c r="R56" s="116">
        <f>2*Design!$D$7/3</f>
        <v>1.6666666666666667</v>
      </c>
      <c r="S56" s="116">
        <f ca="1">FORECAST(R56, OFFSET(Design!$C$15:$C$17,MATCH(R56,Design!$B$15:$B$17,1)-1,0,2), OFFSET(Design!$B$15:$B$17,MATCH(R56,Design!$B$15:$B$17,1)-1,0,2))+(AB56-25)*Design!$B$18/1000</f>
        <v>0.35834792627219803</v>
      </c>
      <c r="T56" s="182">
        <f ca="1">IF(100*(Design!$C$29+S56+R56*IF(ISBLANK(Design!$B$42),Constants!$C$6,Design!$B$42)/1000*(1+Constants!$C$36/100*(AC56-25)))/($B56+S56-R56*AD56/1000)&gt;Design!$C$36,Design!$C$36,100*(Design!$C$29+S56+R56*IF(ISBLANK(Design!$B$42),Constants!$C$6,Design!$B$42)/1000*(1+Constants!$C$36/100*(AC56-25)))/($B56+S56-R56*AD56/1000))</f>
        <v>53.805119053837238</v>
      </c>
      <c r="U56" s="117">
        <f ca="1">IF(($B56-R56*IF(ISBLANK(Design!$B$42),Constants!$C$6,Design!$B$42)/1000*(1+Constants!$C$36/100*(AC56-25))-Design!$C$29)/(IF(ISBLANK(Design!$B$41),Design!$B$39,Design!$B$41)/1000000)*T56/100/(IF(ISBLANK(Design!$B$33),Design!$B$32,Design!$B$33)*1000000)&lt;0,0,($B56-R56*IF(ISBLANK(Design!$B$42),Constants!$C$6,Design!$B$42)/1000*(1+Constants!$C$36/100*(AC56-25))-Design!$C$29)/(IF(ISBLANK(Design!$B$41),Design!$B$39,Design!$B$41)/1000000)*T56/100/(IF(ISBLANK(Design!$B$33),Design!$B$32,Design!$B$33)*1000000))</f>
        <v>0.63046744583587522</v>
      </c>
      <c r="V56" s="183">
        <f>$B56*Constants!$C$21/1000+IF(ISBLANK(Design!$B$33),Design!$B$32,Design!$B$33)*1000000*Constants!$D$25/1000000000*($B56-Constants!$C$24)</f>
        <v>4.0958124999999977E-2</v>
      </c>
      <c r="W56" s="183">
        <f>$B56*R56*($B56/(Constants!$C$26*1000000000)*IF(ISBLANK(Design!$B$33),Design!$B$32,Design!$B$33)*1000000/2+$B56/(Constants!$C$27*1000000000)*IF(ISBLANK(Design!$B$33),Design!$B$32,Design!$B$33)*1000000/2)</f>
        <v>7.1757159374999949E-2</v>
      </c>
      <c r="X56" s="183">
        <f t="shared" ca="1" si="14"/>
        <v>0.27816365395000098</v>
      </c>
      <c r="Y56" s="183">
        <f>Constants!$D$25/1000000000*Constants!$C$24*IF(ISBLANK(Design!$B$33),Design!$B$32,Design!$B$33)*1000000</f>
        <v>1.0624999999999999E-2</v>
      </c>
      <c r="Z56" s="183">
        <f t="shared" ca="1" si="23"/>
        <v>0.40150393832500086</v>
      </c>
      <c r="AA56" s="183">
        <f t="shared" ca="1" si="19"/>
        <v>0.275897329857475</v>
      </c>
      <c r="AB56" s="184">
        <f ca="1">$A56+AA56*Design!$B$19</f>
        <v>100.72614780187608</v>
      </c>
      <c r="AC56" s="184">
        <f ca="1">Z56*Design!$C$12+$A56</f>
        <v>98.651133903050024</v>
      </c>
      <c r="AD56" s="184">
        <f ca="1">Constants!$D$22+Constants!$D$22*Constants!$C$23/100*(AC56-25)</f>
        <v>183.92090712244001</v>
      </c>
      <c r="AE56" s="183">
        <f ca="1">(1-Constants!$D$20/1000000000*Design!$B$33*1000000) * ($B56+S56-R56*AD56/1000) - (S56+R56*(1+($A56-25)*Constants!$C$36/100)*IF(ISBLANK(Design!$B$42),Constants!$C$6/1000,Design!$B$42/1000))</f>
        <v>9.1171245654002497</v>
      </c>
      <c r="AF56" s="117">
        <f ca="1">IF(AE56&gt;Design!$C$29,Design!$C$29,AE56)</f>
        <v>4.9990521327014221</v>
      </c>
      <c r="AG56" s="118">
        <f>Design!$D$7/3</f>
        <v>0.83333333333333337</v>
      </c>
      <c r="AH56" s="118">
        <f ca="1">FORECAST(AG56, OFFSET(Design!$C$15:$C$17,MATCH(AG56,Design!$B$15:$B$17,1)-1,0,2), OFFSET(Design!$B$15:$B$17,MATCH(AG56,Design!$B$15:$B$17,1)-1,0,2))+(AQ56-25)*Design!$B$18/1000</f>
        <v>0.30240529170824576</v>
      </c>
      <c r="AI56" s="194">
        <f ca="1">IF(100*(Design!$C$29+AH56+AG56*IF(ISBLANK(Design!$B$42),Constants!$C$6,Design!$B$42)/1000*(1+Constants!$C$36/100*(AR56-25)))/($B56+AH56-AG56*AS56/1000)&gt;Design!$C$36,Design!$C$36,100*(Design!$C$29+AH56+AG56*IF(ISBLANK(Design!$B$42),Constants!$C$6,Design!$B$42)/1000*(1+Constants!$C$36/100*(AR56-25)))/($B56+AH56-AG56*AS56/1000))</f>
        <v>52.284547373344473</v>
      </c>
      <c r="AJ56" s="119">
        <f ca="1">IF(($B56-AG56*IF(ISBLANK(Design!$B$42),Constants!$C$6,Design!$B$42)/1000*(1+Constants!$C$36/100*(AR56-25))-Design!$C$29)/(IF(ISBLANK(Design!$B$41),Design!$B$39,Design!$B$41)/1000000)*AI56/100/(IF(ISBLANK(Design!$B$33),Design!$B$32,Design!$B$33)*1000000)&lt;0,0,($B56-AG56*IF(ISBLANK(Design!$B$42),Constants!$C$6,Design!$B$42)/1000*(1+Constants!$C$36/100*(AR56-25))-Design!$C$29)/(IF(ISBLANK(Design!$B$41),Design!$B$39,Design!$B$41)/1000000)*AI56/100/(IF(ISBLANK(Design!$B$33),Design!$B$32,Design!$B$33)*1000000))</f>
        <v>0.61807288975952601</v>
      </c>
      <c r="AK56" s="195">
        <f>$B56*Constants!$C$21/1000+IF(ISBLANK(Design!$B$33),Design!$B$32,Design!$B$33)*1000000*Constants!$D$25/1000000000*($B56-Constants!$C$24)</f>
        <v>4.0958124999999977E-2</v>
      </c>
      <c r="AL56" s="195">
        <f>$B56*AG56*($B56/(Constants!$C$26*1000000000)*IF(ISBLANK(Design!$B$33),Design!$B$32,Design!$B$33)*1000000/2+$B56/(Constants!$C$27*1000000000)*IF(ISBLANK(Design!$B$33),Design!$B$32,Design!$B$33)*1000000/2)</f>
        <v>3.5878579687499974E-2</v>
      </c>
      <c r="AM56" s="195">
        <f t="shared" ca="1" si="15"/>
        <v>6.7291982296557598E-2</v>
      </c>
      <c r="AN56" s="195">
        <f>Constants!$D$25/1000000000*Constants!$C$24*IF(ISBLANK(Design!$B$33),Design!$B$32,Design!$B$33)*1000000</f>
        <v>1.0624999999999999E-2</v>
      </c>
      <c r="AO56" s="195">
        <f t="shared" ca="1" si="24"/>
        <v>0.15475368698405756</v>
      </c>
      <c r="AP56" s="195">
        <f t="shared" ca="1" si="21"/>
        <v>0.1202450447546229</v>
      </c>
      <c r="AQ56" s="196">
        <f ca="1">$A56+AP56*Design!$B$19</f>
        <v>91.853967551013511</v>
      </c>
      <c r="AR56" s="196">
        <f ca="1">AO56*Design!$C$12+$A56</f>
        <v>90.261625357457959</v>
      </c>
      <c r="AS56" s="196">
        <f ca="1">Constants!$D$22+Constants!$D$22*Constants!$C$23/100*(AR56-25)</f>
        <v>177.20930028596638</v>
      </c>
      <c r="AT56" s="195">
        <f ca="1">(1-Constants!$D$20/1000000000*Design!$B$33*1000000) * ($B56+AH56-AG56*AS56/1000) - (AH56+AG56*(1+($A56-25)*Constants!$C$36/100)*IF(ISBLANK(Design!$B$42),Constants!$C$6/1000,Design!$B$42/1000))</f>
        <v>9.3114921189288093</v>
      </c>
      <c r="AU56" s="119">
        <f ca="1">IF(AT56&gt;Design!$C$29,Design!$C$29,AT56)</f>
        <v>4.9990521327014221</v>
      </c>
    </row>
    <row r="57" spans="1:47" ht="12.75" customHeight="1">
      <c r="A57" s="112">
        <f>Design!$D$13</f>
        <v>85</v>
      </c>
      <c r="B57" s="113">
        <f t="shared" si="12"/>
        <v>9.8499999999999961</v>
      </c>
      <c r="C57" s="114">
        <f>Design!$D$7</f>
        <v>2.5</v>
      </c>
      <c r="D57" s="114">
        <f ca="1">FORECAST(C57, OFFSET(Design!$C$15:$C$17,MATCH(C57,Design!$B$15:$B$17,1)-1,0,2), OFFSET(Design!$B$15:$B$17,MATCH(C57,Design!$B$15:$B$17,1)-1,0,2))+(M57-25)*Design!$B$18/1000</f>
        <v>0.38850207508816881</v>
      </c>
      <c r="E57" s="173">
        <f ca="1">IF(100*(Design!$C$29+D57+C57*IF(ISBLANK(Design!$B$42),Constants!$C$6,Design!$B$42)/1000*(1+Constants!$C$36/100*(N57-25)))/($B57+D57-C57*O57/1000)&gt;Design!$C$36,Design!$C$36,100*(Design!$C$29+D57+C57*IF(ISBLANK(Design!$B$42),Constants!$C$6,Design!$B$42)/1000*(1+Constants!$C$36/100*(N57-25)))/($B57+D57-C57*O57/1000))</f>
        <v>56.652357501276462</v>
      </c>
      <c r="F57" s="115">
        <f ca="1">IF(($B57-C57*IF(ISBLANK(Design!$B$42),Constants!$C$6,Design!$B$42)/1000*(1+Constants!$C$36/100*(N57-25))-Design!$C$29)/(IF(ISBLANK(Design!$B$41),Design!$B$39,Design!$B$41)/1000000)*E57/100/(IF(ISBLANK(Design!$B$33),Design!$B$32,Design!$B$33)*1000000)&lt;0,0,($B57-C57*IF(ISBLANK(Design!$B$42),Constants!$C$6,Design!$B$42)/1000*(1+Constants!$C$36/100*(N57-25))-Design!$C$29)/(IF(ISBLANK(Design!$B$41),Design!$B$39,Design!$B$41)/1000000)*E57/100/(IF(ISBLANK(Design!$B$33),Design!$B$32,Design!$B$33)*1000000))</f>
        <v>0.62863933408990758</v>
      </c>
      <c r="G57" s="165">
        <f>B57*Constants!$C$21/1000+IF(ISBLANK(Design!$B$33),Design!$B$32,Design!$B$33)*1000000*Constants!$D$25/1000000000*(B57-Constants!$C$24)</f>
        <v>3.9856249999999982E-2</v>
      </c>
      <c r="H57" s="165">
        <f>B57*C57*(B57/(Constants!$C$26*1000000000)*IF(ISBLANK(Design!$B$33),Design!$B$32,Design!$B$33)*1000000/2+B57/(Constants!$C$27*1000000000)*IF(ISBLANK(Design!$B$33),Design!$B$32,Design!$B$33)*1000000/2)</f>
        <v>0.10308640624999992</v>
      </c>
      <c r="I57" s="165">
        <f t="shared" ca="1" si="13"/>
        <v>0.69825137890748668</v>
      </c>
      <c r="J57" s="165">
        <f>Constants!$D$25/1000000000*Constants!$C$24*IF(ISBLANK(Design!$B$33),Design!$B$32,Design!$B$33)*1000000</f>
        <v>1.0624999999999999E-2</v>
      </c>
      <c r="K57" s="165">
        <f t="shared" ca="1" si="22"/>
        <v>0.85181903515748658</v>
      </c>
      <c r="L57" s="165">
        <f t="shared" ca="1" si="17"/>
        <v>0.42101622652335474</v>
      </c>
      <c r="M57" s="166">
        <f ca="1">$A57+L57*Design!$B$19</f>
        <v>108.99792491183122</v>
      </c>
      <c r="N57" s="166">
        <f ca="1">K57*Design!$C$12+A57</f>
        <v>113.96184719535455</v>
      </c>
      <c r="O57" s="166">
        <f ca="1">Constants!$D$22+Constants!$D$22*Constants!$C$23/100*(N57-25)</f>
        <v>196.16947775628364</v>
      </c>
      <c r="P57" s="165">
        <f ca="1">(1-Constants!$D$20/1000000000*Design!$B$33*1000000) * ($B57+D57-C57*O57/1000) - (D57+C57*(1+($A57-25)*Constants!$C$36/100)*IF(ISBLANK(Design!$B$42),Constants!$C$6/1000,Design!$B$42/1000))</f>
        <v>8.6974149750757537</v>
      </c>
      <c r="Q57" s="115">
        <f ca="1">IF(P57&gt;Design!$C$29,Design!$C$29,P57)</f>
        <v>4.9990521327014221</v>
      </c>
      <c r="R57" s="116">
        <f>2*Design!$D$7/3</f>
        <v>1.6666666666666667</v>
      </c>
      <c r="S57" s="116">
        <f ca="1">FORECAST(R57, OFFSET(Design!$C$15:$C$17,MATCH(R57,Design!$B$15:$B$17,1)-1,0,2), OFFSET(Design!$B$15:$B$17,MATCH(R57,Design!$B$15:$B$17,1)-1,0,2))+(AB57-25)*Design!$B$18/1000</f>
        <v>0.35873010430067048</v>
      </c>
      <c r="T57" s="182">
        <f ca="1">IF(100*(Design!$C$29+S57+R57*IF(ISBLANK(Design!$B$42),Constants!$C$6,Design!$B$42)/1000*(1+Constants!$C$36/100*(AC57-25)))/($B57+S57-R57*AD57/1000)&gt;Design!$C$36,Design!$C$36,100*(Design!$C$29+S57+R57*IF(ISBLANK(Design!$B$42),Constants!$C$6,Design!$B$42)/1000*(1+Constants!$C$36/100*(AC57-25)))/($B57+S57-R57*AD57/1000))</f>
        <v>54.975768868393892</v>
      </c>
      <c r="U57" s="117">
        <f ca="1">IF(($B57-R57*IF(ISBLANK(Design!$B$42),Constants!$C$6,Design!$B$42)/1000*(1+Constants!$C$36/100*(AC57-25))-Design!$C$29)/(IF(ISBLANK(Design!$B$41),Design!$B$39,Design!$B$41)/1000000)*T57/100/(IF(ISBLANK(Design!$B$33),Design!$B$32,Design!$B$33)*1000000)&lt;0,0,($B57-R57*IF(ISBLANK(Design!$B$42),Constants!$C$6,Design!$B$42)/1000*(1+Constants!$C$36/100*(AC57-25))-Design!$C$29)/(IF(ISBLANK(Design!$B$41),Design!$B$39,Design!$B$41)/1000000)*T57/100/(IF(ISBLANK(Design!$B$33),Design!$B$32,Design!$B$33)*1000000))</f>
        <v>0.61637126542373333</v>
      </c>
      <c r="V57" s="183">
        <f>$B57*Constants!$C$21/1000+IF(ISBLANK(Design!$B$33),Design!$B$32,Design!$B$33)*1000000*Constants!$D$25/1000000000*($B57-Constants!$C$24)</f>
        <v>3.9856249999999982E-2</v>
      </c>
      <c r="W57" s="183">
        <f>$B57*R57*($B57/(Constants!$C$26*1000000000)*IF(ISBLANK(Design!$B$33),Design!$B$32,Design!$B$33)*1000000/2+$B57/(Constants!$C$27*1000000000)*IF(ISBLANK(Design!$B$33),Design!$B$32,Design!$B$33)*1000000/2)</f>
        <v>6.8724270833333281E-2</v>
      </c>
      <c r="X57" s="183">
        <f t="shared" ca="1" si="14"/>
        <v>0.28414521450434344</v>
      </c>
      <c r="Y57" s="183">
        <f>Constants!$D$25/1000000000*Constants!$C$24*IF(ISBLANK(Design!$B$33),Design!$B$32,Design!$B$33)*1000000</f>
        <v>1.0624999999999999E-2</v>
      </c>
      <c r="Z57" s="183">
        <f t="shared" ca="1" si="23"/>
        <v>0.40335073533767668</v>
      </c>
      <c r="AA57" s="183">
        <f t="shared" ca="1" si="19"/>
        <v>0.26919245216497589</v>
      </c>
      <c r="AB57" s="184">
        <f ca="1">$A57+AA57*Design!$B$19</f>
        <v>100.34396977340363</v>
      </c>
      <c r="AC57" s="184">
        <f ca="1">Z57*Design!$C$12+$A57</f>
        <v>98.713925001481002</v>
      </c>
      <c r="AD57" s="184">
        <f ca="1">Constants!$D$22+Constants!$D$22*Constants!$C$23/100*(AC57-25)</f>
        <v>183.97114000118481</v>
      </c>
      <c r="AE57" s="183">
        <f ca="1">(1-Constants!$D$20/1000000000*Design!$B$33*1000000) * ($B57+S57-R57*AD57/1000) - (S57+R57*(1+($A57-25)*Constants!$C$36/100)*IF(ISBLANK(Design!$B$42),Constants!$C$6/1000,Design!$B$42/1000))</f>
        <v>8.9139031042105188</v>
      </c>
      <c r="AF57" s="117">
        <f ca="1">IF(AE57&gt;Design!$C$29,Design!$C$29,AE57)</f>
        <v>4.9990521327014221</v>
      </c>
      <c r="AG57" s="118">
        <f>Design!$D$7/3</f>
        <v>0.83333333333333337</v>
      </c>
      <c r="AH57" s="118">
        <f ca="1">FORECAST(AG57, OFFSET(Design!$C$15:$C$17,MATCH(AG57,Design!$B$15:$B$17,1)-1,0,2), OFFSET(Design!$B$15:$B$17,MATCH(AG57,Design!$B$15:$B$17,1)-1,0,2))+(AQ57-25)*Design!$B$18/1000</f>
        <v>0.30256326471429407</v>
      </c>
      <c r="AI57" s="194">
        <f ca="1">IF(100*(Design!$C$29+AH57+AG57*IF(ISBLANK(Design!$B$42),Constants!$C$6,Design!$B$42)/1000*(1+Constants!$C$36/100*(AR57-25)))/($B57+AH57-AG57*AS57/1000)&gt;Design!$C$36,Design!$C$36,100*(Design!$C$29+AH57+AG57*IF(ISBLANK(Design!$B$42),Constants!$C$6,Design!$B$42)/1000*(1+Constants!$C$36/100*(AR57-25)))/($B57+AH57-AG57*AS57/1000))</f>
        <v>53.4086511318853</v>
      </c>
      <c r="AJ57" s="119">
        <f ca="1">IF(($B57-AG57*IF(ISBLANK(Design!$B$42),Constants!$C$6,Design!$B$42)/1000*(1+Constants!$C$36/100*(AR57-25))-Design!$C$29)/(IF(ISBLANK(Design!$B$41),Design!$B$39,Design!$B$41)/1000000)*AI57/100/(IF(ISBLANK(Design!$B$33),Design!$B$32,Design!$B$33)*1000000)&lt;0,0,($B57-AG57*IF(ISBLANK(Design!$B$42),Constants!$C$6,Design!$B$42)/1000*(1+Constants!$C$36/100*(AR57-25))-Design!$C$29)/(IF(ISBLANK(Design!$B$41),Design!$B$39,Design!$B$41)/1000000)*AI57/100/(IF(ISBLANK(Design!$B$33),Design!$B$32,Design!$B$33)*1000000))</f>
        <v>0.60434353477641156</v>
      </c>
      <c r="AK57" s="195">
        <f>$B57*Constants!$C$21/1000+IF(ISBLANK(Design!$B$33),Design!$B$32,Design!$B$33)*1000000*Constants!$D$25/1000000000*($B57-Constants!$C$24)</f>
        <v>3.9856249999999982E-2</v>
      </c>
      <c r="AL57" s="195">
        <f>$B57*AG57*($B57/(Constants!$C$26*1000000000)*IF(ISBLANK(Design!$B$33),Design!$B$32,Design!$B$33)*1000000/2+$B57/(Constants!$C$27*1000000000)*IF(ISBLANK(Design!$B$33),Design!$B$32,Design!$B$33)*1000000/2)</f>
        <v>3.4362135416666641E-2</v>
      </c>
      <c r="AM57" s="195">
        <f t="shared" ca="1" si="15"/>
        <v>6.8592495830995956E-2</v>
      </c>
      <c r="AN57" s="195">
        <f>Constants!$D$25/1000000000*Constants!$C$24*IF(ISBLANK(Design!$B$33),Design!$B$32,Design!$B$33)*1000000</f>
        <v>1.0624999999999999E-2</v>
      </c>
      <c r="AO57" s="195">
        <f t="shared" ca="1" si="24"/>
        <v>0.15343588124766255</v>
      </c>
      <c r="AP57" s="195">
        <f t="shared" ca="1" si="21"/>
        <v>0.11747358850816179</v>
      </c>
      <c r="AQ57" s="196">
        <f ca="1">$A57+AP57*Design!$B$19</f>
        <v>91.695994544965217</v>
      </c>
      <c r="AR57" s="196">
        <f ca="1">AO57*Design!$C$12+$A57</f>
        <v>90.21681996242053</v>
      </c>
      <c r="AS57" s="196">
        <f ca="1">Constants!$D$22+Constants!$D$22*Constants!$C$23/100*(AR57-25)</f>
        <v>177.17345596993641</v>
      </c>
      <c r="AT57" s="195">
        <f ca="1">(1-Constants!$D$20/1000000000*Design!$B$33*1000000) * ($B57+AH57-AG57*AS57/1000) - (AH57+AG57*(1+($A57-25)*Constants!$C$36/100)*IF(ISBLANK(Design!$B$42),Constants!$C$6/1000,Design!$B$42/1000))</f>
        <v>9.1083903608515335</v>
      </c>
      <c r="AU57" s="119">
        <f ca="1">IF(AT57&gt;Design!$C$29,Design!$C$29,AT57)</f>
        <v>4.9990521327014221</v>
      </c>
    </row>
    <row r="58" spans="1:47" ht="12.75" customHeight="1">
      <c r="A58" s="112">
        <f>Design!$D$13</f>
        <v>85</v>
      </c>
      <c r="B58" s="113">
        <f t="shared" si="12"/>
        <v>9.6349999999999962</v>
      </c>
      <c r="C58" s="114">
        <f>Design!$D$7</f>
        <v>2.5</v>
      </c>
      <c r="D58" s="114">
        <f ca="1">FORECAST(C58, OFFSET(Design!$C$15:$C$17,MATCH(C58,Design!$B$15:$B$17,1)-1,0,2), OFFSET(Design!$B$15:$B$17,MATCH(C58,Design!$B$15:$B$17,1)-1,0,2))+(M58-25)*Design!$B$18/1000</f>
        <v>0.38917422116498301</v>
      </c>
      <c r="E58" s="173">
        <f ca="1">IF(100*(Design!$C$29+D58+C58*IF(ISBLANK(Design!$B$42),Constants!$C$6,Design!$B$42)/1000*(1+Constants!$C$36/100*(N58-25)))/($B58+D58-C58*O58/1000)&gt;Design!$C$36,Design!$C$36,100*(Design!$C$29+D58+C58*IF(ISBLANK(Design!$B$42),Constants!$C$6,Design!$B$42)/1000*(1+Constants!$C$36/100*(N58-25)))/($B58+D58-C58*O58/1000))</f>
        <v>57.939229493359967</v>
      </c>
      <c r="F58" s="115">
        <f ca="1">IF(($B58-C58*IF(ISBLANK(Design!$B$42),Constants!$C$6,Design!$B$42)/1000*(1+Constants!$C$36/100*(N58-25))-Design!$C$29)/(IF(ISBLANK(Design!$B$41),Design!$B$39,Design!$B$41)/1000000)*E58/100/(IF(ISBLANK(Design!$B$33),Design!$B$32,Design!$B$33)*1000000)&lt;0,0,($B58-C58*IF(ISBLANK(Design!$B$42),Constants!$C$6,Design!$B$42)/1000*(1+Constants!$C$36/100*(N58-25))-Design!$C$29)/(IF(ISBLANK(Design!$B$41),Design!$B$39,Design!$B$41)/1000000)*E58/100/(IF(ISBLANK(Design!$B$33),Design!$B$32,Design!$B$33)*1000000))</f>
        <v>0.61358811270248548</v>
      </c>
      <c r="G58" s="165">
        <f>B58*Constants!$C$21/1000+IF(ISBLANK(Design!$B$33),Design!$B$32,Design!$B$33)*1000000*Constants!$D$25/1000000000*(B58-Constants!$C$24)</f>
        <v>3.875437499999998E-2</v>
      </c>
      <c r="H58" s="165">
        <f>B58*C58*(B58/(Constants!$C$26*1000000000)*IF(ISBLANK(Design!$B$33),Design!$B$32,Design!$B$33)*1000000/2+B58/(Constants!$C$27*1000000000)*IF(ISBLANK(Design!$B$33),Design!$B$32,Design!$B$33)*1000000/2)</f>
        <v>9.863530156249993E-2</v>
      </c>
      <c r="I58" s="165">
        <f t="shared" ca="1" si="13"/>
        <v>0.71504828612456661</v>
      </c>
      <c r="J58" s="165">
        <f>Constants!$D$25/1000000000*Constants!$C$24*IF(ISBLANK(Design!$B$33),Design!$B$32,Design!$B$33)*1000000</f>
        <v>1.0624999999999999E-2</v>
      </c>
      <c r="K58" s="165">
        <f t="shared" ca="1" si="22"/>
        <v>0.8630629626870665</v>
      </c>
      <c r="L58" s="165">
        <f t="shared" ca="1" si="17"/>
        <v>0.40922419008801802</v>
      </c>
      <c r="M58" s="166">
        <f ca="1">$A58+L58*Design!$B$19</f>
        <v>108.32577883501702</v>
      </c>
      <c r="N58" s="166">
        <f ca="1">K58*Design!$C$12+A58</f>
        <v>114.34414073136026</v>
      </c>
      <c r="O58" s="166">
        <f ca="1">Constants!$D$22+Constants!$D$22*Constants!$C$23/100*(N58-25)</f>
        <v>196.4753125850882</v>
      </c>
      <c r="P58" s="165">
        <f ca="1">(1-Constants!$D$20/1000000000*Design!$B$33*1000000) * ($B58+D58-C58*O58/1000) - (D58+C58*(1+($A58-25)*Constants!$C$36/100)*IF(ISBLANK(Design!$B$42),Constants!$C$6/1000,Design!$B$42/1000))</f>
        <v>8.4935342453687266</v>
      </c>
      <c r="Q58" s="115">
        <f ca="1">IF(P58&gt;Design!$C$29,Design!$C$29,P58)</f>
        <v>4.9990521327014221</v>
      </c>
      <c r="R58" s="116">
        <f>2*Design!$D$7/3</f>
        <v>1.6666666666666667</v>
      </c>
      <c r="S58" s="116">
        <f ca="1">FORECAST(R58, OFFSET(Design!$C$15:$C$17,MATCH(R58,Design!$B$15:$B$17,1)-1,0,2), OFFSET(Design!$B$15:$B$17,MATCH(R58,Design!$B$15:$B$17,1)-1,0,2))+(AB58-25)*Design!$B$18/1000</f>
        <v>0.35913016024870326</v>
      </c>
      <c r="T58" s="182">
        <f ca="1">IF(100*(Design!$C$29+S58+R58*IF(ISBLANK(Design!$B$42),Constants!$C$6,Design!$B$42)/1000*(1+Constants!$C$36/100*(AC58-25)))/($B58+S58-R58*AD58/1000)&gt;Design!$C$36,Design!$C$36,100*(Design!$C$29+S58+R58*IF(ISBLANK(Design!$B$42),Constants!$C$6,Design!$B$42)/1000*(1+Constants!$C$36/100*(AC58-25)))/($B58+S58-R58*AD58/1000))</f>
        <v>56.198511440086421</v>
      </c>
      <c r="U58" s="117">
        <f ca="1">IF(($B58-R58*IF(ISBLANK(Design!$B$42),Constants!$C$6,Design!$B$42)/1000*(1+Constants!$C$36/100*(AC58-25))-Design!$C$29)/(IF(ISBLANK(Design!$B$41),Design!$B$39,Design!$B$41)/1000000)*T58/100/(IF(ISBLANK(Design!$B$33),Design!$B$32,Design!$B$33)*1000000)&lt;0,0,($B58-R58*IF(ISBLANK(Design!$B$42),Constants!$C$6,Design!$B$42)/1000*(1+Constants!$C$36/100*(AC58-25))-Design!$C$29)/(IF(ISBLANK(Design!$B$41),Design!$B$39,Design!$B$41)/1000000)*T58/100/(IF(ISBLANK(Design!$B$33),Design!$B$32,Design!$B$33)*1000000))</f>
        <v>0.60164786093286338</v>
      </c>
      <c r="V58" s="183">
        <f>$B58*Constants!$C$21/1000+IF(ISBLANK(Design!$B$33),Design!$B$32,Design!$B$33)*1000000*Constants!$D$25/1000000000*($B58-Constants!$C$24)</f>
        <v>3.875437499999998E-2</v>
      </c>
      <c r="W58" s="183">
        <f>$B58*R58*($B58/(Constants!$C$26*1000000000)*IF(ISBLANK(Design!$B$33),Design!$B$32,Design!$B$33)*1000000/2+$B58/(Constants!$C$27*1000000000)*IF(ISBLANK(Design!$B$33),Design!$B$32,Design!$B$33)*1000000/2)</f>
        <v>6.5756867708333278E-2</v>
      </c>
      <c r="X58" s="183">
        <f t="shared" ca="1" si="14"/>
        <v>0.290404516141267</v>
      </c>
      <c r="Y58" s="183">
        <f>Constants!$D$25/1000000000*Constants!$C$24*IF(ISBLANK(Design!$B$33),Design!$B$32,Design!$B$33)*1000000</f>
        <v>1.0624999999999999E-2</v>
      </c>
      <c r="Z58" s="183">
        <f t="shared" ca="1" si="23"/>
        <v>0.40554075884960028</v>
      </c>
      <c r="AA58" s="183">
        <f t="shared" ca="1" si="19"/>
        <v>0.2621739267608918</v>
      </c>
      <c r="AB58" s="184">
        <f ca="1">$A58+AA58*Design!$B$19</f>
        <v>99.943913825370828</v>
      </c>
      <c r="AC58" s="184">
        <f ca="1">Z58*Design!$C$12+$A58</f>
        <v>98.788385800886402</v>
      </c>
      <c r="AD58" s="184">
        <f ca="1">Constants!$D$22+Constants!$D$22*Constants!$C$23/100*(AC58-25)</f>
        <v>184.03070864070912</v>
      </c>
      <c r="AE58" s="183">
        <f ca="1">(1-Constants!$D$20/1000000000*Design!$B$33*1000000) * ($B58+S58-R58*AD58/1000) - (S58+R58*(1+($A58-25)*Constants!$C$36/100)*IF(ISBLANK(Design!$B$42),Constants!$C$6/1000,Design!$B$42/1000))</f>
        <v>8.7106659553324057</v>
      </c>
      <c r="AF58" s="117">
        <f ca="1">IF(AE58&gt;Design!$C$29,Design!$C$29,AE58)</f>
        <v>4.9990521327014221</v>
      </c>
      <c r="AG58" s="118">
        <f>Design!$D$7/3</f>
        <v>0.83333333333333337</v>
      </c>
      <c r="AH58" s="118">
        <f ca="1">FORECAST(AG58, OFFSET(Design!$C$15:$C$17,MATCH(AG58,Design!$B$15:$B$17,1)-1,0,2), OFFSET(Design!$B$15:$B$17,MATCH(AG58,Design!$B$15:$B$17,1)-1,0,2))+(AQ58-25)*Design!$B$18/1000</f>
        <v>0.30272835307649626</v>
      </c>
      <c r="AI58" s="194">
        <f ca="1">IF(100*(Design!$C$29+AH58+AG58*IF(ISBLANK(Design!$B$42),Constants!$C$6,Design!$B$42)/1000*(1+Constants!$C$36/100*(AR58-25)))/($B58+AH58-AG58*AS58/1000)&gt;Design!$C$36,Design!$C$36,100*(Design!$C$29+AH58+AG58*IF(ISBLANK(Design!$B$42),Constants!$C$6,Design!$B$42)/1000*(1+Constants!$C$36/100*(AR58-25)))/($B58+AH58-AG58*AS58/1000))</f>
        <v>54.582132679314384</v>
      </c>
      <c r="AJ58" s="119">
        <f ca="1">IF(($B58-AG58*IF(ISBLANK(Design!$B$42),Constants!$C$6,Design!$B$42)/1000*(1+Constants!$C$36/100*(AR58-25))-Design!$C$29)/(IF(ISBLANK(Design!$B$41),Design!$B$39,Design!$B$41)/1000000)*AI58/100/(IF(ISBLANK(Design!$B$33),Design!$B$32,Design!$B$33)*1000000)&lt;0,0,($B58-AG58*IF(ISBLANK(Design!$B$42),Constants!$C$6,Design!$B$42)/1000*(1+Constants!$C$36/100*(AR58-25))-Design!$C$29)/(IF(ISBLANK(Design!$B$41),Design!$B$39,Design!$B$41)/1000000)*AI58/100/(IF(ISBLANK(Design!$B$33),Design!$B$32,Design!$B$33)*1000000))</f>
        <v>0.59001058570005738</v>
      </c>
      <c r="AK58" s="195">
        <f>$B58*Constants!$C$21/1000+IF(ISBLANK(Design!$B$33),Design!$B$32,Design!$B$33)*1000000*Constants!$D$25/1000000000*($B58-Constants!$C$24)</f>
        <v>3.875437499999998E-2</v>
      </c>
      <c r="AL58" s="195">
        <f>$B58*AG58*($B58/(Constants!$C$26*1000000000)*IF(ISBLANK(Design!$B$33),Design!$B$32,Design!$B$33)*1000000/2+$B58/(Constants!$C$27*1000000000)*IF(ISBLANK(Design!$B$33),Design!$B$32,Design!$B$33)*1000000/2)</f>
        <v>3.2878433854166639E-2</v>
      </c>
      <c r="AM58" s="195">
        <f t="shared" ca="1" si="15"/>
        <v>6.9948431161923522E-2</v>
      </c>
      <c r="AN58" s="195">
        <f>Constants!$D$25/1000000000*Constants!$C$24*IF(ISBLANK(Design!$B$33),Design!$B$32,Design!$B$33)*1000000</f>
        <v>1.0624999999999999E-2</v>
      </c>
      <c r="AO58" s="195">
        <f t="shared" ca="1" si="24"/>
        <v>0.15220624001609012</v>
      </c>
      <c r="AP58" s="195">
        <f t="shared" ca="1" si="21"/>
        <v>0.11457730145198312</v>
      </c>
      <c r="AQ58" s="196">
        <f ca="1">$A58+AP58*Design!$B$19</f>
        <v>91.530906182763033</v>
      </c>
      <c r="AR58" s="196">
        <f ca="1">AO58*Design!$C$12+$A58</f>
        <v>90.17501216054707</v>
      </c>
      <c r="AS58" s="196">
        <f ca="1">Constants!$D$22+Constants!$D$22*Constants!$C$23/100*(AR58-25)</f>
        <v>177.14000972843766</v>
      </c>
      <c r="AT58" s="195">
        <f ca="1">(1-Constants!$D$20/1000000000*Design!$B$33*1000000) * ($B58+AH58-AG58*AS58/1000) - (AH58+AG58*(1+($A58-25)*Constants!$C$36/100)*IF(ISBLANK(Design!$B$42),Constants!$C$6/1000,Design!$B$42/1000))</f>
        <v>8.9052863216667344</v>
      </c>
      <c r="AU58" s="119">
        <f ca="1">IF(AT58&gt;Design!$C$29,Design!$C$29,AT58)</f>
        <v>4.9990521327014221</v>
      </c>
    </row>
    <row r="59" spans="1:47" ht="12.75" customHeight="1">
      <c r="A59" s="112">
        <f>Design!$D$13</f>
        <v>85</v>
      </c>
      <c r="B59" s="113">
        <f t="shared" si="12"/>
        <v>9.4199999999999964</v>
      </c>
      <c r="C59" s="114">
        <f>Design!$D$7</f>
        <v>2.5</v>
      </c>
      <c r="D59" s="114">
        <f ca="1">FORECAST(C59, OFFSET(Design!$C$15:$C$17,MATCH(C59,Design!$B$15:$B$17,1)-1,0,2), OFFSET(Design!$B$15:$B$17,MATCH(C59,Design!$B$15:$B$17,1)-1,0,2))+(M59-25)*Design!$B$18/1000</f>
        <v>0.38988026589155833</v>
      </c>
      <c r="E59" s="173">
        <f ca="1">IF(100*(Design!$C$29+D59+C59*IF(ISBLANK(Design!$B$42),Constants!$C$6,Design!$B$42)/1000*(1+Constants!$C$36/100*(N59-25)))/($B59+D59-C59*O59/1000)&gt;Design!$C$36,Design!$C$36,100*(Design!$C$29+D59+C59*IF(ISBLANK(Design!$B$42),Constants!$C$6,Design!$B$42)/1000*(1+Constants!$C$36/100*(N59-25)))/($B59+D59-C59*O59/1000))</f>
        <v>59.286224493408497</v>
      </c>
      <c r="F59" s="115">
        <f ca="1">IF(($B59-C59*IF(ISBLANK(Design!$B$42),Constants!$C$6,Design!$B$42)/1000*(1+Constants!$C$36/100*(N59-25))-Design!$C$29)/(IF(ISBLANK(Design!$B$41),Design!$B$39,Design!$B$41)/1000000)*E59/100/(IF(ISBLANK(Design!$B$33),Design!$B$32,Design!$B$33)*1000000)&lt;0,0,($B59-C59*IF(ISBLANK(Design!$B$42),Constants!$C$6,Design!$B$42)/1000*(1+Constants!$C$36/100*(N59-25))-Design!$C$29)/(IF(ISBLANK(Design!$B$41),Design!$B$39,Design!$B$41)/1000000)*E59/100/(IF(ISBLANK(Design!$B$33),Design!$B$32,Design!$B$33)*1000000))</f>
        <v>0.59783842617769867</v>
      </c>
      <c r="G59" s="165">
        <f>B59*Constants!$C$21/1000+IF(ISBLANK(Design!$B$33),Design!$B$32,Design!$B$33)*1000000*Constants!$D$25/1000000000*(B59-Constants!$C$24)</f>
        <v>3.7652499999999985E-2</v>
      </c>
      <c r="H59" s="165">
        <f>B59*C59*(B59/(Constants!$C$26*1000000000)*IF(ISBLANK(Design!$B$33),Design!$B$32,Design!$B$33)*1000000/2+B59/(Constants!$C$27*1000000000)*IF(ISBLANK(Design!$B$33),Design!$B$32,Design!$B$33)*1000000/2)</f>
        <v>9.428242499999992E-2</v>
      </c>
      <c r="I59" s="165">
        <f t="shared" ca="1" si="13"/>
        <v>0.7327244421396617</v>
      </c>
      <c r="J59" s="165">
        <f>Constants!$D$25/1000000000*Constants!$C$24*IF(ISBLANK(Design!$B$33),Design!$B$32,Design!$B$33)*1000000</f>
        <v>1.0624999999999999E-2</v>
      </c>
      <c r="K59" s="165">
        <f t="shared" ca="1" si="22"/>
        <v>0.87528436713966162</v>
      </c>
      <c r="L59" s="165">
        <f t="shared" ca="1" si="17"/>
        <v>0.39683744049897773</v>
      </c>
      <c r="M59" s="166">
        <f ca="1">$A59+L59*Design!$B$19</f>
        <v>107.61973410844173</v>
      </c>
      <c r="N59" s="166">
        <f ca="1">K59*Design!$C$12+A59</f>
        <v>114.75966848274849</v>
      </c>
      <c r="O59" s="166">
        <f ca="1">Constants!$D$22+Constants!$D$22*Constants!$C$23/100*(N59-25)</f>
        <v>196.80773478619881</v>
      </c>
      <c r="P59" s="165">
        <f ca="1">(1-Constants!$D$20/1000000000*Design!$B$33*1000000) * ($B59+D59-C59*O59/1000) - (D59+C59*(1+($A59-25)*Constants!$C$36/100)*IF(ISBLANK(Design!$B$42),Constants!$C$6/1000,Design!$B$42/1000))</f>
        <v>8.2895888467113341</v>
      </c>
      <c r="Q59" s="115">
        <f ca="1">IF(P59&gt;Design!$C$29,Design!$C$29,P59)</f>
        <v>4.9990521327014221</v>
      </c>
      <c r="R59" s="116">
        <f>2*Design!$D$7/3</f>
        <v>1.6666666666666667</v>
      </c>
      <c r="S59" s="116">
        <f ca="1">FORECAST(R59, OFFSET(Design!$C$15:$C$17,MATCH(R59,Design!$B$15:$B$17,1)-1,0,2), OFFSET(Design!$B$15:$B$17,MATCH(R59,Design!$B$15:$B$17,1)-1,0,2))+(AB59-25)*Design!$B$18/1000</f>
        <v>0.35954937797106412</v>
      </c>
      <c r="T59" s="182">
        <f ca="1">IF(100*(Design!$C$29+S59+R59*IF(ISBLANK(Design!$B$42),Constants!$C$6,Design!$B$42)/1000*(1+Constants!$C$36/100*(AC59-25)))/($B59+S59-R59*AD59/1000)&gt;Design!$C$36,Design!$C$36,100*(Design!$C$29+S59+R59*IF(ISBLANK(Design!$B$42),Constants!$C$6,Design!$B$42)/1000*(1+Constants!$C$36/100*(AC59-25)))/($B59+S59-R59*AD59/1000))</f>
        <v>57.4769010061462</v>
      </c>
      <c r="U59" s="117">
        <f ca="1">IF(($B59-R59*IF(ISBLANK(Design!$B$42),Constants!$C$6,Design!$B$42)/1000*(1+Constants!$C$36/100*(AC59-25))-Design!$C$29)/(IF(ISBLANK(Design!$B$41),Design!$B$39,Design!$B$41)/1000000)*T59/100/(IF(ISBLANK(Design!$B$33),Design!$B$32,Design!$B$33)*1000000)&lt;0,0,($B59-R59*IF(ISBLANK(Design!$B$42),Constants!$C$6,Design!$B$42)/1000*(1+Constants!$C$36/100*(AC59-25))-Design!$C$29)/(IF(ISBLANK(Design!$B$41),Design!$B$39,Design!$B$41)/1000000)*T59/100/(IF(ISBLANK(Design!$B$33),Design!$B$32,Design!$B$33)*1000000))</f>
        <v>0.58625436908213557</v>
      </c>
      <c r="V59" s="183">
        <f>$B59*Constants!$C$21/1000+IF(ISBLANK(Design!$B$33),Design!$B$32,Design!$B$33)*1000000*Constants!$D$25/1000000000*($B59-Constants!$C$24)</f>
        <v>3.7652499999999985E-2</v>
      </c>
      <c r="W59" s="183">
        <f>$B59*R59*($B59/(Constants!$C$26*1000000000)*IF(ISBLANK(Design!$B$33),Design!$B$32,Design!$B$33)*1000000/2+$B59/(Constants!$C$27*1000000000)*IF(ISBLANK(Design!$B$33),Design!$B$32,Design!$B$33)*1000000/2)</f>
        <v>6.2854949999999951E-2</v>
      </c>
      <c r="X59" s="183">
        <f t="shared" ca="1" si="14"/>
        <v>0.29696139762411605</v>
      </c>
      <c r="Y59" s="183">
        <f>Constants!$D$25/1000000000*Constants!$C$24*IF(ISBLANK(Design!$B$33),Design!$B$32,Design!$B$33)*1000000</f>
        <v>1.0624999999999999E-2</v>
      </c>
      <c r="Z59" s="183">
        <f t="shared" ca="1" si="23"/>
        <v>0.40809384762411599</v>
      </c>
      <c r="AA59" s="183">
        <f t="shared" ca="1" si="19"/>
        <v>0.25481922987736866</v>
      </c>
      <c r="AB59" s="184">
        <f ca="1">$A59+AA59*Design!$B$19</f>
        <v>99.524696103010015</v>
      </c>
      <c r="AC59" s="184">
        <f ca="1">Z59*Design!$C$12+$A59</f>
        <v>98.875190819219938</v>
      </c>
      <c r="AD59" s="184">
        <f ca="1">Constants!$D$22+Constants!$D$22*Constants!$C$23/100*(AC59-25)</f>
        <v>184.10015265537595</v>
      </c>
      <c r="AE59" s="183">
        <f ca="1">(1-Constants!$D$20/1000000000*Design!$B$33*1000000) * ($B59+S59-R59*AD59/1000) - (S59+R59*(1+($A59-25)*Constants!$C$36/100)*IF(ISBLANK(Design!$B$42),Constants!$C$6/1000,Design!$B$42/1000))</f>
        <v>8.5074121981651505</v>
      </c>
      <c r="AF59" s="117">
        <f ca="1">IF(AE59&gt;Design!$C$29,Design!$C$29,AE59)</f>
        <v>4.9990521327014221</v>
      </c>
      <c r="AG59" s="118">
        <f>Design!$D$7/3</f>
        <v>0.83333333333333337</v>
      </c>
      <c r="AH59" s="118">
        <f ca="1">FORECAST(AG59, OFFSET(Design!$C$15:$C$17,MATCH(AG59,Design!$B$15:$B$17,1)-1,0,2), OFFSET(Design!$B$15:$B$17,MATCH(AG59,Design!$B$15:$B$17,1)-1,0,2))+(AQ59-25)*Design!$B$18/1000</f>
        <v>0.30290104827225695</v>
      </c>
      <c r="AI59" s="194">
        <f ca="1">IF(100*(Design!$C$29+AH59+AG59*IF(ISBLANK(Design!$B$42),Constants!$C$6,Design!$B$42)/1000*(1+Constants!$C$36/100*(AR59-25)))/($B59+AH59-AG59*AS59/1000)&gt;Design!$C$36,Design!$C$36,100*(Design!$C$29+AH59+AG59*IF(ISBLANK(Design!$B$42),Constants!$C$6,Design!$B$42)/1000*(1+Constants!$C$36/100*(AR59-25)))/($B59+AH59-AG59*AS59/1000))</f>
        <v>55.808316222708832</v>
      </c>
      <c r="AJ59" s="119">
        <f ca="1">IF(($B59-AG59*IF(ISBLANK(Design!$B$42),Constants!$C$6,Design!$B$42)/1000*(1+Constants!$C$36/100*(AR59-25))-Design!$C$29)/(IF(ISBLANK(Design!$B$41),Design!$B$39,Design!$B$41)/1000000)*AI59/100/(IF(ISBLANK(Design!$B$33),Design!$B$32,Design!$B$33)*1000000)&lt;0,0,($B59-AG59*IF(ISBLANK(Design!$B$42),Constants!$C$6,Design!$B$42)/1000*(1+Constants!$C$36/100*(AR59-25))-Design!$C$29)/(IF(ISBLANK(Design!$B$41),Design!$B$39,Design!$B$41)/1000000)*AI59/100/(IF(ISBLANK(Design!$B$33),Design!$B$32,Design!$B$33)*1000000))</f>
        <v>0.57503335260633448</v>
      </c>
      <c r="AK59" s="195">
        <f>$B59*Constants!$C$21/1000+IF(ISBLANK(Design!$B$33),Design!$B$32,Design!$B$33)*1000000*Constants!$D$25/1000000000*($B59-Constants!$C$24)</f>
        <v>3.7652499999999985E-2</v>
      </c>
      <c r="AL59" s="195">
        <f>$B59*AG59*($B59/(Constants!$C$26*1000000000)*IF(ISBLANK(Design!$B$33),Design!$B$32,Design!$B$33)*1000000/2+$B59/(Constants!$C$27*1000000000)*IF(ISBLANK(Design!$B$33),Design!$B$32,Design!$B$33)*1000000/2)</f>
        <v>3.1427474999999976E-2</v>
      </c>
      <c r="AM59" s="195">
        <f t="shared" ca="1" si="15"/>
        <v>7.1363598671058071E-2</v>
      </c>
      <c r="AN59" s="195">
        <f>Constants!$D$25/1000000000*Constants!$C$24*IF(ISBLANK(Design!$B$33),Design!$B$32,Design!$B$33)*1000000</f>
        <v>1.0624999999999999E-2</v>
      </c>
      <c r="AO59" s="195">
        <f t="shared" ca="1" si="24"/>
        <v>0.15106857367105803</v>
      </c>
      <c r="AP59" s="195">
        <f t="shared" ca="1" si="21"/>
        <v>0.11154756117547988</v>
      </c>
      <c r="AQ59" s="196">
        <f ca="1">$A59+AP59*Design!$B$19</f>
        <v>91.358210987002352</v>
      </c>
      <c r="AR59" s="196">
        <f ca="1">AO59*Design!$C$12+$A59</f>
        <v>90.136331504815971</v>
      </c>
      <c r="AS59" s="196">
        <f ca="1">Constants!$D$22+Constants!$D$22*Constants!$C$23/100*(AR59-25)</f>
        <v>177.10906520385277</v>
      </c>
      <c r="AT59" s="195">
        <f ca="1">(1-Constants!$D$20/1000000000*Design!$B$33*1000000) * ($B59+AH59-AG59*AS59/1000) - (AH59+AG59*(1+($A59-25)*Constants!$C$36/100)*IF(ISBLANK(Design!$B$42),Constants!$C$6/1000,Design!$B$42/1000))</f>
        <v>8.702179892623505</v>
      </c>
      <c r="AU59" s="119">
        <f ca="1">IF(AT59&gt;Design!$C$29,Design!$C$29,AT59)</f>
        <v>4.9990521327014221</v>
      </c>
    </row>
    <row r="60" spans="1:47" ht="12.75" customHeight="1">
      <c r="A60" s="112">
        <f>Design!$D$13</f>
        <v>85</v>
      </c>
      <c r="B60" s="113">
        <f t="shared" si="12"/>
        <v>9.2049999999999965</v>
      </c>
      <c r="C60" s="114">
        <f>Design!$D$7</f>
        <v>2.5</v>
      </c>
      <c r="D60" s="114">
        <f ca="1">FORECAST(C60, OFFSET(Design!$C$15:$C$17,MATCH(C60,Design!$B$15:$B$17,1)-1,0,2), OFFSET(Design!$B$15:$B$17,MATCH(C60,Design!$B$15:$B$17,1)-1,0,2))+(M60-25)*Design!$B$18/1000</f>
        <v>0.39062284882818238</v>
      </c>
      <c r="E60" s="173">
        <f ca="1">IF(100*(Design!$C$29+D60+C60*IF(ISBLANK(Design!$B$42),Constants!$C$6,Design!$B$42)/1000*(1+Constants!$C$36/100*(N60-25)))/($B60+D60-C60*O60/1000)&gt;Design!$C$36,Design!$C$36,100*(Design!$C$29+D60+C60*IF(ISBLANK(Design!$B$42),Constants!$C$6,Design!$B$42)/1000*(1+Constants!$C$36/100*(N60-25)))/($B60+D60-C60*O60/1000))</f>
        <v>60.697673386757543</v>
      </c>
      <c r="F60" s="115">
        <f ca="1">IF(($B60-C60*IF(ISBLANK(Design!$B$42),Constants!$C$6,Design!$B$42)/1000*(1+Constants!$C$36/100*(N60-25))-Design!$C$29)/(IF(ISBLANK(Design!$B$41),Design!$B$39,Design!$B$41)/1000000)*E60/100/(IF(ISBLANK(Design!$B$33),Design!$B$32,Design!$B$33)*1000000)&lt;0,0,($B60-C60*IF(ISBLANK(Design!$B$42),Constants!$C$6,Design!$B$42)/1000*(1+Constants!$C$36/100*(N60-25))-Design!$C$29)/(IF(ISBLANK(Design!$B$41),Design!$B$39,Design!$B$41)/1000000)*E60/100/(IF(ISBLANK(Design!$B$33),Design!$B$32,Design!$B$33)*1000000))</f>
        <v>0.58134018051261138</v>
      </c>
      <c r="G60" s="165">
        <f>B60*Constants!$C$21/1000+IF(ISBLANK(Design!$B$33),Design!$B$32,Design!$B$33)*1000000*Constants!$D$25/1000000000*(B60-Constants!$C$24)</f>
        <v>3.6550624999999982E-2</v>
      </c>
      <c r="H60" s="165">
        <f>B60*C60*(B60/(Constants!$C$26*1000000000)*IF(ISBLANK(Design!$B$33),Design!$B$32,Design!$B$33)*1000000/2+B60/(Constants!$C$27*1000000000)*IF(ISBLANK(Design!$B$33),Design!$B$32,Design!$B$33)*1000000/2)</f>
        <v>9.0027776562499939E-2</v>
      </c>
      <c r="I60" s="165">
        <f t="shared" ca="1" si="13"/>
        <v>0.75135040819988308</v>
      </c>
      <c r="J60" s="165">
        <f>Constants!$D$25/1000000000*Constants!$C$24*IF(ISBLANK(Design!$B$33),Design!$B$32,Design!$B$33)*1000000</f>
        <v>1.0624999999999999E-2</v>
      </c>
      <c r="K60" s="165">
        <f t="shared" ca="1" si="22"/>
        <v>0.88855380976238296</v>
      </c>
      <c r="L60" s="165">
        <f t="shared" ca="1" si="17"/>
        <v>0.38380966968101143</v>
      </c>
      <c r="M60" s="166">
        <f ca="1">$A60+L60*Design!$B$19</f>
        <v>106.87715117181764</v>
      </c>
      <c r="N60" s="166">
        <f ca="1">K60*Design!$C$12+A60</f>
        <v>115.21082953192102</v>
      </c>
      <c r="O60" s="166">
        <f ca="1">Constants!$D$22+Constants!$D$22*Constants!$C$23/100*(N60-25)</f>
        <v>197.16866362553682</v>
      </c>
      <c r="P60" s="165">
        <f ca="1">(1-Constants!$D$20/1000000000*Design!$B$33*1000000) * ($B60+D60-C60*O60/1000) - (D60+C60*(1+($A60-25)*Constants!$C$36/100)*IF(ISBLANK(Design!$B$42),Constants!$C$6/1000,Design!$B$42/1000))</f>
        <v>8.0855741002016739</v>
      </c>
      <c r="Q60" s="115">
        <f ca="1">IF(P60&gt;Design!$C$29,Design!$C$29,P60)</f>
        <v>4.9990521327014221</v>
      </c>
      <c r="R60" s="116">
        <f>2*Design!$D$7/3</f>
        <v>1.6666666666666667</v>
      </c>
      <c r="S60" s="116">
        <f ca="1">FORECAST(R60, OFFSET(Design!$C$15:$C$17,MATCH(R60,Design!$B$15:$B$17,1)-1,0,2), OFFSET(Design!$B$15:$B$17,MATCH(R60,Design!$B$15:$B$17,1)-1,0,2))+(AB60-25)*Design!$B$18/1000</f>
        <v>0.35998916721498031</v>
      </c>
      <c r="T60" s="182">
        <f ca="1">IF(100*(Design!$C$29+S60+R60*IF(ISBLANK(Design!$B$42),Constants!$C$6,Design!$B$42)/1000*(1+Constants!$C$36/100*(AC60-25)))/($B60+S60-R60*AD60/1000)&gt;Design!$C$36,Design!$C$36,100*(Design!$C$29+S60+R60*IF(ISBLANK(Design!$B$42),Constants!$C$6,Design!$B$42)/1000*(1+Constants!$C$36/100*(AC60-25)))/($B60+S60-R60*AD60/1000))</f>
        <v>58.814822509477032</v>
      </c>
      <c r="U60" s="117">
        <f ca="1">IF(($B60-R60*IF(ISBLANK(Design!$B$42),Constants!$C$6,Design!$B$42)/1000*(1+Constants!$C$36/100*(AC60-25))-Design!$C$29)/(IF(ISBLANK(Design!$B$41),Design!$B$39,Design!$B$41)/1000000)*T60/100/(IF(ISBLANK(Design!$B$33),Design!$B$32,Design!$B$33)*1000000)&lt;0,0,($B60-R60*IF(ISBLANK(Design!$B$42),Constants!$C$6,Design!$B$42)/1000*(1+Constants!$C$36/100*(AC60-25))-Design!$C$29)/(IF(ISBLANK(Design!$B$41),Design!$B$39,Design!$B$41)/1000000)*T60/100/(IF(ISBLANK(Design!$B$33),Design!$B$32,Design!$B$33)*1000000))</f>
        <v>0.5701439325606088</v>
      </c>
      <c r="V60" s="183">
        <f>$B60*Constants!$C$21/1000+IF(ISBLANK(Design!$B$33),Design!$B$32,Design!$B$33)*1000000*Constants!$D$25/1000000000*($B60-Constants!$C$24)</f>
        <v>3.6550624999999982E-2</v>
      </c>
      <c r="W60" s="183">
        <f>$B60*R60*($B60/(Constants!$C$26*1000000000)*IF(ISBLANK(Design!$B$33),Design!$B$32,Design!$B$33)*1000000/2+$B60/(Constants!$C$27*1000000000)*IF(ISBLANK(Design!$B$33),Design!$B$32,Design!$B$33)*1000000/2)</f>
        <v>6.0018517708333295E-2</v>
      </c>
      <c r="X60" s="183">
        <f t="shared" ca="1" si="14"/>
        <v>0.30383765871471796</v>
      </c>
      <c r="Y60" s="183">
        <f>Constants!$D$25/1000000000*Constants!$C$24*IF(ISBLANK(Design!$B$33),Design!$B$32,Design!$B$33)*1000000</f>
        <v>1.0624999999999999E-2</v>
      </c>
      <c r="Z60" s="183">
        <f t="shared" ca="1" si="23"/>
        <v>0.41103180142305124</v>
      </c>
      <c r="AA60" s="183">
        <f t="shared" ca="1" si="19"/>
        <v>0.24710362910690864</v>
      </c>
      <c r="AB60" s="184">
        <f ca="1">$A60+AA60*Design!$B$19</f>
        <v>99.084906859093792</v>
      </c>
      <c r="AC60" s="184">
        <f ca="1">Z60*Design!$C$12+$A60</f>
        <v>98.975081248383745</v>
      </c>
      <c r="AD60" s="184">
        <f ca="1">Constants!$D$22+Constants!$D$22*Constants!$C$23/100*(AC60-25)</f>
        <v>184.180064998707</v>
      </c>
      <c r="AE60" s="183">
        <f ca="1">(1-Constants!$D$20/1000000000*Design!$B$33*1000000) * ($B60+S60-R60*AD60/1000) - (S60+R60*(1+($A60-25)*Constants!$C$36/100)*IF(ISBLANK(Design!$B$42),Constants!$C$6/1000,Design!$B$42/1000))</f>
        <v>8.3041408211654879</v>
      </c>
      <c r="AF60" s="117">
        <f ca="1">IF(AE60&gt;Design!$C$29,Design!$C$29,AE60)</f>
        <v>4.9990521327014221</v>
      </c>
      <c r="AG60" s="118">
        <f>Design!$D$7/3</f>
        <v>0.83333333333333337</v>
      </c>
      <c r="AH60" s="118">
        <f ca="1">FORECAST(AG60, OFFSET(Design!$C$15:$C$17,MATCH(AG60,Design!$B$15:$B$17,1)-1,0,2), OFFSET(Design!$B$15:$B$17,MATCH(AG60,Design!$B$15:$B$17,1)-1,0,2))+(AQ60-25)*Design!$B$18/1000</f>
        <v>0.30308188807878061</v>
      </c>
      <c r="AI60" s="194">
        <f ca="1">IF(100*(Design!$C$29+AH60+AG60*IF(ISBLANK(Design!$B$42),Constants!$C$6,Design!$B$42)/1000*(1+Constants!$C$36/100*(AR60-25)))/($B60+AH60-AG60*AS60/1000)&gt;Design!$C$36,Design!$C$36,100*(Design!$C$29+AH60+AG60*IF(ISBLANK(Design!$B$42),Constants!$C$6,Design!$B$42)/1000*(1+Constants!$C$36/100*(AR60-25)))/($B60+AH60-AG60*AS60/1000))</f>
        <v>57.090830991781196</v>
      </c>
      <c r="AJ60" s="119">
        <f ca="1">IF(($B60-AG60*IF(ISBLANK(Design!$B$42),Constants!$C$6,Design!$B$42)/1000*(1+Constants!$C$36/100*(AR60-25))-Design!$C$29)/(IF(ISBLANK(Design!$B$41),Design!$B$39,Design!$B$41)/1000000)*AI60/100/(IF(ISBLANK(Design!$B$33),Design!$B$32,Design!$B$33)*1000000)&lt;0,0,($B60-AG60*IF(ISBLANK(Design!$B$42),Constants!$C$6,Design!$B$42)/1000*(1+Constants!$C$36/100*(AR60-25))-Design!$C$29)/(IF(ISBLANK(Design!$B$41),Design!$B$39,Design!$B$41)/1000000)*AI60/100/(IF(ISBLANK(Design!$B$33),Design!$B$32,Design!$B$33)*1000000))</f>
        <v>0.55936740694774578</v>
      </c>
      <c r="AK60" s="195">
        <f>$B60*Constants!$C$21/1000+IF(ISBLANK(Design!$B$33),Design!$B$32,Design!$B$33)*1000000*Constants!$D$25/1000000000*($B60-Constants!$C$24)</f>
        <v>3.6550624999999982E-2</v>
      </c>
      <c r="AL60" s="195">
        <f>$B60*AG60*($B60/(Constants!$C$26*1000000000)*IF(ISBLANK(Design!$B$33),Design!$B$32,Design!$B$33)*1000000/2+$B60/(Constants!$C$27*1000000000)*IF(ISBLANK(Design!$B$33),Design!$B$32,Design!$B$33)*1000000/2)</f>
        <v>3.0009258854166648E-2</v>
      </c>
      <c r="AM60" s="195">
        <f t="shared" ca="1" si="15"/>
        <v>7.2842187945239278E-2</v>
      </c>
      <c r="AN60" s="195">
        <f>Constants!$D$25/1000000000*Constants!$C$24*IF(ISBLANK(Design!$B$33),Design!$B$32,Design!$B$33)*1000000</f>
        <v>1.0624999999999999E-2</v>
      </c>
      <c r="AO60" s="195">
        <f t="shared" ca="1" si="24"/>
        <v>0.15002707179940589</v>
      </c>
      <c r="AP60" s="195">
        <f t="shared" ca="1" si="21"/>
        <v>0.1083749329908538</v>
      </c>
      <c r="AQ60" s="196">
        <f ca="1">$A60+AP60*Design!$B$19</f>
        <v>91.177371180478673</v>
      </c>
      <c r="AR60" s="196">
        <f ca="1">AO60*Design!$C$12+$A60</f>
        <v>90.100920441179795</v>
      </c>
      <c r="AS60" s="196">
        <f ca="1">Constants!$D$22+Constants!$D$22*Constants!$C$23/100*(AR60-25)</f>
        <v>177.08073635294383</v>
      </c>
      <c r="AT60" s="195">
        <f ca="1">(1-Constants!$D$20/1000000000*Design!$B$33*1000000) * ($B60+AH60-AG60*AS60/1000) - (AH60+AG60*(1+($A60-25)*Constants!$C$36/100)*IF(ISBLANK(Design!$B$42),Constants!$C$6/1000,Design!$B$42/1000))</f>
        <v>8.4990709542924421</v>
      </c>
      <c r="AU60" s="119">
        <f ca="1">IF(AT60&gt;Design!$C$29,Design!$C$29,AT60)</f>
        <v>4.9990521327014221</v>
      </c>
    </row>
    <row r="61" spans="1:47" ht="12.75" customHeight="1">
      <c r="A61" s="112">
        <f>Design!$D$13</f>
        <v>85</v>
      </c>
      <c r="B61" s="113">
        <f t="shared" si="12"/>
        <v>8.9899999999999967</v>
      </c>
      <c r="C61" s="114">
        <f>Design!$D$7</f>
        <v>2.5</v>
      </c>
      <c r="D61" s="114">
        <f ca="1">FORECAST(C61, OFFSET(Design!$C$15:$C$17,MATCH(C61,Design!$B$15:$B$17,1)-1,0,2), OFFSET(Design!$B$15:$B$17,MATCH(C61,Design!$B$15:$B$17,1)-1,0,2))+(M61-25)*Design!$B$18/1000</f>
        <v>0.39140489200194706</v>
      </c>
      <c r="E61" s="173">
        <f ca="1">IF(100*(Design!$C$29+D61+C61*IF(ISBLANK(Design!$B$42),Constants!$C$6,Design!$B$42)/1000*(1+Constants!$C$36/100*(N61-25)))/($B61+D61-C61*O61/1000)&gt;Design!$C$36,Design!$C$36,100*(Design!$C$29+D61+C61*IF(ISBLANK(Design!$B$42),Constants!$C$6,Design!$B$42)/1000*(1+Constants!$C$36/100*(N61-25)))/($B61+D61-C61*O61/1000))</f>
        <v>62.178335369493752</v>
      </c>
      <c r="F61" s="115">
        <f ca="1">IF(($B61-C61*IF(ISBLANK(Design!$B$42),Constants!$C$6,Design!$B$42)/1000*(1+Constants!$C$36/100*(N61-25))-Design!$C$29)/(IF(ISBLANK(Design!$B$41),Design!$B$39,Design!$B$41)/1000000)*E61/100/(IF(ISBLANK(Design!$B$33),Design!$B$32,Design!$B$33)*1000000)&lt;0,0,($B61-C61*IF(ISBLANK(Design!$B$42),Constants!$C$6,Design!$B$42)/1000*(1+Constants!$C$36/100*(N61-25))-Design!$C$29)/(IF(ISBLANK(Design!$B$41),Design!$B$39,Design!$B$41)/1000000)*E61/100/(IF(ISBLANK(Design!$B$33),Design!$B$32,Design!$B$33)*1000000))</f>
        <v>0.56403835612501985</v>
      </c>
      <c r="G61" s="165">
        <f>B61*Constants!$C$21/1000+IF(ISBLANK(Design!$B$33),Design!$B$32,Design!$B$33)*1000000*Constants!$D$25/1000000000*(B61-Constants!$C$24)</f>
        <v>3.5448749999999987E-2</v>
      </c>
      <c r="H61" s="165">
        <f>B61*C61*(B61/(Constants!$C$26*1000000000)*IF(ISBLANK(Design!$B$33),Design!$B$32,Design!$B$33)*1000000/2+B61/(Constants!$C$27*1000000000)*IF(ISBLANK(Design!$B$33),Design!$B$32,Design!$B$33)*1000000/2)</f>
        <v>8.5871356249999919E-2</v>
      </c>
      <c r="I61" s="165">
        <f t="shared" ca="1" si="13"/>
        <v>0.77100457126265431</v>
      </c>
      <c r="J61" s="165">
        <f>Constants!$D$25/1000000000*Constants!$C$24*IF(ISBLANK(Design!$B$33),Design!$B$32,Design!$B$33)*1000000</f>
        <v>1.0624999999999999E-2</v>
      </c>
      <c r="K61" s="165">
        <f t="shared" ca="1" si="22"/>
        <v>0.9029496775126542</v>
      </c>
      <c r="L61" s="165">
        <f t="shared" ca="1" si="17"/>
        <v>0.37008961400092893</v>
      </c>
      <c r="M61" s="166">
        <f ca="1">$A61+L61*Design!$B$19</f>
        <v>106.09510799805295</v>
      </c>
      <c r="N61" s="166">
        <f ca="1">K61*Design!$C$12+A61</f>
        <v>115.70028903543025</v>
      </c>
      <c r="O61" s="166">
        <f ca="1">Constants!$D$22+Constants!$D$22*Constants!$C$23/100*(N61-25)</f>
        <v>197.56023122834421</v>
      </c>
      <c r="P61" s="165">
        <f ca="1">(1-Constants!$D$20/1000000000*Design!$B$33*1000000) * ($B61+D61-C61*O61/1000) - (D61+C61*(1+($A61-25)*Constants!$C$36/100)*IF(ISBLANK(Design!$B$42),Constants!$C$6/1000,Design!$B$42/1000))</f>
        <v>7.8814848085844433</v>
      </c>
      <c r="Q61" s="115">
        <f ca="1">IF(P61&gt;Design!$C$29,Design!$C$29,P61)</f>
        <v>4.9990521327014221</v>
      </c>
      <c r="R61" s="116">
        <f>2*Design!$D$7/3</f>
        <v>1.6666666666666667</v>
      </c>
      <c r="S61" s="116">
        <f ca="1">FORECAST(R61, OFFSET(Design!$C$15:$C$17,MATCH(R61,Design!$B$15:$B$17,1)-1,0,2), OFFSET(Design!$B$15:$B$17,MATCH(R61,Design!$B$15:$B$17,1)-1,0,2))+(AB61-25)*Design!$B$18/1000</f>
        <v>0.3604510794327962</v>
      </c>
      <c r="T61" s="182">
        <f ca="1">IF(100*(Design!$C$29+S61+R61*IF(ISBLANK(Design!$B$42),Constants!$C$6,Design!$B$42)/1000*(1+Constants!$C$36/100*(AC61-25)))/($B61+S61-R61*AD61/1000)&gt;Design!$C$36,Design!$C$36,100*(Design!$C$29+S61+R61*IF(ISBLANK(Design!$B$42),Constants!$C$6,Design!$B$42)/1000*(1+Constants!$C$36/100*(AC61-25)))/($B61+S61-R61*AD61/1000))</f>
        <v>60.216530959471022</v>
      </c>
      <c r="U61" s="117">
        <f ca="1">IF(($B61-R61*IF(ISBLANK(Design!$B$42),Constants!$C$6,Design!$B$42)/1000*(1+Constants!$C$36/100*(AC61-25))-Design!$C$29)/(IF(ISBLANK(Design!$B$41),Design!$B$39,Design!$B$41)/1000000)*T61/100/(IF(ISBLANK(Design!$B$33),Design!$B$32,Design!$B$33)*1000000)&lt;0,0,($B61-R61*IF(ISBLANK(Design!$B$42),Constants!$C$6,Design!$B$42)/1000*(1+Constants!$C$36/100*(AC61-25))-Design!$C$29)/(IF(ISBLANK(Design!$B$41),Design!$B$39,Design!$B$41)/1000000)*T61/100/(IF(ISBLANK(Design!$B$33),Design!$B$32,Design!$B$33)*1000000))</f>
        <v>0.55326522394315392</v>
      </c>
      <c r="V61" s="183">
        <f>$B61*Constants!$C$21/1000+IF(ISBLANK(Design!$B$33),Design!$B$32,Design!$B$33)*1000000*Constants!$D$25/1000000000*($B61-Constants!$C$24)</f>
        <v>3.5448749999999987E-2</v>
      </c>
      <c r="W61" s="183">
        <f>$B61*R61*($B61/(Constants!$C$26*1000000000)*IF(ISBLANK(Design!$B$33),Design!$B$32,Design!$B$33)*1000000/2+$B61/(Constants!$C$27*1000000000)*IF(ISBLANK(Design!$B$33),Design!$B$32,Design!$B$33)*1000000/2)</f>
        <v>5.7247570833333289E-2</v>
      </c>
      <c r="X61" s="183">
        <f t="shared" ca="1" si="14"/>
        <v>0.31105731175501239</v>
      </c>
      <c r="Y61" s="183">
        <f>Constants!$D$25/1000000000*Constants!$C$24*IF(ISBLANK(Design!$B$33),Design!$B$32,Design!$B$33)*1000000</f>
        <v>1.0624999999999999E-2</v>
      </c>
      <c r="Z61" s="183">
        <f t="shared" ca="1" si="23"/>
        <v>0.41437863258834567</v>
      </c>
      <c r="AA61" s="183">
        <f t="shared" ca="1" si="19"/>
        <v>0.23899990598733165</v>
      </c>
      <c r="AB61" s="184">
        <f ca="1">$A61+AA61*Design!$B$19</f>
        <v>98.622994641277899</v>
      </c>
      <c r="AC61" s="184">
        <f ca="1">Z61*Design!$C$12+$A61</f>
        <v>99.088873508003758</v>
      </c>
      <c r="AD61" s="184">
        <f ca="1">Constants!$D$22+Constants!$D$22*Constants!$C$23/100*(AC61-25)</f>
        <v>184.27109880640302</v>
      </c>
      <c r="AE61" s="183">
        <f ca="1">(1-Constants!$D$20/1000000000*Design!$B$33*1000000) * ($B61+S61-R61*AD61/1000) - (S61+R61*(1+($A61-25)*Constants!$C$36/100)*IF(ISBLANK(Design!$B$42),Constants!$C$6/1000,Design!$B$42/1000))</f>
        <v>8.1008507101990865</v>
      </c>
      <c r="AF61" s="117">
        <f ca="1">IF(AE61&gt;Design!$C$29,Design!$C$29,AE61)</f>
        <v>4.9990521327014221</v>
      </c>
      <c r="AG61" s="118">
        <f>Design!$D$7/3</f>
        <v>0.83333333333333337</v>
      </c>
      <c r="AH61" s="118">
        <f ca="1">FORECAST(AG61, OFFSET(Design!$C$15:$C$17,MATCH(AG61,Design!$B$15:$B$17,1)-1,0,2), OFFSET(Design!$B$15:$B$17,MATCH(AG61,Design!$B$15:$B$17,1)-1,0,2))+(AQ61-25)*Design!$B$18/1000</f>
        <v>0.30327146215294115</v>
      </c>
      <c r="AI61" s="194">
        <f ca="1">IF(100*(Design!$C$29+AH61+AG61*IF(ISBLANK(Design!$B$42),Constants!$C$6,Design!$B$42)/1000*(1+Constants!$C$36/100*(AR61-25)))/($B61+AH61-AG61*AS61/1000)&gt;Design!$C$36,Design!$C$36,100*(Design!$C$29+AH61+AG61*IF(ISBLANK(Design!$B$42),Constants!$C$6,Design!$B$42)/1000*(1+Constants!$C$36/100*(AR61-25)))/($B61+AH61-AG61*AS61/1000))</f>
        <v>58.433647019108349</v>
      </c>
      <c r="AJ61" s="119">
        <f ca="1">IF(($B61-AG61*IF(ISBLANK(Design!$B$42),Constants!$C$6,Design!$B$42)/1000*(1+Constants!$C$36/100*(AR61-25))-Design!$C$29)/(IF(ISBLANK(Design!$B$41),Design!$B$39,Design!$B$41)/1000000)*AI61/100/(IF(ISBLANK(Design!$B$33),Design!$B$32,Design!$B$33)*1000000)&lt;0,0,($B61-AG61*IF(ISBLANK(Design!$B$42),Constants!$C$6,Design!$B$42)/1000*(1+Constants!$C$36/100*(AR61-25))-Design!$C$29)/(IF(ISBLANK(Design!$B$41),Design!$B$39,Design!$B$41)/1000000)*AI61/100/(IF(ISBLANK(Design!$B$33),Design!$B$32,Design!$B$33)*1000000))</f>
        <v>0.54296414239750768</v>
      </c>
      <c r="AK61" s="195">
        <f>$B61*Constants!$C$21/1000+IF(ISBLANK(Design!$B$33),Design!$B$32,Design!$B$33)*1000000*Constants!$D$25/1000000000*($B61-Constants!$C$24)</f>
        <v>3.5448749999999987E-2</v>
      </c>
      <c r="AL61" s="195">
        <f>$B61*AG61*($B61/(Constants!$C$26*1000000000)*IF(ISBLANK(Design!$B$33),Design!$B$32,Design!$B$33)*1000000/2+$B61/(Constants!$C$27*1000000000)*IF(ISBLANK(Design!$B$33),Design!$B$32,Design!$B$33)*1000000/2)</f>
        <v>2.8623785416666644E-2</v>
      </c>
      <c r="AM61" s="195">
        <f t="shared" ca="1" si="15"/>
        <v>7.4388818606826321E-2</v>
      </c>
      <c r="AN61" s="195">
        <f>Constants!$D$25/1000000000*Constants!$C$24*IF(ISBLANK(Design!$B$33),Design!$B$32,Design!$B$33)*1000000</f>
        <v>1.0624999999999999E-2</v>
      </c>
      <c r="AO61" s="195">
        <f t="shared" ca="1" si="24"/>
        <v>0.14908635402349296</v>
      </c>
      <c r="AP61" s="195">
        <f t="shared" ca="1" si="21"/>
        <v>0.10504907204066896</v>
      </c>
      <c r="AQ61" s="196">
        <f ca="1">$A61+AP61*Design!$B$19</f>
        <v>90.987797106318126</v>
      </c>
      <c r="AR61" s="196">
        <f ca="1">AO61*Design!$C$12+$A61</f>
        <v>90.06893603679876</v>
      </c>
      <c r="AS61" s="196">
        <f ca="1">Constants!$D$22+Constants!$D$22*Constants!$C$23/100*(AR61-25)</f>
        <v>177.05514882943902</v>
      </c>
      <c r="AT61" s="195">
        <f ca="1">(1-Constants!$D$20/1000000000*Design!$B$33*1000000) * ($B61+AH61-AG61*AS61/1000) - (AH61+AG61*(1+($A61-25)*Constants!$C$36/100)*IF(ISBLANK(Design!$B$42),Constants!$C$6/1000,Design!$B$42/1000))</f>
        <v>8.2959593751688701</v>
      </c>
      <c r="AU61" s="119">
        <f ca="1">IF(AT61&gt;Design!$C$29,Design!$C$29,AT61)</f>
        <v>4.9990521327014221</v>
      </c>
    </row>
    <row r="62" spans="1:47" ht="12.75" customHeight="1">
      <c r="A62" s="112">
        <f>Design!$D$13</f>
        <v>85</v>
      </c>
      <c r="B62" s="113">
        <f t="shared" si="12"/>
        <v>8.7749999999999968</v>
      </c>
      <c r="C62" s="114">
        <f>Design!$D$7</f>
        <v>2.5</v>
      </c>
      <c r="D62" s="114">
        <f ca="1">FORECAST(C62, OFFSET(Design!$C$15:$C$17,MATCH(C62,Design!$B$15:$B$17,1)-1,0,2), OFFSET(Design!$B$15:$B$17,MATCH(C62,Design!$B$15:$B$17,1)-1,0,2))+(M62-25)*Design!$B$18/1000</f>
        <v>0.39222963890420609</v>
      </c>
      <c r="E62" s="173">
        <f ca="1">IF(100*(Design!$C$29+D62+C62*IF(ISBLANK(Design!$B$42),Constants!$C$6,Design!$B$42)/1000*(1+Constants!$C$36/100*(N62-25)))/($B62+D62-C62*O62/1000)&gt;Design!$C$36,Design!$C$36,100*(Design!$C$29+D62+C62*IF(ISBLANK(Design!$B$42),Constants!$C$6,Design!$B$42)/1000*(1+Constants!$C$36/100*(N62-25)))/($B62+D62-C62*O62/1000))</f>
        <v>63.733452566699</v>
      </c>
      <c r="F62" s="115">
        <f ca="1">IF(($B62-C62*IF(ISBLANK(Design!$B$42),Constants!$C$6,Design!$B$42)/1000*(1+Constants!$C$36/100*(N62-25))-Design!$C$29)/(IF(ISBLANK(Design!$B$41),Design!$B$39,Design!$B$41)/1000000)*E62/100/(IF(ISBLANK(Design!$B$33),Design!$B$32,Design!$B$33)*1000000)&lt;0,0,($B62-C62*IF(ISBLANK(Design!$B$42),Constants!$C$6,Design!$B$42)/1000*(1+Constants!$C$36/100*(N62-25))-Design!$C$29)/(IF(ISBLANK(Design!$B$41),Design!$B$39,Design!$B$41)/1000000)*E62/100/(IF(ISBLANK(Design!$B$33),Design!$B$32,Design!$B$33)*1000000))</f>
        <v>0.54587238411069483</v>
      </c>
      <c r="G62" s="165">
        <f>B62*Constants!$C$21/1000+IF(ISBLANK(Design!$B$33),Design!$B$32,Design!$B$33)*1000000*Constants!$D$25/1000000000*(B62-Constants!$C$24)</f>
        <v>3.4346874999999985E-2</v>
      </c>
      <c r="H62" s="165">
        <f>B62*C62*(B62/(Constants!$C$26*1000000000)*IF(ISBLANK(Design!$B$33),Design!$B$32,Design!$B$33)*1000000/2+B62/(Constants!$C$27*1000000000)*IF(ISBLANK(Design!$B$33),Design!$B$32,Design!$B$33)*1000000/2)</f>
        <v>8.1813164062499943E-2</v>
      </c>
      <c r="I62" s="165">
        <f t="shared" ca="1" si="13"/>
        <v>0.79177426933829709</v>
      </c>
      <c r="J62" s="165">
        <f>Constants!$D$25/1000000000*Constants!$C$24*IF(ISBLANK(Design!$B$33),Design!$B$32,Design!$B$33)*1000000</f>
        <v>1.0624999999999999E-2</v>
      </c>
      <c r="K62" s="165">
        <f t="shared" ca="1" si="22"/>
        <v>0.91855930840079703</v>
      </c>
      <c r="L62" s="165">
        <f t="shared" ca="1" si="17"/>
        <v>0.35562037010164782</v>
      </c>
      <c r="M62" s="166">
        <f ca="1">$A62+L62*Design!$B$19</f>
        <v>105.27036109579393</v>
      </c>
      <c r="N62" s="166">
        <f ca="1">K62*Design!$C$12+A62</f>
        <v>116.23101648562709</v>
      </c>
      <c r="O62" s="166">
        <f ca="1">Constants!$D$22+Constants!$D$22*Constants!$C$23/100*(N62-25)</f>
        <v>197.98481318850168</v>
      </c>
      <c r="P62" s="165">
        <f ca="1">(1-Constants!$D$20/1000000000*Design!$B$33*1000000) * ($B62+D62-C62*O62/1000) - (D62+C62*(1+($A62-25)*Constants!$C$36/100)*IF(ISBLANK(Design!$B$42),Constants!$C$6/1000,Design!$B$42/1000))</f>
        <v>7.6773151818009486</v>
      </c>
      <c r="Q62" s="115">
        <f ca="1">IF(P62&gt;Design!$C$29,Design!$C$29,P62)</f>
        <v>4.9990521327014221</v>
      </c>
      <c r="R62" s="116">
        <f>2*Design!$D$7/3</f>
        <v>1.6666666666666667</v>
      </c>
      <c r="S62" s="116">
        <f ca="1">FORECAST(R62, OFFSET(Design!$C$15:$C$17,MATCH(R62,Design!$B$15:$B$17,1)-1,0,2), OFFSET(Design!$B$15:$B$17,MATCH(R62,Design!$B$15:$B$17,1)-1,0,2))+(AB62-25)*Design!$B$18/1000</f>
        <v>0.36093682603857635</v>
      </c>
      <c r="T62" s="182">
        <f ca="1">IF(100*(Design!$C$29+S62+R62*IF(ISBLANK(Design!$B$42),Constants!$C$6,Design!$B$42)/1000*(1+Constants!$C$36/100*(AC62-25)))/($B62+S62-R62*AD62/1000)&gt;Design!$C$36,Design!$C$36,100*(Design!$C$29+S62+R62*IF(ISBLANK(Design!$B$42),Constants!$C$6,Design!$B$42)/1000*(1+Constants!$C$36/100*(AC62-25)))/($B62+S62-R62*AD62/1000))</f>
        <v>61.68669654907638</v>
      </c>
      <c r="U62" s="117">
        <f ca="1">IF(($B62-R62*IF(ISBLANK(Design!$B$42),Constants!$C$6,Design!$B$42)/1000*(1+Constants!$C$36/100*(AC62-25))-Design!$C$29)/(IF(ISBLANK(Design!$B$41),Design!$B$39,Design!$B$41)/1000000)*T62/100/(IF(ISBLANK(Design!$B$33),Design!$B$32,Design!$B$33)*1000000)&lt;0,0,($B62-R62*IF(ISBLANK(Design!$B$42),Constants!$C$6,Design!$B$42)/1000*(1+Constants!$C$36/100*(AC62-25))-Design!$C$29)/(IF(ISBLANK(Design!$B$41),Design!$B$39,Design!$B$41)/1000000)*T62/100/(IF(ISBLANK(Design!$B$33),Design!$B$32,Design!$B$33)*1000000))</f>
        <v>0.53556189987719083</v>
      </c>
      <c r="V62" s="183">
        <f>$B62*Constants!$C$21/1000+IF(ISBLANK(Design!$B$33),Design!$B$32,Design!$B$33)*1000000*Constants!$D$25/1000000000*($B62-Constants!$C$24)</f>
        <v>3.4346874999999985E-2</v>
      </c>
      <c r="W62" s="183">
        <f>$B62*R62*($B62/(Constants!$C$26*1000000000)*IF(ISBLANK(Design!$B$33),Design!$B$32,Design!$B$33)*1000000/2+$B62/(Constants!$C$27*1000000000)*IF(ISBLANK(Design!$B$33),Design!$B$32,Design!$B$33)*1000000/2)</f>
        <v>5.454210937499996E-2</v>
      </c>
      <c r="X62" s="183">
        <f t="shared" ca="1" si="14"/>
        <v>0.31864687346358816</v>
      </c>
      <c r="Y62" s="183">
        <f>Constants!$D$25/1000000000*Constants!$C$24*IF(ISBLANK(Design!$B$33),Design!$B$32,Design!$B$33)*1000000</f>
        <v>1.0624999999999999E-2</v>
      </c>
      <c r="Z62" s="183">
        <f t="shared" ca="1" si="23"/>
        <v>0.41816085783858814</v>
      </c>
      <c r="AA62" s="183">
        <f t="shared" ca="1" si="19"/>
        <v>0.23047803571048678</v>
      </c>
      <c r="AB62" s="184">
        <f ca="1">$A62+AA62*Design!$B$19</f>
        <v>98.137248035497748</v>
      </c>
      <c r="AC62" s="184">
        <f ca="1">Z62*Design!$C$12+$A62</f>
        <v>99.217469166511989</v>
      </c>
      <c r="AD62" s="184">
        <f ca="1">Constants!$D$22+Constants!$D$22*Constants!$C$23/100*(AC62-25)</f>
        <v>184.37397533320959</v>
      </c>
      <c r="AE62" s="183">
        <f ca="1">(1-Constants!$D$20/1000000000*Design!$B$33*1000000) * ($B62+S62-R62*AD62/1000) - (S62+R62*(1+($A62-25)*Constants!$C$36/100)*IF(ISBLANK(Design!$B$42),Constants!$C$6/1000,Design!$B$42/1000))</f>
        <v>7.8975406350346162</v>
      </c>
      <c r="AF62" s="117">
        <f ca="1">IF(AE62&gt;Design!$C$29,Design!$C$29,AE62)</f>
        <v>4.9990521327014221</v>
      </c>
      <c r="AG62" s="118">
        <f>Design!$D$7/3</f>
        <v>0.83333333333333337</v>
      </c>
      <c r="AH62" s="118">
        <f ca="1">FORECAST(AG62, OFFSET(Design!$C$15:$C$17,MATCH(AG62,Design!$B$15:$B$17,1)-1,0,2), OFFSET(Design!$B$15:$B$17,MATCH(AG62,Design!$B$15:$B$17,1)-1,0,2))+(AQ62-25)*Design!$B$18/1000</f>
        <v>0.3034704184374829</v>
      </c>
      <c r="AI62" s="194">
        <f ca="1">IF(100*(Design!$C$29+AH62+AG62*IF(ISBLANK(Design!$B$42),Constants!$C$6,Design!$B$42)/1000*(1+Constants!$C$36/100*(AR62-25)))/($B62+AH62-AG62*AS62/1000)&gt;Design!$C$36,Design!$C$36,100*(Design!$C$29+AH62+AG62*IF(ISBLANK(Design!$B$42),Constants!$C$6,Design!$B$42)/1000*(1+Constants!$C$36/100*(AR62-25)))/($B62+AH62-AG62*AS62/1000))</f>
        <v>59.841116074008589</v>
      </c>
      <c r="AJ62" s="119">
        <f ca="1">IF(($B62-AG62*IF(ISBLANK(Design!$B$42),Constants!$C$6,Design!$B$42)/1000*(1+Constants!$C$36/100*(AR62-25))-Design!$C$29)/(IF(ISBLANK(Design!$B$41),Design!$B$39,Design!$B$41)/1000000)*AI62/100/(IF(ISBLANK(Design!$B$33),Design!$B$32,Design!$B$33)*1000000)&lt;0,0,($B62-AG62*IF(ISBLANK(Design!$B$42),Constants!$C$6,Design!$B$42)/1000*(1+Constants!$C$36/100*(AR62-25))-Design!$C$29)/(IF(ISBLANK(Design!$B$41),Design!$B$39,Design!$B$41)/1000000)*AI62/100/(IF(ISBLANK(Design!$B$33),Design!$B$32,Design!$B$33)*1000000))</f>
        <v>0.52577027235107321</v>
      </c>
      <c r="AK62" s="195">
        <f>$B62*Constants!$C$21/1000+IF(ISBLANK(Design!$B$33),Design!$B$32,Design!$B$33)*1000000*Constants!$D$25/1000000000*($B62-Constants!$C$24)</f>
        <v>3.4346874999999985E-2</v>
      </c>
      <c r="AL62" s="195">
        <f>$B62*AG62*($B62/(Constants!$C$26*1000000000)*IF(ISBLANK(Design!$B$33),Design!$B$32,Design!$B$33)*1000000/2+$B62/(Constants!$C$27*1000000000)*IF(ISBLANK(Design!$B$33),Design!$B$32,Design!$B$33)*1000000/2)</f>
        <v>2.727105468749998E-2</v>
      </c>
      <c r="AM62" s="195">
        <f t="shared" ca="1" si="15"/>
        <v>7.6008599837695492E-2</v>
      </c>
      <c r="AN62" s="195">
        <f>Constants!$D$25/1000000000*Constants!$C$24*IF(ISBLANK(Design!$B$33),Design!$B$32,Design!$B$33)*1000000</f>
        <v>1.0624999999999999E-2</v>
      </c>
      <c r="AO62" s="195">
        <f t="shared" ca="1" si="24"/>
        <v>0.14825152952519544</v>
      </c>
      <c r="AP62" s="195">
        <f t="shared" ca="1" si="21"/>
        <v>0.10155861090835767</v>
      </c>
      <c r="AQ62" s="196">
        <f ca="1">$A62+AP62*Design!$B$19</f>
        <v>90.78884082177639</v>
      </c>
      <c r="AR62" s="196">
        <f ca="1">AO62*Design!$C$12+$A62</f>
        <v>90.040552003856646</v>
      </c>
      <c r="AS62" s="196">
        <f ca="1">Constants!$D$22+Constants!$D$22*Constants!$C$23/100*(AR62-25)</f>
        <v>177.03244160308532</v>
      </c>
      <c r="AT62" s="195">
        <f ca="1">(1-Constants!$D$20/1000000000*Design!$B$33*1000000) * ($B62+AH62-AG62*AS62/1000) - (AH62+AG62*(1+($A62-25)*Constants!$C$36/100)*IF(ISBLANK(Design!$B$42),Constants!$C$6/1000,Design!$B$42/1000))</f>
        <v>8.0928450100442291</v>
      </c>
      <c r="AU62" s="119">
        <f ca="1">IF(AT62&gt;Design!$C$29,Design!$C$29,AT62)</f>
        <v>4.9990521327014221</v>
      </c>
    </row>
    <row r="63" spans="1:47" ht="12.75" customHeight="1">
      <c r="A63" s="112">
        <f>Design!$D$13</f>
        <v>85</v>
      </c>
      <c r="B63" s="113">
        <f t="shared" si="12"/>
        <v>8.5599999999999969</v>
      </c>
      <c r="C63" s="114">
        <f>Design!$D$7</f>
        <v>2.5</v>
      </c>
      <c r="D63" s="114">
        <f ca="1">FORECAST(C63, OFFSET(Design!$C$15:$C$17,MATCH(C63,Design!$B$15:$B$17,1)-1,0,2), OFFSET(Design!$B$15:$B$17,MATCH(C63,Design!$B$15:$B$17,1)-1,0,2))+(M63-25)*Design!$B$18/1000</f>
        <v>0.39310070016601473</v>
      </c>
      <c r="E63" s="173">
        <f ca="1">IF(100*(Design!$C$29+D63+C63*IF(ISBLANK(Design!$B$42),Constants!$C$6,Design!$B$42)/1000*(1+Constants!$C$36/100*(N63-25)))/($B63+D63-C63*O63/1000)&gt;Design!$C$36,Design!$C$36,100*(Design!$C$29+D63+C63*IF(ISBLANK(Design!$B$42),Constants!$C$6,Design!$B$42)/1000*(1+Constants!$C$36/100*(N63-25)))/($B63+D63-C63*O63/1000))</f>
        <v>65.368813290339318</v>
      </c>
      <c r="F63" s="115">
        <f ca="1">IF(($B63-C63*IF(ISBLANK(Design!$B$42),Constants!$C$6,Design!$B$42)/1000*(1+Constants!$C$36/100*(N63-25))-Design!$C$29)/(IF(ISBLANK(Design!$B$41),Design!$B$39,Design!$B$41)/1000000)*E63/100/(IF(ISBLANK(Design!$B$33),Design!$B$32,Design!$B$33)*1000000)&lt;0,0,($B63-C63*IF(ISBLANK(Design!$B$42),Constants!$C$6,Design!$B$42)/1000*(1+Constants!$C$36/100*(N63-25))-Design!$C$29)/(IF(ISBLANK(Design!$B$41),Design!$B$39,Design!$B$41)/1000000)*E63/100/(IF(ISBLANK(Design!$B$33),Design!$B$32,Design!$B$33)*1000000))</f>
        <v>0.52677542466321692</v>
      </c>
      <c r="G63" s="165">
        <f>B63*Constants!$C$21/1000+IF(ISBLANK(Design!$B$33),Design!$B$32,Design!$B$33)*1000000*Constants!$D$25/1000000000*(B63-Constants!$C$24)</f>
        <v>3.3244999999999983E-2</v>
      </c>
      <c r="H63" s="165">
        <f>B63*C63*(B63/(Constants!$C$26*1000000000)*IF(ISBLANK(Design!$B$33),Design!$B$32,Design!$B$33)*1000000/2+B63/(Constants!$C$27*1000000000)*IF(ISBLANK(Design!$B$33),Design!$B$32,Design!$B$33)*1000000/2)</f>
        <v>7.7853199999999942E-2</v>
      </c>
      <c r="I63" s="165">
        <f t="shared" ca="1" si="13"/>
        <v>0.81375711842039611</v>
      </c>
      <c r="J63" s="165">
        <f>Constants!$D$25/1000000000*Constants!$C$24*IF(ISBLANK(Design!$B$33),Design!$B$32,Design!$B$33)*1000000</f>
        <v>1.0624999999999999E-2</v>
      </c>
      <c r="K63" s="165">
        <f t="shared" ca="1" si="22"/>
        <v>0.93548031842039603</v>
      </c>
      <c r="L63" s="165">
        <f t="shared" ca="1" si="17"/>
        <v>0.3403385935786899</v>
      </c>
      <c r="M63" s="166">
        <f ca="1">$A63+L63*Design!$B$19</f>
        <v>104.39929983398532</v>
      </c>
      <c r="N63" s="166">
        <f ca="1">K63*Design!$C$12+A63</f>
        <v>116.80633082629346</v>
      </c>
      <c r="O63" s="166">
        <f ca="1">Constants!$D$22+Constants!$D$22*Constants!$C$23/100*(N63-25)</f>
        <v>198.44506466103479</v>
      </c>
      <c r="P63" s="165">
        <f ca="1">(1-Constants!$D$20/1000000000*Design!$B$33*1000000) * ($B63+D63-C63*O63/1000) - (D63+C63*(1+($A63-25)*Constants!$C$36/100)*IF(ISBLANK(Design!$B$42),Constants!$C$6/1000,Design!$B$42/1000))</f>
        <v>7.4730587492195424</v>
      </c>
      <c r="Q63" s="115">
        <f ca="1">IF(P63&gt;Design!$C$29,Design!$C$29,P63)</f>
        <v>4.9990521327014221</v>
      </c>
      <c r="R63" s="116">
        <f>2*Design!$D$7/3</f>
        <v>1.6666666666666667</v>
      </c>
      <c r="S63" s="116">
        <f ca="1">FORECAST(R63, OFFSET(Design!$C$15:$C$17,MATCH(R63,Design!$B$15:$B$17,1)-1,0,2), OFFSET(Design!$B$15:$B$17,MATCH(R63,Design!$B$15:$B$17,1)-1,0,2))+(AB63-25)*Design!$B$18/1000</f>
        <v>0.36144829956086716</v>
      </c>
      <c r="T63" s="182">
        <f ca="1">IF(100*(Design!$C$29+S63+R63*IF(ISBLANK(Design!$B$42),Constants!$C$6,Design!$B$42)/1000*(1+Constants!$C$36/100*(AC63-25)))/($B63+S63-R63*AD63/1000)&gt;Design!$C$36,Design!$C$36,100*(Design!$C$29+S63+R63*IF(ISBLANK(Design!$B$42),Constants!$C$6,Design!$B$42)/1000*(1+Constants!$C$36/100*(AC63-25)))/($B63+S63-R63*AD63/1000))</f>
        <v>63.230456534400133</v>
      </c>
      <c r="U63" s="117">
        <f ca="1">IF(($B63-R63*IF(ISBLANK(Design!$B$42),Constants!$C$6,Design!$B$42)/1000*(1+Constants!$C$36/100*(AC63-25))-Design!$C$29)/(IF(ISBLANK(Design!$B$41),Design!$B$39,Design!$B$41)/1000000)*T63/100/(IF(ISBLANK(Design!$B$33),Design!$B$32,Design!$B$33)*1000000)&lt;0,0,($B63-R63*IF(ISBLANK(Design!$B$42),Constants!$C$6,Design!$B$42)/1000*(1+Constants!$C$36/100*(AC63-25))-Design!$C$29)/(IF(ISBLANK(Design!$B$41),Design!$B$39,Design!$B$41)/1000000)*T63/100/(IF(ISBLANK(Design!$B$33),Design!$B$32,Design!$B$33)*1000000))</f>
        <v>0.51697197333300382</v>
      </c>
      <c r="V63" s="183">
        <f>$B63*Constants!$C$21/1000+IF(ISBLANK(Design!$B$33),Design!$B$32,Design!$B$33)*1000000*Constants!$D$25/1000000000*($B63-Constants!$C$24)</f>
        <v>3.3244999999999983E-2</v>
      </c>
      <c r="W63" s="183">
        <f>$B63*R63*($B63/(Constants!$C$26*1000000000)*IF(ISBLANK(Design!$B$33),Design!$B$32,Design!$B$33)*1000000/2+$B63/(Constants!$C$27*1000000000)*IF(ISBLANK(Design!$B$33),Design!$B$32,Design!$B$33)*1000000/2)</f>
        <v>5.1902133333333295E-2</v>
      </c>
      <c r="X63" s="183">
        <f t="shared" ca="1" si="14"/>
        <v>0.32663570473130921</v>
      </c>
      <c r="Y63" s="183">
        <f>Constants!$D$25/1000000000*Constants!$C$24*IF(ISBLANK(Design!$B$33),Design!$B$32,Design!$B$33)*1000000</f>
        <v>1.0624999999999999E-2</v>
      </c>
      <c r="Z63" s="183">
        <f t="shared" ca="1" si="23"/>
        <v>0.42240783806464249</v>
      </c>
      <c r="AA63" s="183">
        <f t="shared" ca="1" si="19"/>
        <v>0.22150481602117444</v>
      </c>
      <c r="AB63" s="184">
        <f ca="1">$A63+AA63*Design!$B$19</f>
        <v>97.625774513206949</v>
      </c>
      <c r="AC63" s="184">
        <f ca="1">Z63*Design!$C$12+$A63</f>
        <v>99.361866494197841</v>
      </c>
      <c r="AD63" s="184">
        <f ca="1">Constants!$D$22+Constants!$D$22*Constants!$C$23/100*(AC63-25)</f>
        <v>184.48949319535828</v>
      </c>
      <c r="AE63" s="183">
        <f ca="1">(1-Constants!$D$20/1000000000*Design!$B$33*1000000) * ($B63+S63-R63*AD63/1000) - (S63+R63*(1+($A63-25)*Constants!$C$36/100)*IF(ISBLANK(Design!$B$42),Constants!$C$6/1000,Design!$B$42/1000))</f>
        <v>7.6942092336220682</v>
      </c>
      <c r="AF63" s="117">
        <f ca="1">IF(AE63&gt;Design!$C$29,Design!$C$29,AE63)</f>
        <v>4.9990521327014221</v>
      </c>
      <c r="AG63" s="118">
        <f>Design!$D$7/3</f>
        <v>0.83333333333333337</v>
      </c>
      <c r="AH63" s="118">
        <f ca="1">FORECAST(AG63, OFFSET(Design!$C$15:$C$17,MATCH(AG63,Design!$B$15:$B$17,1)-1,0,2), OFFSET(Design!$B$15:$B$17,MATCH(AG63,Design!$B$15:$B$17,1)-1,0,2))+(AQ63-25)*Design!$B$18/1000</f>
        <v>0.30367947053983807</v>
      </c>
      <c r="AI63" s="194">
        <f ca="1">IF(100*(Design!$C$29+AH63+AG63*IF(ISBLANK(Design!$B$42),Constants!$C$6,Design!$B$42)/1000*(1+Constants!$C$36/100*(AR63-25)))/($B63+AH63-AG63*AS63/1000)&gt;Design!$C$36,Design!$C$36,100*(Design!$C$29+AH63+AG63*IF(ISBLANK(Design!$B$42),Constants!$C$6,Design!$B$42)/1000*(1+Constants!$C$36/100*(AR63-25)))/($B63+AH63-AG63*AS63/1000))</f>
        <v>61.318018636715422</v>
      </c>
      <c r="AJ63" s="119">
        <f ca="1">IF(($B63-AG63*IF(ISBLANK(Design!$B$42),Constants!$C$6,Design!$B$42)/1000*(1+Constants!$C$36/100*(AR63-25))-Design!$C$29)/(IF(ISBLANK(Design!$B$41),Design!$B$39,Design!$B$41)/1000000)*AI63/100/(IF(ISBLANK(Design!$B$33),Design!$B$32,Design!$B$33)*1000000)&lt;0,0,($B63-AG63*IF(ISBLANK(Design!$B$42),Constants!$C$6,Design!$B$42)/1000*(1+Constants!$C$36/100*(AR63-25))-Design!$C$29)/(IF(ISBLANK(Design!$B$41),Design!$B$39,Design!$B$41)/1000000)*AI63/100/(IF(ISBLANK(Design!$B$33),Design!$B$32,Design!$B$33)*1000000))</f>
        <v>0.507727253172223</v>
      </c>
      <c r="AK63" s="195">
        <f>$B63*Constants!$C$21/1000+IF(ISBLANK(Design!$B$33),Design!$B$32,Design!$B$33)*1000000*Constants!$D$25/1000000000*($B63-Constants!$C$24)</f>
        <v>3.3244999999999983E-2</v>
      </c>
      <c r="AL63" s="195">
        <f>$B63*AG63*($B63/(Constants!$C$26*1000000000)*IF(ISBLANK(Design!$B$33),Design!$B$32,Design!$B$33)*1000000/2+$B63/(Constants!$C$27*1000000000)*IF(ISBLANK(Design!$B$33),Design!$B$32,Design!$B$33)*1000000/2)</f>
        <v>2.5951066666666647E-2</v>
      </c>
      <c r="AM63" s="195">
        <f t="shared" ca="1" si="15"/>
        <v>7.7707200415794028E-2</v>
      </c>
      <c r="AN63" s="195">
        <f>Constants!$D$25/1000000000*Constants!$C$24*IF(ISBLANK(Design!$B$33),Design!$B$32,Design!$B$33)*1000000</f>
        <v>1.0624999999999999E-2</v>
      </c>
      <c r="AO63" s="195">
        <f t="shared" ca="1" si="24"/>
        <v>0.14752826708246064</v>
      </c>
      <c r="AP63" s="195">
        <f t="shared" ca="1" si="21"/>
        <v>9.789103016528454E-2</v>
      </c>
      <c r="AQ63" s="196">
        <f ca="1">$A63+AP63*Design!$B$19</f>
        <v>90.579788719421217</v>
      </c>
      <c r="AR63" s="196">
        <f ca="1">AO63*Design!$C$12+$A63</f>
        <v>90.015961080803663</v>
      </c>
      <c r="AS63" s="196">
        <f ca="1">Constants!$D$22+Constants!$D$22*Constants!$C$23/100*(AR63-25)</f>
        <v>177.01276886464294</v>
      </c>
      <c r="AT63" s="195">
        <f ca="1">(1-Constants!$D$20/1000000000*Design!$B$33*1000000) * ($B63+AH63-AG63*AS63/1000) - (AH63+AG63*(1+($A63-25)*Constants!$C$36/100)*IF(ISBLANK(Design!$B$42),Constants!$C$6/1000,Design!$B$42/1000))</f>
        <v>7.8897276980986106</v>
      </c>
      <c r="AU63" s="119">
        <f ca="1">IF(AT63&gt;Design!$C$29,Design!$C$29,AT63)</f>
        <v>4.9990521327014221</v>
      </c>
    </row>
    <row r="64" spans="1:47" ht="12.75" customHeight="1">
      <c r="A64" s="112">
        <f>Design!$D$13</f>
        <v>85</v>
      </c>
      <c r="B64" s="113">
        <f t="shared" si="12"/>
        <v>8.3449999999999971</v>
      </c>
      <c r="C64" s="114">
        <f>Design!$D$7</f>
        <v>2.5</v>
      </c>
      <c r="D64" s="114">
        <f ca="1">FORECAST(C64, OFFSET(Design!$C$15:$C$17,MATCH(C64,Design!$B$15:$B$17,1)-1,0,2), OFFSET(Design!$B$15:$B$17,MATCH(C64,Design!$B$15:$B$17,1)-1,0,2))+(M64-25)*Design!$B$18/1000</f>
        <v>0.3940221072927626</v>
      </c>
      <c r="E64" s="173">
        <f ca="1">IF(100*(Design!$C$29+D64+C64*IF(ISBLANK(Design!$B$42),Constants!$C$6,Design!$B$42)/1000*(1+Constants!$C$36/100*(N64-25)))/($B64+D64-C64*O64/1000)&gt;Design!$C$36,Design!$C$36,100*(Design!$C$29+D64+C64*IF(ISBLANK(Design!$B$42),Constants!$C$6,Design!$B$42)/1000*(1+Constants!$C$36/100*(N64-25)))/($B64+D64-C64*O64/1000))</f>
        <v>67.090825588985638</v>
      </c>
      <c r="F64" s="115">
        <f ca="1">IF(($B64-C64*IF(ISBLANK(Design!$B$42),Constants!$C$6,Design!$B$42)/1000*(1+Constants!$C$36/100*(N64-25))-Design!$C$29)/(IF(ISBLANK(Design!$B$41),Design!$B$39,Design!$B$41)/1000000)*E64/100/(IF(ISBLANK(Design!$B$33),Design!$B$32,Design!$B$33)*1000000)&lt;0,0,($B64-C64*IF(ISBLANK(Design!$B$42),Constants!$C$6,Design!$B$42)/1000*(1+Constants!$C$36/100*(N64-25))-Design!$C$29)/(IF(ISBLANK(Design!$B$41),Design!$B$39,Design!$B$41)/1000000)*E64/100/(IF(ISBLANK(Design!$B$33),Design!$B$32,Design!$B$33)*1000000))</f>
        <v>0.5066735291352602</v>
      </c>
      <c r="G64" s="165">
        <f>B64*Constants!$C$21/1000+IF(ISBLANK(Design!$B$33),Design!$B$32,Design!$B$33)*1000000*Constants!$D$25/1000000000*(B64-Constants!$C$24)</f>
        <v>3.2143124999999981E-2</v>
      </c>
      <c r="H64" s="165">
        <f>B64*C64*(B64/(Constants!$C$26*1000000000)*IF(ISBLANK(Design!$B$33),Design!$B$32,Design!$B$33)*1000000/2+B64/(Constants!$C$27*1000000000)*IF(ISBLANK(Design!$B$33),Design!$B$32,Design!$B$33)*1000000/2)</f>
        <v>7.3991464062499943E-2</v>
      </c>
      <c r="I64" s="165">
        <f t="shared" ca="1" si="13"/>
        <v>0.8370625847747839</v>
      </c>
      <c r="J64" s="165">
        <f>Constants!$D$25/1000000000*Constants!$C$24*IF(ISBLANK(Design!$B$33),Design!$B$32,Design!$B$33)*1000000</f>
        <v>1.0624999999999999E-2</v>
      </c>
      <c r="K64" s="165">
        <f t="shared" ca="1" si="22"/>
        <v>0.95382217383728385</v>
      </c>
      <c r="L64" s="165">
        <f t="shared" ca="1" si="17"/>
        <v>0.32417355626732347</v>
      </c>
      <c r="M64" s="166">
        <f ca="1">$A64+L64*Design!$B$19</f>
        <v>103.47789270723743</v>
      </c>
      <c r="N64" s="166">
        <f ca="1">K64*Design!$C$12+A64</f>
        <v>117.42995391046765</v>
      </c>
      <c r="O64" s="166">
        <f ca="1">Constants!$D$22+Constants!$D$22*Constants!$C$23/100*(N64-25)</f>
        <v>198.94396312837412</v>
      </c>
      <c r="P64" s="165">
        <f ca="1">(1-Constants!$D$20/1000000000*Design!$B$33*1000000) * ($B64+D64-C64*O64/1000) - (D64+C64*(1+($A64-25)*Constants!$C$36/100)*IF(ISBLANK(Design!$B$42),Constants!$C$6/1000,Design!$B$42/1000))</f>
        <v>7.2687082556582432</v>
      </c>
      <c r="Q64" s="115">
        <f ca="1">IF(P64&gt;Design!$C$29,Design!$C$29,P64)</f>
        <v>4.9990521327014221</v>
      </c>
      <c r="R64" s="116">
        <f>2*Design!$D$7/3</f>
        <v>1.6666666666666667</v>
      </c>
      <c r="S64" s="116">
        <f ca="1">FORECAST(R64, OFFSET(Design!$C$15:$C$17,MATCH(R64,Design!$B$15:$B$17,1)-1,0,2), OFFSET(Design!$B$15:$B$17,MATCH(R64,Design!$B$15:$B$17,1)-1,0,2))+(AB64-25)*Design!$B$18/1000</f>
        <v>0.36198759824203625</v>
      </c>
      <c r="T64" s="182">
        <f ca="1">IF(100*(Design!$C$29+S64+R64*IF(ISBLANK(Design!$B$42),Constants!$C$6,Design!$B$42)/1000*(1+Constants!$C$36/100*(AC64-25)))/($B64+S64-R64*AD64/1000)&gt;Design!$C$36,Design!$C$36,100*(Design!$C$29+S64+R64*IF(ISBLANK(Design!$B$42),Constants!$C$6,Design!$B$42)/1000*(1+Constants!$C$36/100*(AC64-25)))/($B64+S64-R64*AD64/1000))</f>
        <v>64.853475089275079</v>
      </c>
      <c r="U64" s="117">
        <f ca="1">IF(($B64-R64*IF(ISBLANK(Design!$B$42),Constants!$C$6,Design!$B$42)/1000*(1+Constants!$C$36/100*(AC64-25))-Design!$C$29)/(IF(ISBLANK(Design!$B$41),Design!$B$39,Design!$B$41)/1000000)*T64/100/(IF(ISBLANK(Design!$B$33),Design!$B$32,Design!$B$33)*1000000)&lt;0,0,($B64-R64*IF(ISBLANK(Design!$B$42),Constants!$C$6,Design!$B$42)/1000*(1+Constants!$C$36/100*(AC64-25))-Design!$C$29)/(IF(ISBLANK(Design!$B$41),Design!$B$39,Design!$B$41)/1000000)*T64/100/(IF(ISBLANK(Design!$B$33),Design!$B$32,Design!$B$33)*1000000))</f>
        <v>0.49742708920590362</v>
      </c>
      <c r="V64" s="183">
        <f>$B64*Constants!$C$21/1000+IF(ISBLANK(Design!$B$33),Design!$B$32,Design!$B$33)*1000000*Constants!$D$25/1000000000*($B64-Constants!$C$24)</f>
        <v>3.2143124999999981E-2</v>
      </c>
      <c r="W64" s="183">
        <f>$B64*R64*($B64/(Constants!$C$26*1000000000)*IF(ISBLANK(Design!$B$33),Design!$B$32,Design!$B$33)*1000000/2+$B64/(Constants!$C$27*1000000000)*IF(ISBLANK(Design!$B$33),Design!$B$32,Design!$B$33)*1000000/2)</f>
        <v>4.9327642708333293E-2</v>
      </c>
      <c r="X64" s="183">
        <f t="shared" ca="1" si="14"/>
        <v>0.33505640798650571</v>
      </c>
      <c r="Y64" s="183">
        <f>Constants!$D$25/1000000000*Constants!$C$24*IF(ISBLANK(Design!$B$33),Design!$B$32,Design!$B$33)*1000000</f>
        <v>1.0624999999999999E-2</v>
      </c>
      <c r="Z64" s="183">
        <f t="shared" ca="1" si="23"/>
        <v>0.42715217569483899</v>
      </c>
      <c r="AA64" s="183">
        <f t="shared" ca="1" si="19"/>
        <v>0.21204343564978687</v>
      </c>
      <c r="AB64" s="184">
        <f ca="1">$A64+AA64*Design!$B$19</f>
        <v>97.086475832037848</v>
      </c>
      <c r="AC64" s="184">
        <f ca="1">Z64*Design!$C$12+$A64</f>
        <v>99.523173973624523</v>
      </c>
      <c r="AD64" s="184">
        <f ca="1">Constants!$D$22+Constants!$D$22*Constants!$C$23/100*(AC64-25)</f>
        <v>184.61853917889962</v>
      </c>
      <c r="AE64" s="183">
        <f ca="1">(1-Constants!$D$20/1000000000*Design!$B$33*1000000) * ($B64+S64-R64*AD64/1000) - (S64+R64*(1+($A64-25)*Constants!$C$36/100)*IF(ISBLANK(Design!$B$42),Constants!$C$6/1000,Design!$B$42/1000))</f>
        <v>7.4908549937150148</v>
      </c>
      <c r="AF64" s="117">
        <f ca="1">IF(AE64&gt;Design!$C$29,Design!$C$29,AE64)</f>
        <v>4.9990521327014221</v>
      </c>
      <c r="AG64" s="118">
        <f>Design!$D$7/3</f>
        <v>0.83333333333333337</v>
      </c>
      <c r="AH64" s="118">
        <f ca="1">FORECAST(AG64, OFFSET(Design!$C$15:$C$17,MATCH(AG64,Design!$B$15:$B$17,1)-1,0,2), OFFSET(Design!$B$15:$B$17,MATCH(AG64,Design!$B$15:$B$17,1)-1,0,2))+(AQ64-25)*Design!$B$18/1000</f>
        <v>0.30389940626018913</v>
      </c>
      <c r="AI64" s="194">
        <f ca="1">IF(100*(Design!$C$29+AH64+AG64*IF(ISBLANK(Design!$B$42),Constants!$C$6,Design!$B$42)/1000*(1+Constants!$C$36/100*(AR64-25)))/($B64+AH64-AG64*AS64/1000)&gt;Design!$C$36,Design!$C$36,100*(Design!$C$29+AH64+AG64*IF(ISBLANK(Design!$B$42),Constants!$C$6,Design!$B$42)/1000*(1+Constants!$C$36/100*(AR64-25)))/($B64+AH64-AG64*AS64/1000))</f>
        <v>62.869617978084726</v>
      </c>
      <c r="AJ64" s="119">
        <f ca="1">IF(($B64-AG64*IF(ISBLANK(Design!$B$42),Constants!$C$6,Design!$B$42)/1000*(1+Constants!$C$36/100*(AR64-25))-Design!$C$29)/(IF(ISBLANK(Design!$B$41),Design!$B$39,Design!$B$41)/1000000)*AI64/100/(IF(ISBLANK(Design!$B$33),Design!$B$32,Design!$B$33)*1000000)&lt;0,0,($B64-AG64*IF(ISBLANK(Design!$B$42),Constants!$C$6,Design!$B$42)/1000*(1+Constants!$C$36/100*(AR64-25))-Design!$C$29)/(IF(ISBLANK(Design!$B$41),Design!$B$39,Design!$B$41)/1000000)*AI64/100/(IF(ISBLANK(Design!$B$33),Design!$B$32,Design!$B$33)*1000000))</f>
        <v>0.48877062006972882</v>
      </c>
      <c r="AK64" s="195">
        <f>$B64*Constants!$C$21/1000+IF(ISBLANK(Design!$B$33),Design!$B$32,Design!$B$33)*1000000*Constants!$D$25/1000000000*($B64-Constants!$C$24)</f>
        <v>3.2143124999999981E-2</v>
      </c>
      <c r="AL64" s="195">
        <f>$B64*AG64*($B64/(Constants!$C$26*1000000000)*IF(ISBLANK(Design!$B$33),Design!$B$32,Design!$B$33)*1000000/2+$B64/(Constants!$C$27*1000000000)*IF(ISBLANK(Design!$B$33),Design!$B$32,Design!$B$33)*1000000/2)</f>
        <v>2.4663821354166646E-2</v>
      </c>
      <c r="AM64" s="195">
        <f t="shared" ca="1" si="15"/>
        <v>7.9490931534216505E-2</v>
      </c>
      <c r="AN64" s="195">
        <f>Constants!$D$25/1000000000*Constants!$C$24*IF(ISBLANK(Design!$B$33),Design!$B$32,Design!$B$33)*1000000</f>
        <v>1.0624999999999999E-2</v>
      </c>
      <c r="AO64" s="195">
        <f t="shared" ca="1" si="24"/>
        <v>0.14692287788838312</v>
      </c>
      <c r="AP64" s="195">
        <f t="shared" ca="1" si="21"/>
        <v>9.4032508755617111E-2</v>
      </c>
      <c r="AQ64" s="196">
        <f ca="1">$A64+AP64*Design!$B$19</f>
        <v>90.359852999070171</v>
      </c>
      <c r="AR64" s="196">
        <f ca="1">AO64*Design!$C$12+$A64</f>
        <v>89.995377848205024</v>
      </c>
      <c r="AS64" s="196">
        <f ca="1">Constants!$D$22+Constants!$D$22*Constants!$C$23/100*(AR64-25)</f>
        <v>176.99630227856403</v>
      </c>
      <c r="AT64" s="195">
        <f ca="1">(1-Constants!$D$20/1000000000*Design!$B$33*1000000) * ($B64+AH64-AG64*AS64/1000) - (AH64+AG64*(1+($A64-25)*Constants!$C$36/100)*IF(ISBLANK(Design!$B$42),Constants!$C$6/1000,Design!$B$42/1000))</f>
        <v>7.6866072606560616</v>
      </c>
      <c r="AU64" s="119">
        <f ca="1">IF(AT64&gt;Design!$C$29,Design!$C$29,AT64)</f>
        <v>4.9990521327014221</v>
      </c>
    </row>
    <row r="65" spans="1:47" ht="12.75" customHeight="1">
      <c r="A65" s="112">
        <f>Design!$D$13</f>
        <v>85</v>
      </c>
      <c r="B65" s="113">
        <f t="shared" si="12"/>
        <v>8.1299999999999972</v>
      </c>
      <c r="C65" s="114">
        <f>Design!$D$7</f>
        <v>2.5</v>
      </c>
      <c r="D65" s="114">
        <f ca="1">FORECAST(C65, OFFSET(Design!$C$15:$C$17,MATCH(C65,Design!$B$15:$B$17,1)-1,0,2), OFFSET(Design!$B$15:$B$17,MATCH(C65,Design!$B$15:$B$17,1)-1,0,2))+(M65-25)*Design!$B$18/1000</f>
        <v>0.39499837617781686</v>
      </c>
      <c r="E65" s="173">
        <f ca="1">IF(100*(Design!$C$29+D65+C65*IF(ISBLANK(Design!$B$42),Constants!$C$6,Design!$B$42)/1000*(1+Constants!$C$36/100*(N65-25)))/($B65+D65-C65*O65/1000)&gt;Design!$C$36,Design!$C$36,100*(Design!$C$29+D65+C65*IF(ISBLANK(Design!$B$42),Constants!$C$6,Design!$B$42)/1000*(1+Constants!$C$36/100*(N65-25)))/($B65+D65-C65*O65/1000))</f>
        <v>68.906603116778072</v>
      </c>
      <c r="F65" s="115">
        <f ca="1">IF(($B65-C65*IF(ISBLANK(Design!$B$42),Constants!$C$6,Design!$B$42)/1000*(1+Constants!$C$36/100*(N65-25))-Design!$C$29)/(IF(ISBLANK(Design!$B$41),Design!$B$39,Design!$B$41)/1000000)*E65/100/(IF(ISBLANK(Design!$B$33),Design!$B$32,Design!$B$33)*1000000)&lt;0,0,($B65-C65*IF(ISBLANK(Design!$B$42),Constants!$C$6,Design!$B$42)/1000*(1+Constants!$C$36/100*(N65-25))-Design!$C$29)/(IF(ISBLANK(Design!$B$41),Design!$B$39,Design!$B$41)/1000000)*E65/100/(IF(ISBLANK(Design!$B$33),Design!$B$32,Design!$B$33)*1000000))</f>
        <v>0.48548466306442745</v>
      </c>
      <c r="G65" s="165">
        <f>B65*Constants!$C$21/1000+IF(ISBLANK(Design!$B$33),Design!$B$32,Design!$B$33)*1000000*Constants!$D$25/1000000000*(B65-Constants!$C$24)</f>
        <v>3.1041249999999989E-2</v>
      </c>
      <c r="H65" s="165">
        <f>B65*C65*(B65/(Constants!$C$26*1000000000)*IF(ISBLANK(Design!$B$33),Design!$B$32,Design!$B$33)*1000000/2+B65/(Constants!$C$27*1000000000)*IF(ISBLANK(Design!$B$33),Design!$B$32,Design!$B$33)*1000000/2)</f>
        <v>7.0227956249999945E-2</v>
      </c>
      <c r="I65" s="165">
        <f t="shared" ca="1" si="13"/>
        <v>0.86181385765276952</v>
      </c>
      <c r="J65" s="165">
        <f>Constants!$D$25/1000000000*Constants!$C$24*IF(ISBLANK(Design!$B$33),Design!$B$32,Design!$B$33)*1000000</f>
        <v>1.0624999999999999E-2</v>
      </c>
      <c r="K65" s="165">
        <f t="shared" ca="1" si="22"/>
        <v>0.97370806390276943</v>
      </c>
      <c r="L65" s="165">
        <f t="shared" ca="1" si="17"/>
        <v>0.3070460319681263</v>
      </c>
      <c r="M65" s="166">
        <f ca="1">$A65+L65*Design!$B$19</f>
        <v>102.50162382218321</v>
      </c>
      <c r="N65" s="166">
        <f ca="1">K65*Design!$C$12+A65</f>
        <v>118.10607417269415</v>
      </c>
      <c r="O65" s="166">
        <f ca="1">Constants!$D$22+Constants!$D$22*Constants!$C$23/100*(N65-25)</f>
        <v>199.48485933815533</v>
      </c>
      <c r="P65" s="165">
        <f ca="1">(1-Constants!$D$20/1000000000*Design!$B$33*1000000) * ($B65+D65-C65*O65/1000) - (D65+C65*(1+($A65-25)*Constants!$C$36/100)*IF(ISBLANK(Design!$B$42),Constants!$C$6/1000,Design!$B$42/1000))</f>
        <v>7.0642555375668676</v>
      </c>
      <c r="Q65" s="115">
        <f ca="1">IF(P65&gt;Design!$C$29,Design!$C$29,P65)</f>
        <v>4.9990521327014221</v>
      </c>
      <c r="R65" s="116">
        <f>2*Design!$D$7/3</f>
        <v>1.6666666666666667</v>
      </c>
      <c r="S65" s="116">
        <f ca="1">FORECAST(R65, OFFSET(Design!$C$15:$C$17,MATCH(R65,Design!$B$15:$B$17,1)-1,0,2), OFFSET(Design!$B$15:$B$17,MATCH(R65,Design!$B$15:$B$17,1)-1,0,2))+(AB65-25)*Design!$B$18/1000</f>
        <v>0.36255705475748162</v>
      </c>
      <c r="T65" s="182">
        <f ca="1">IF(100*(Design!$C$29+S65+R65*IF(ISBLANK(Design!$B$42),Constants!$C$6,Design!$B$42)/1000*(1+Constants!$C$36/100*(AC65-25)))/($B65+S65-R65*AD65/1000)&gt;Design!$C$36,Design!$C$36,100*(Design!$C$29+S65+R65*IF(ISBLANK(Design!$B$42),Constants!$C$6,Design!$B$42)/1000*(1+Constants!$C$36/100*(AC65-25)))/($B65+S65-R65*AD65/1000))</f>
        <v>66.562012602122948</v>
      </c>
      <c r="U65" s="117">
        <f ca="1">IF(($B65-R65*IF(ISBLANK(Design!$B$42),Constants!$C$6,Design!$B$42)/1000*(1+Constants!$C$36/100*(AC65-25))-Design!$C$29)/(IF(ISBLANK(Design!$B$41),Design!$B$39,Design!$B$41)/1000000)*T65/100/(IF(ISBLANK(Design!$B$33),Design!$B$32,Design!$B$33)*1000000)&lt;0,0,($B65-R65*IF(ISBLANK(Design!$B$42),Constants!$C$6,Design!$B$42)/1000*(1+Constants!$C$36/100*(AC65-25))-Design!$C$29)/(IF(ISBLANK(Design!$B$41),Design!$B$39,Design!$B$41)/1000000)*T65/100/(IF(ISBLANK(Design!$B$33),Design!$B$32,Design!$B$33)*1000000))</f>
        <v>0.47685168546127948</v>
      </c>
      <c r="V65" s="183">
        <f>$B65*Constants!$C$21/1000+IF(ISBLANK(Design!$B$33),Design!$B$32,Design!$B$33)*1000000*Constants!$D$25/1000000000*($B65-Constants!$C$24)</f>
        <v>3.1041249999999989E-2</v>
      </c>
      <c r="W65" s="183">
        <f>$B65*R65*($B65/(Constants!$C$26*1000000000)*IF(ISBLANK(Design!$B$33),Design!$B$32,Design!$B$33)*1000000/2+$B65/(Constants!$C$27*1000000000)*IF(ISBLANK(Design!$B$33),Design!$B$32,Design!$B$33)*1000000/2)</f>
        <v>4.6818637499999968E-2</v>
      </c>
      <c r="X65" s="183">
        <f t="shared" ca="1" si="14"/>
        <v>0.34394529396456291</v>
      </c>
      <c r="Y65" s="183">
        <f>Constants!$D$25/1000000000*Constants!$C$24*IF(ISBLANK(Design!$B$33),Design!$B$32,Design!$B$33)*1000000</f>
        <v>1.0624999999999999E-2</v>
      </c>
      <c r="Z65" s="183">
        <f t="shared" ca="1" si="23"/>
        <v>0.43243018146456286</v>
      </c>
      <c r="AA65" s="183">
        <f t="shared" ca="1" si="19"/>
        <v>0.20205297046653486</v>
      </c>
      <c r="AB65" s="184">
        <f ca="1">$A65+AA65*Design!$B$19</f>
        <v>96.517019316592481</v>
      </c>
      <c r="AC65" s="184">
        <f ca="1">Z65*Design!$C$12+$A65</f>
        <v>99.702626169795138</v>
      </c>
      <c r="AD65" s="184">
        <f ca="1">Constants!$D$22+Constants!$D$22*Constants!$C$23/100*(AC65-25)</f>
        <v>184.76210093583612</v>
      </c>
      <c r="AE65" s="183">
        <f ca="1">(1-Constants!$D$20/1000000000*Design!$B$33*1000000) * ($B65+S65-R65*AD65/1000) - (S65+R65*(1+($A65-25)*Constants!$C$36/100)*IF(ISBLANK(Design!$B$42),Constants!$C$6/1000,Design!$B$42/1000))</f>
        <v>7.2874762312927599</v>
      </c>
      <c r="AF65" s="117">
        <f ca="1">IF(AE65&gt;Design!$C$29,Design!$C$29,AE65)</f>
        <v>4.9990521327014221</v>
      </c>
      <c r="AG65" s="118">
        <f>Design!$D$7/3</f>
        <v>0.83333333333333337</v>
      </c>
      <c r="AH65" s="118">
        <f ca="1">FORECAST(AG65, OFFSET(Design!$C$15:$C$17,MATCH(AG65,Design!$B$15:$B$17,1)-1,0,2), OFFSET(Design!$B$15:$B$17,MATCH(AG65,Design!$B$15:$B$17,1)-1,0,2))+(AQ65-25)*Design!$B$18/1000</f>
        <v>0.3041310974830152</v>
      </c>
      <c r="AI65" s="194">
        <f ca="1">IF(100*(Design!$C$29+AH65+AG65*IF(ISBLANK(Design!$B$42),Constants!$C$6,Design!$B$42)/1000*(1+Constants!$C$36/100*(AR65-25)))/($B65+AH65-AG65*AS65/1000)&gt;Design!$C$36,Design!$C$36,100*(Design!$C$29+AH65+AG65*IF(ISBLANK(Design!$B$42),Constants!$C$6,Design!$B$42)/1000*(1+Constants!$C$36/100*(AR65-25)))/($B65+AH65-AG65*AS65/1000))</f>
        <v>64.5017226301444</v>
      </c>
      <c r="AJ65" s="119">
        <f ca="1">IF(($B65-AG65*IF(ISBLANK(Design!$B$42),Constants!$C$6,Design!$B$42)/1000*(1+Constants!$C$36/100*(AR65-25))-Design!$C$29)/(IF(ISBLANK(Design!$B$41),Design!$B$39,Design!$B$41)/1000000)*AI65/100/(IF(ISBLANK(Design!$B$33),Design!$B$32,Design!$B$33)*1000000)&lt;0,0,($B65-AG65*IF(ISBLANK(Design!$B$42),Constants!$C$6,Design!$B$42)/1000*(1+Constants!$C$36/100*(AR65-25))-Design!$C$29)/(IF(ISBLANK(Design!$B$41),Design!$B$39,Design!$B$41)/1000000)*AI65/100/(IF(ISBLANK(Design!$B$33),Design!$B$32,Design!$B$33)*1000000))</f>
        <v>0.46882921977750991</v>
      </c>
      <c r="AK65" s="195">
        <f>$B65*Constants!$C$21/1000+IF(ISBLANK(Design!$B$33),Design!$B$32,Design!$B$33)*1000000*Constants!$D$25/1000000000*($B65-Constants!$C$24)</f>
        <v>3.1041249999999989E-2</v>
      </c>
      <c r="AL65" s="195">
        <f>$B65*AG65*($B65/(Constants!$C$26*1000000000)*IF(ISBLANK(Design!$B$33),Design!$B$32,Design!$B$33)*1000000/2+$B65/(Constants!$C$27*1000000000)*IF(ISBLANK(Design!$B$33),Design!$B$32,Design!$B$33)*1000000/2)</f>
        <v>2.3409318749999984E-2</v>
      </c>
      <c r="AM65" s="195">
        <f t="shared" ca="1" si="15"/>
        <v>8.1366845253257727E-2</v>
      </c>
      <c r="AN65" s="195">
        <f>Constants!$D$25/1000000000*Constants!$C$24*IF(ISBLANK(Design!$B$33),Design!$B$32,Design!$B$33)*1000000</f>
        <v>1.0624999999999999E-2</v>
      </c>
      <c r="AO65" s="195">
        <f t="shared" ca="1" si="24"/>
        <v>0.14644241400325769</v>
      </c>
      <c r="AP65" s="195">
        <f t="shared" ca="1" si="21"/>
        <v>8.9967750460422227E-2</v>
      </c>
      <c r="AQ65" s="196">
        <f ca="1">$A65+AP65*Design!$B$19</f>
        <v>90.12816177624407</v>
      </c>
      <c r="AR65" s="196">
        <f ca="1">AO65*Design!$C$12+$A65</f>
        <v>89.979042076110758</v>
      </c>
      <c r="AS65" s="196">
        <f ca="1">Constants!$D$22+Constants!$D$22*Constants!$C$23/100*(AR65-25)</f>
        <v>176.9832336608886</v>
      </c>
      <c r="AT65" s="195">
        <f ca="1">(1-Constants!$D$20/1000000000*Design!$B$33*1000000) * ($B65+AH65-AG65*AS65/1000) - (AH65+AG65*(1+($A65-25)*Constants!$C$36/100)*IF(ISBLANK(Design!$B$42),Constants!$C$6/1000,Design!$B$42/1000))</f>
        <v>7.4834834985297896</v>
      </c>
      <c r="AU65" s="119">
        <f ca="1">IF(AT65&gt;Design!$C$29,Design!$C$29,AT65)</f>
        <v>4.9990521327014221</v>
      </c>
    </row>
    <row r="66" spans="1:47" ht="12.75" customHeight="1">
      <c r="A66" s="112">
        <f>Design!$D$13</f>
        <v>85</v>
      </c>
      <c r="B66" s="113">
        <f t="shared" si="12"/>
        <v>7.9149999999999974</v>
      </c>
      <c r="C66" s="114">
        <f>Design!$D$7</f>
        <v>2.5</v>
      </c>
      <c r="D66" s="114">
        <f ca="1">FORECAST(C66, OFFSET(Design!$C$15:$C$17,MATCH(C66,Design!$B$15:$B$17,1)-1,0,2), OFFSET(Design!$B$15:$B$17,MATCH(C66,Design!$B$15:$B$17,1)-1,0,2))+(M66-25)*Design!$B$18/1000</f>
        <v>0.39603458255063451</v>
      </c>
      <c r="E66" s="173">
        <f ca="1">IF(100*(Design!$C$29+D66+C66*IF(ISBLANK(Design!$B$42),Constants!$C$6,Design!$B$42)/1000*(1+Constants!$C$36/100*(N66-25)))/($B66+D66-C66*O66/1000)&gt;Design!$C$36,Design!$C$36,100*(Design!$C$29+D66+C66*IF(ISBLANK(Design!$B$42),Constants!$C$6,Design!$B$42)/1000*(1+Constants!$C$36/100*(N66-25)))/($B66+D66-C66*O66/1000))</f>
        <v>70.824065824205817</v>
      </c>
      <c r="F66" s="115">
        <f ca="1">IF(($B66-C66*IF(ISBLANK(Design!$B$42),Constants!$C$6,Design!$B$42)/1000*(1+Constants!$C$36/100*(N66-25))-Design!$C$29)/(IF(ISBLANK(Design!$B$41),Design!$B$39,Design!$B$41)/1000000)*E66/100/(IF(ISBLANK(Design!$B$33),Design!$B$32,Design!$B$33)*1000000)&lt;0,0,($B66-C66*IF(ISBLANK(Design!$B$42),Constants!$C$6,Design!$B$42)/1000*(1+Constants!$C$36/100*(N66-25))-Design!$C$29)/(IF(ISBLANK(Design!$B$41),Design!$B$39,Design!$B$41)/1000000)*E66/100/(IF(ISBLANK(Design!$B$33),Design!$B$32,Design!$B$33)*1000000))</f>
        <v>0.46311756223981454</v>
      </c>
      <c r="G66" s="165">
        <f>B66*Constants!$C$21/1000+IF(ISBLANK(Design!$B$33),Design!$B$32,Design!$B$33)*1000000*Constants!$D$25/1000000000*(B66-Constants!$C$24)</f>
        <v>2.9939374999999987E-2</v>
      </c>
      <c r="H66" s="165">
        <f>B66*C66*(B66/(Constants!$C$26*1000000000)*IF(ISBLANK(Design!$B$33),Design!$B$32,Design!$B$33)*1000000/2+B66/(Constants!$C$27*1000000000)*IF(ISBLANK(Design!$B$33),Design!$B$32,Design!$B$33)*1000000/2)</f>
        <v>6.6562676562499951E-2</v>
      </c>
      <c r="I66" s="165">
        <f t="shared" ca="1" si="13"/>
        <v>0.88815009220189578</v>
      </c>
      <c r="J66" s="165">
        <f>Constants!$D$25/1000000000*Constants!$C$24*IF(ISBLANK(Design!$B$33),Design!$B$32,Design!$B$33)*1000000</f>
        <v>1.0624999999999999E-2</v>
      </c>
      <c r="K66" s="165">
        <f t="shared" ca="1" si="22"/>
        <v>0.99527714376439569</v>
      </c>
      <c r="L66" s="165">
        <f t="shared" ca="1" si="17"/>
        <v>0.28886697279588602</v>
      </c>
      <c r="M66" s="166">
        <f ca="1">$A66+L66*Design!$B$19</f>
        <v>101.4654174493655</v>
      </c>
      <c r="N66" s="166">
        <f ca="1">K66*Design!$C$12+A66</f>
        <v>118.83942288798946</v>
      </c>
      <c r="O66" s="166">
        <f ca="1">Constants!$D$22+Constants!$D$22*Constants!$C$23/100*(N66-25)</f>
        <v>200.07153831039159</v>
      </c>
      <c r="P66" s="165">
        <f ca="1">(1-Constants!$D$20/1000000000*Design!$B$33*1000000) * ($B66+D66-C66*O66/1000) - (D66+C66*(1+($A66-25)*Constants!$C$36/100)*IF(ISBLANK(Design!$B$42),Constants!$C$6/1000,Design!$B$42/1000))</f>
        <v>6.8596913747672179</v>
      </c>
      <c r="Q66" s="115">
        <f ca="1">IF(P66&gt;Design!$C$29,Design!$C$29,P66)</f>
        <v>4.9990521327014221</v>
      </c>
      <c r="R66" s="116">
        <f>2*Design!$D$7/3</f>
        <v>1.6666666666666667</v>
      </c>
      <c r="S66" s="116">
        <f ca="1">FORECAST(R66, OFFSET(Design!$C$15:$C$17,MATCH(R66,Design!$B$15:$B$17,1)-1,0,2), OFFSET(Design!$B$15:$B$17,MATCH(R66,Design!$B$15:$B$17,1)-1,0,2))+(AB66-25)*Design!$B$18/1000</f>
        <v>0.36315926988261782</v>
      </c>
      <c r="T66" s="182">
        <f ca="1">IF(100*(Design!$C$29+S66+R66*IF(ISBLANK(Design!$B$42),Constants!$C$6,Design!$B$42)/1000*(1+Constants!$C$36/100*(AC66-25)))/($B66+S66-R66*AD66/1000)&gt;Design!$C$36,Design!$C$36,100*(Design!$C$29+S66+R66*IF(ISBLANK(Design!$B$42),Constants!$C$6,Design!$B$42)/1000*(1+Constants!$C$36/100*(AC66-25)))/($B66+S66-R66*AD66/1000))</f>
        <v>68.363006199270131</v>
      </c>
      <c r="U66" s="117">
        <f ca="1">IF(($B66-R66*IF(ISBLANK(Design!$B$42),Constants!$C$6,Design!$B$42)/1000*(1+Constants!$C$36/100*(AC66-25))-Design!$C$29)/(IF(ISBLANK(Design!$B$41),Design!$B$39,Design!$B$41)/1000000)*T66/100/(IF(ISBLANK(Design!$B$33),Design!$B$32,Design!$B$33)*1000000)&lt;0,0,($B66-R66*IF(ISBLANK(Design!$B$42),Constants!$C$6,Design!$B$42)/1000*(1+Constants!$C$36/100*(AC66-25))-Design!$C$29)/(IF(ISBLANK(Design!$B$41),Design!$B$39,Design!$B$41)/1000000)*T66/100/(IF(ISBLANK(Design!$B$33),Design!$B$32,Design!$B$33)*1000000))</f>
        <v>0.45516201816320856</v>
      </c>
      <c r="V66" s="183">
        <f>$B66*Constants!$C$21/1000+IF(ISBLANK(Design!$B$33),Design!$B$32,Design!$B$33)*1000000*Constants!$D$25/1000000000*($B66-Constants!$C$24)</f>
        <v>2.9939374999999987E-2</v>
      </c>
      <c r="W66" s="183">
        <f>$B66*R66*($B66/(Constants!$C$26*1000000000)*IF(ISBLANK(Design!$B$33),Design!$B$32,Design!$B$33)*1000000/2+$B66/(Constants!$C$27*1000000000)*IF(ISBLANK(Design!$B$33),Design!$B$32,Design!$B$33)*1000000/2)</f>
        <v>4.43751177083333E-2</v>
      </c>
      <c r="X66" s="183">
        <f t="shared" ca="1" si="14"/>
        <v>0.35334293260643912</v>
      </c>
      <c r="Y66" s="183">
        <f>Constants!$D$25/1000000000*Constants!$C$24*IF(ISBLANK(Design!$B$33),Design!$B$32,Design!$B$33)*1000000</f>
        <v>1.0624999999999999E-2</v>
      </c>
      <c r="Z66" s="183">
        <f t="shared" ca="1" si="23"/>
        <v>0.43828242531477241</v>
      </c>
      <c r="AA66" s="183">
        <f t="shared" ca="1" si="19"/>
        <v>0.19148779283256612</v>
      </c>
      <c r="AB66" s="184">
        <f ca="1">$A66+AA66*Design!$B$19</f>
        <v>95.91480419145627</v>
      </c>
      <c r="AC66" s="184">
        <f ca="1">Z66*Design!$C$12+$A66</f>
        <v>99.901602460702264</v>
      </c>
      <c r="AD66" s="184">
        <f ca="1">Constants!$D$22+Constants!$D$22*Constants!$C$23/100*(AC66-25)</f>
        <v>184.9212819685618</v>
      </c>
      <c r="AE66" s="183">
        <f ca="1">(1-Constants!$D$20/1000000000*Design!$B$33*1000000) * ($B66+S66-R66*AD66/1000) - (S66+R66*(1+($A66-25)*Constants!$C$36/100)*IF(ISBLANK(Design!$B$42),Constants!$C$6/1000,Design!$B$42/1000))</f>
        <v>7.0840710651059844</v>
      </c>
      <c r="AF66" s="117">
        <f ca="1">IF(AE66&gt;Design!$C$29,Design!$C$29,AE66)</f>
        <v>4.9990521327014221</v>
      </c>
      <c r="AG66" s="118">
        <f>Design!$D$7/3</f>
        <v>0.83333333333333337</v>
      </c>
      <c r="AH66" s="118">
        <f ca="1">FORECAST(AG66, OFFSET(Design!$C$15:$C$17,MATCH(AG66,Design!$B$15:$B$17,1)-1,0,2), OFFSET(Design!$B$15:$B$17,MATCH(AG66,Design!$B$15:$B$17,1)-1,0,2))+(AQ66-25)*Design!$B$18/1000</f>
        <v>0.3043755116932223</v>
      </c>
      <c r="AI66" s="194">
        <f ca="1">IF(100*(Design!$C$29+AH66+AG66*IF(ISBLANK(Design!$B$42),Constants!$C$6,Design!$B$42)/1000*(1+Constants!$C$36/100*(AR66-25)))/($B66+AH66-AG66*AS66/1000)&gt;Design!$C$36,Design!$C$36,100*(Design!$C$29+AH66+AG66*IF(ISBLANK(Design!$B$42),Constants!$C$6,Design!$B$42)/1000*(1+Constants!$C$36/100*(AR66-25)))/($B66+AH66-AG66*AS66/1000))</f>
        <v>66.220758805332409</v>
      </c>
      <c r="AJ66" s="119">
        <f ca="1">IF(($B66-AG66*IF(ISBLANK(Design!$B$42),Constants!$C$6,Design!$B$42)/1000*(1+Constants!$C$36/100*(AR66-25))-Design!$C$29)/(IF(ISBLANK(Design!$B$41),Design!$B$39,Design!$B$41)/1000000)*AI66/100/(IF(ISBLANK(Design!$B$33),Design!$B$32,Design!$B$33)*1000000)&lt;0,0,($B66-AG66*IF(ISBLANK(Design!$B$42),Constants!$C$6,Design!$B$42)/1000*(1+Constants!$C$36/100*(AR66-25))-Design!$C$29)/(IF(ISBLANK(Design!$B$41),Design!$B$39,Design!$B$41)/1000000)*AI66/100/(IF(ISBLANK(Design!$B$33),Design!$B$32,Design!$B$33)*1000000))</f>
        <v>0.44782432085046031</v>
      </c>
      <c r="AK66" s="195">
        <f>$B66*Constants!$C$21/1000+IF(ISBLANK(Design!$B$33),Design!$B$32,Design!$B$33)*1000000*Constants!$D$25/1000000000*($B66-Constants!$C$24)</f>
        <v>2.9939374999999987E-2</v>
      </c>
      <c r="AL66" s="195">
        <f>$B66*AG66*($B66/(Constants!$C$26*1000000000)*IF(ISBLANK(Design!$B$33),Design!$B$32,Design!$B$33)*1000000/2+$B66/(Constants!$C$27*1000000000)*IF(ISBLANK(Design!$B$33),Design!$B$32,Design!$B$33)*1000000/2)</f>
        <v>2.218755885416665E-2</v>
      </c>
      <c r="AM66" s="195">
        <f t="shared" ca="1" si="15"/>
        <v>8.334285218818166E-2</v>
      </c>
      <c r="AN66" s="195">
        <f>Constants!$D$25/1000000000*Constants!$C$24*IF(ISBLANK(Design!$B$33),Design!$B$32,Design!$B$33)*1000000</f>
        <v>1.0624999999999999E-2</v>
      </c>
      <c r="AO66" s="195">
        <f t="shared" ca="1" si="24"/>
        <v>0.1460947860423483</v>
      </c>
      <c r="AP66" s="195">
        <f t="shared" ca="1" si="21"/>
        <v>8.5679781860297677E-2</v>
      </c>
      <c r="AQ66" s="196">
        <f ca="1">$A66+AP66*Design!$B$19</f>
        <v>89.883747566036973</v>
      </c>
      <c r="AR66" s="196">
        <f ca="1">AO66*Design!$C$12+$A66</f>
        <v>89.967222725439839</v>
      </c>
      <c r="AS66" s="196">
        <f ca="1">Constants!$D$22+Constants!$D$22*Constants!$C$23/100*(AR66-25)</f>
        <v>176.97377818035187</v>
      </c>
      <c r="AT66" s="195">
        <f ca="1">(1-Constants!$D$20/1000000000*Design!$B$33*1000000) * ($B66+AH66-AG66*AS66/1000) - (AH66+AG66*(1+($A66-25)*Constants!$C$36/100)*IF(ISBLANK(Design!$B$42),Constants!$C$6/1000,Design!$B$42/1000))</f>
        <v>7.2803561888657065</v>
      </c>
      <c r="AU66" s="119">
        <f ca="1">IF(AT66&gt;Design!$C$29,Design!$C$29,AT66)</f>
        <v>4.9990521327014221</v>
      </c>
    </row>
    <row r="67" spans="1:47" ht="12.75" customHeight="1">
      <c r="A67" s="112">
        <f>Design!$D$13</f>
        <v>85</v>
      </c>
      <c r="B67" s="113">
        <f t="shared" si="12"/>
        <v>7.6999999999999975</v>
      </c>
      <c r="C67" s="114">
        <f>Design!$D$7</f>
        <v>2.5</v>
      </c>
      <c r="D67" s="114">
        <f ca="1">FORECAST(C67, OFFSET(Design!$C$15:$C$17,MATCH(C67,Design!$B$15:$B$17,1)-1,0,2), OFFSET(Design!$B$15:$B$17,MATCH(C67,Design!$B$15:$B$17,1)-1,0,2))+(M67-25)*Design!$B$18/1000</f>
        <v>0.39713645207966108</v>
      </c>
      <c r="E67" s="173">
        <f ca="1">IF(100*(Design!$C$29+D67+C67*IF(ISBLANK(Design!$B$42),Constants!$C$6,Design!$B$42)/1000*(1+Constants!$C$36/100*(N67-25)))/($B67+D67-C67*O67/1000)&gt;Design!$C$36,Design!$C$36,100*(Design!$C$29+D67+C67*IF(ISBLANK(Design!$B$42),Constants!$C$6,Design!$B$42)/1000*(1+Constants!$C$36/100*(N67-25)))/($B67+D67-C67*O67/1000))</f>
        <v>72.85205857930832</v>
      </c>
      <c r="F67" s="115">
        <f ca="1">IF(($B67-C67*IF(ISBLANK(Design!$B$42),Constants!$C$6,Design!$B$42)/1000*(1+Constants!$C$36/100*(N67-25))-Design!$C$29)/(IF(ISBLANK(Design!$B$41),Design!$B$39,Design!$B$41)/1000000)*E67/100/(IF(ISBLANK(Design!$B$33),Design!$B$32,Design!$B$33)*1000000)&lt;0,0,($B67-C67*IF(ISBLANK(Design!$B$42),Constants!$C$6,Design!$B$42)/1000*(1+Constants!$C$36/100*(N67-25))-Design!$C$29)/(IF(ISBLANK(Design!$B$41),Design!$B$39,Design!$B$41)/1000000)*E67/100/(IF(ISBLANK(Design!$B$33),Design!$B$32,Design!$B$33)*1000000))</f>
        <v>0.4394703872151085</v>
      </c>
      <c r="G67" s="165">
        <f>B67*Constants!$C$21/1000+IF(ISBLANK(Design!$B$33),Design!$B$32,Design!$B$33)*1000000*Constants!$D$25/1000000000*(B67-Constants!$C$24)</f>
        <v>2.8837499999999992E-2</v>
      </c>
      <c r="H67" s="165">
        <f>B67*C67*(B67/(Constants!$C$26*1000000000)*IF(ISBLANK(Design!$B$33),Design!$B$32,Design!$B$33)*1000000/2+B67/(Constants!$C$27*1000000000)*IF(ISBLANK(Design!$B$33),Design!$B$32,Design!$B$33)*1000000/2)</f>
        <v>6.2995624999999958E-2</v>
      </c>
      <c r="I67" s="165">
        <f t="shared" ca="1" si="13"/>
        <v>0.91622911166216092</v>
      </c>
      <c r="J67" s="165">
        <f>Constants!$D$25/1000000000*Constants!$C$24*IF(ISBLANK(Design!$B$33),Design!$B$32,Design!$B$33)*1000000</f>
        <v>1.0624999999999999E-2</v>
      </c>
      <c r="K67" s="165">
        <f t="shared" ca="1" si="22"/>
        <v>1.0186872366621609</v>
      </c>
      <c r="L67" s="165">
        <f t="shared" ca="1" si="17"/>
        <v>0.26953592842699919</v>
      </c>
      <c r="M67" s="166">
        <f ca="1">$A67+L67*Design!$B$19</f>
        <v>100.36354792033896</v>
      </c>
      <c r="N67" s="166">
        <f ca="1">K67*Design!$C$12+A67</f>
        <v>119.63536604651347</v>
      </c>
      <c r="O67" s="166">
        <f ca="1">Constants!$D$22+Constants!$D$22*Constants!$C$23/100*(N67-25)</f>
        <v>200.70829283721076</v>
      </c>
      <c r="P67" s="165">
        <f ca="1">(1-Constants!$D$20/1000000000*Design!$B$33*1000000) * ($B67+D67-C67*O67/1000) - (D67+C67*(1+($A67-25)*Constants!$C$36/100)*IF(ISBLANK(Design!$B$42),Constants!$C$6/1000,Design!$B$42/1000))</f>
        <v>6.6550053118777086</v>
      </c>
      <c r="Q67" s="115">
        <f ca="1">IF(P67&gt;Design!$C$29,Design!$C$29,P67)</f>
        <v>4.9990521327014221</v>
      </c>
      <c r="R67" s="116">
        <f>2*Design!$D$7/3</f>
        <v>1.6666666666666667</v>
      </c>
      <c r="S67" s="116">
        <f ca="1">FORECAST(R67, OFFSET(Design!$C$15:$C$17,MATCH(R67,Design!$B$15:$B$17,1)-1,0,2), OFFSET(Design!$B$15:$B$17,MATCH(R67,Design!$B$15:$B$17,1)-1,0,2))+(AB67-25)*Design!$B$18/1000</f>
        <v>0.36379715213129088</v>
      </c>
      <c r="T67" s="182">
        <f ca="1">IF(100*(Design!$C$29+S67+R67*IF(ISBLANK(Design!$B$42),Constants!$C$6,Design!$B$42)/1000*(1+Constants!$C$36/100*(AC67-25)))/($B67+S67-R67*AD67/1000)&gt;Design!$C$36,Design!$C$36,100*(Design!$C$29+S67+R67*IF(ISBLANK(Design!$B$42),Constants!$C$6,Design!$B$42)/1000*(1+Constants!$C$36/100*(AC67-25)))/($B67+S67-R67*AD67/1000))</f>
        <v>70.2641636747978</v>
      </c>
      <c r="U67" s="117">
        <f ca="1">IF(($B67-R67*IF(ISBLANK(Design!$B$42),Constants!$C$6,Design!$B$42)/1000*(1+Constants!$C$36/100*(AC67-25))-Design!$C$29)/(IF(ISBLANK(Design!$B$41),Design!$B$39,Design!$B$41)/1000000)*T67/100/(IF(ISBLANK(Design!$B$33),Design!$B$32,Design!$B$33)*1000000)&lt;0,0,($B67-R67*IF(ISBLANK(Design!$B$42),Constants!$C$6,Design!$B$42)/1000*(1+Constants!$C$36/100*(AC67-25))-Design!$C$29)/(IF(ISBLANK(Design!$B$41),Design!$B$39,Design!$B$41)/1000000)*T67/100/(IF(ISBLANK(Design!$B$33),Design!$B$32,Design!$B$33)*1000000))</f>
        <v>0.4322650239144501</v>
      </c>
      <c r="V67" s="183">
        <f>$B67*Constants!$C$21/1000+IF(ISBLANK(Design!$B$33),Design!$B$32,Design!$B$33)*1000000*Constants!$D$25/1000000000*($B67-Constants!$C$24)</f>
        <v>2.8837499999999992E-2</v>
      </c>
      <c r="W67" s="183">
        <f>$B67*R67*($B67/(Constants!$C$26*1000000000)*IF(ISBLANK(Design!$B$33),Design!$B$32,Design!$B$33)*1000000/2+$B67/(Constants!$C$27*1000000000)*IF(ISBLANK(Design!$B$33),Design!$B$32,Design!$B$33)*1000000/2)</f>
        <v>4.199708333333331E-2</v>
      </c>
      <c r="X67" s="183">
        <f t="shared" ca="1" si="14"/>
        <v>0.36329480652465646</v>
      </c>
      <c r="Y67" s="183">
        <f>Constants!$D$25/1000000000*Constants!$C$24*IF(ISBLANK(Design!$B$33),Design!$B$32,Design!$B$33)*1000000</f>
        <v>1.0624999999999999E-2</v>
      </c>
      <c r="Z67" s="183">
        <f t="shared" ca="1" si="23"/>
        <v>0.44475438985798976</v>
      </c>
      <c r="AA67" s="183">
        <f t="shared" ca="1" si="19"/>
        <v>0.18029687618917919</v>
      </c>
      <c r="AB67" s="184">
        <f ca="1">$A67+AA67*Design!$B$19</f>
        <v>95.276921942783218</v>
      </c>
      <c r="AC67" s="184">
        <f ca="1">Z67*Design!$C$12+$A67</f>
        <v>100.12164925517165</v>
      </c>
      <c r="AD67" s="184">
        <f ca="1">Constants!$D$22+Constants!$D$22*Constants!$C$23/100*(AC67-25)</f>
        <v>185.09731940413732</v>
      </c>
      <c r="AE67" s="183">
        <f ca="1">(1-Constants!$D$20/1000000000*Design!$B$33*1000000) * ($B67+S67-R67*AD67/1000) - (S67+R67*(1+($A67-25)*Constants!$C$36/100)*IF(ISBLANK(Design!$B$42),Constants!$C$6/1000,Design!$B$42/1000))</f>
        <v>6.8806373864996457</v>
      </c>
      <c r="AF67" s="117">
        <f ca="1">IF(AE67&gt;Design!$C$29,Design!$C$29,AE67)</f>
        <v>4.9990521327014221</v>
      </c>
      <c r="AG67" s="118">
        <f>Design!$D$7/3</f>
        <v>0.83333333333333337</v>
      </c>
      <c r="AH67" s="118">
        <f ca="1">FORECAST(AG67, OFFSET(Design!$C$15:$C$17,MATCH(AG67,Design!$B$15:$B$17,1)-1,0,2), OFFSET(Design!$B$15:$B$17,MATCH(AG67,Design!$B$15:$B$17,1)-1,0,2))+(AQ67-25)*Design!$B$18/1000</f>
        <v>0.30463372543666389</v>
      </c>
      <c r="AI67" s="194">
        <f ca="1">IF(100*(Design!$C$29+AH67+AG67*IF(ISBLANK(Design!$B$42),Constants!$C$6,Design!$B$42)/1000*(1+Constants!$C$36/100*(AR67-25)))/($B67+AH67-AG67*AS67/1000)&gt;Design!$C$36,Design!$C$36,100*(Design!$C$29+AH67+AG67*IF(ISBLANK(Design!$B$42),Constants!$C$6,Design!$B$42)/1000*(1+Constants!$C$36/100*(AR67-25)))/($B67+AH67-AG67*AS67/1000))</f>
        <v>68.033854661536068</v>
      </c>
      <c r="AJ67" s="119">
        <f ca="1">IF(($B67-AG67*IF(ISBLANK(Design!$B$42),Constants!$C$6,Design!$B$42)/1000*(1+Constants!$C$36/100*(AR67-25))-Design!$C$29)/(IF(ISBLANK(Design!$B$41),Design!$B$39,Design!$B$41)/1000000)*AI67/100/(IF(ISBLANK(Design!$B$33),Design!$B$32,Design!$B$33)*1000000)&lt;0,0,($B67-AG67*IF(ISBLANK(Design!$B$42),Constants!$C$6,Design!$B$42)/1000*(1+Constants!$C$36/100*(AR67-25))-Design!$C$29)/(IF(ISBLANK(Design!$B$41),Design!$B$39,Design!$B$41)/1000000)*AI67/100/(IF(ISBLANK(Design!$B$33),Design!$B$32,Design!$B$33)*1000000))</f>
        <v>0.42566857820334242</v>
      </c>
      <c r="AK67" s="195">
        <f>$B67*Constants!$C$21/1000+IF(ISBLANK(Design!$B$33),Design!$B$32,Design!$B$33)*1000000*Constants!$D$25/1000000000*($B67-Constants!$C$24)</f>
        <v>2.8837499999999992E-2</v>
      </c>
      <c r="AL67" s="195">
        <f>$B67*AG67*($B67/(Constants!$C$26*1000000000)*IF(ISBLANK(Design!$B$33),Design!$B$32,Design!$B$33)*1000000/2+$B67/(Constants!$C$27*1000000000)*IF(ISBLANK(Design!$B$33),Design!$B$32,Design!$B$33)*1000000/2)</f>
        <v>2.0998541666666655E-2</v>
      </c>
      <c r="AM67" s="195">
        <f t="shared" ca="1" si="15"/>
        <v>8.5427863017407818E-2</v>
      </c>
      <c r="AN67" s="195">
        <f>Constants!$D$25/1000000000*Constants!$C$24*IF(ISBLANK(Design!$B$33),Design!$B$32,Design!$B$33)*1000000</f>
        <v>1.0624999999999999E-2</v>
      </c>
      <c r="AO67" s="195">
        <f t="shared" ca="1" si="24"/>
        <v>0.14588890468407445</v>
      </c>
      <c r="AP67" s="195">
        <f t="shared" ca="1" si="21"/>
        <v>8.1149716185884305E-2</v>
      </c>
      <c r="AQ67" s="196">
        <f ca="1">$A67+AP67*Design!$B$19</f>
        <v>89.625533822595401</v>
      </c>
      <c r="AR67" s="196">
        <f ca="1">AO67*Design!$C$12+$A67</f>
        <v>89.960222759258528</v>
      </c>
      <c r="AS67" s="196">
        <f ca="1">Constants!$D$22+Constants!$D$22*Constants!$C$23/100*(AR67-25)</f>
        <v>176.96817820740682</v>
      </c>
      <c r="AT67" s="195">
        <f ca="1">(1-Constants!$D$20/1000000000*Design!$B$33*1000000) * ($B67+AH67-AG67*AS67/1000) - (AH67+AG67*(1+($A67-25)*Constants!$C$36/100)*IF(ISBLANK(Design!$B$42),Constants!$C$6/1000,Design!$B$42/1000))</f>
        <v>7.0772250813684154</v>
      </c>
      <c r="AU67" s="119">
        <f ca="1">IF(AT67&gt;Design!$C$29,Design!$C$29,AT67)</f>
        <v>4.9990521327014221</v>
      </c>
    </row>
    <row r="68" spans="1:47" ht="12.75" customHeight="1">
      <c r="A68" s="112">
        <f>Design!$D$13</f>
        <v>85</v>
      </c>
      <c r="B68" s="113">
        <f t="shared" si="12"/>
        <v>7.4849999999999977</v>
      </c>
      <c r="C68" s="114">
        <f>Design!$D$7</f>
        <v>2.5</v>
      </c>
      <c r="D68" s="114">
        <f ca="1">FORECAST(C68, OFFSET(Design!$C$15:$C$17,MATCH(C68,Design!$B$15:$B$17,1)-1,0,2), OFFSET(Design!$B$15:$B$17,MATCH(C68,Design!$B$15:$B$17,1)-1,0,2))+(M68-25)*Design!$B$18/1000</f>
        <v>0.39831046858881947</v>
      </c>
      <c r="E68" s="173">
        <f ca="1">IF(100*(Design!$C$29+D68+C68*IF(ISBLANK(Design!$B$42),Constants!$C$6,Design!$B$42)/1000*(1+Constants!$C$36/100*(N68-25)))/($B68+D68-C68*O68/1000)&gt;Design!$C$36,Design!$C$36,100*(Design!$C$29+D68+C68*IF(ISBLANK(Design!$B$42),Constants!$C$6,Design!$B$42)/1000*(1+Constants!$C$36/100*(N68-25)))/($B68+D68-C68*O68/1000))</f>
        <v>75.000491606806904</v>
      </c>
      <c r="F68" s="115">
        <f ca="1">IF(($B68-C68*IF(ISBLANK(Design!$B$42),Constants!$C$6,Design!$B$42)/1000*(1+Constants!$C$36/100*(N68-25))-Design!$C$29)/(IF(ISBLANK(Design!$B$41),Design!$B$39,Design!$B$41)/1000000)*E68/100/(IF(ISBLANK(Design!$B$33),Design!$B$32,Design!$B$33)*1000000)&lt;0,0,($B68-C68*IF(ISBLANK(Design!$B$42),Constants!$C$6,Design!$B$42)/1000*(1+Constants!$C$36/100*(N68-25))-Design!$C$29)/(IF(ISBLANK(Design!$B$41),Design!$B$39,Design!$B$41)/1000000)*E68/100/(IF(ISBLANK(Design!$B$33),Design!$B$32,Design!$B$33)*1000000))</f>
        <v>0.41442913313136909</v>
      </c>
      <c r="G68" s="165">
        <f>B68*Constants!$C$21/1000+IF(ISBLANK(Design!$B$33),Design!$B$32,Design!$B$33)*1000000*Constants!$D$25/1000000000*(B68-Constants!$C$24)</f>
        <v>2.7735624999999986E-2</v>
      </c>
      <c r="H68" s="165">
        <f>B68*C68*(B68/(Constants!$C$26*1000000000)*IF(ISBLANK(Design!$B$33),Design!$B$32,Design!$B$33)*1000000/2+B68/(Constants!$C$27*1000000000)*IF(ISBLANK(Design!$B$33),Design!$B$32,Design!$B$33)*1000000/2)</f>
        <v>5.9526801562499961E-2</v>
      </c>
      <c r="I68" s="165">
        <f t="shared" ca="1" si="13"/>
        <v>0.94623068353068007</v>
      </c>
      <c r="J68" s="165">
        <f>Constants!$D$25/1000000000*Constants!$C$24*IF(ISBLANK(Design!$B$33),Design!$B$32,Design!$B$33)*1000000</f>
        <v>1.0624999999999999E-2</v>
      </c>
      <c r="K68" s="165">
        <f t="shared" ca="1" si="22"/>
        <v>1.04411811009318</v>
      </c>
      <c r="L68" s="165">
        <f t="shared" ca="1" si="17"/>
        <v>0.24893914756457164</v>
      </c>
      <c r="M68" s="166">
        <f ca="1">$A68+L68*Design!$B$19</f>
        <v>99.189531411180582</v>
      </c>
      <c r="N68" s="166">
        <f ca="1">K68*Design!$C$12+A68</f>
        <v>120.50001574316812</v>
      </c>
      <c r="O68" s="166">
        <f ca="1">Constants!$D$22+Constants!$D$22*Constants!$C$23/100*(N68-25)</f>
        <v>201.4000125945345</v>
      </c>
      <c r="P68" s="165">
        <f ca="1">(1-Constants!$D$20/1000000000*Design!$B$33*1000000) * ($B68+D68-C68*O68/1000) - (D68+C68*(1+($A68-25)*Constants!$C$36/100)*IF(ISBLANK(Design!$B$42),Constants!$C$6/1000,Design!$B$42/1000))</f>
        <v>6.4501854418637494</v>
      </c>
      <c r="Q68" s="115">
        <f ca="1">IF(P68&gt;Design!$C$29,Design!$C$29,P68)</f>
        <v>4.9990521327014221</v>
      </c>
      <c r="R68" s="116">
        <f>2*Design!$D$7/3</f>
        <v>1.6666666666666667</v>
      </c>
      <c r="S68" s="116">
        <f ca="1">FORECAST(R68, OFFSET(Design!$C$15:$C$17,MATCH(R68,Design!$B$15:$B$17,1)-1,0,2), OFFSET(Design!$B$15:$B$17,MATCH(R68,Design!$B$15:$B$17,1)-1,0,2))+(AB68-25)*Design!$B$18/1000</f>
        <v>0.36447396463867587</v>
      </c>
      <c r="T68" s="182">
        <f ca="1">IF(100*(Design!$C$29+S68+R68*IF(ISBLANK(Design!$B$42),Constants!$C$6,Design!$B$42)/1000*(1+Constants!$C$36/100*(AC68-25)))/($B68+S68-R68*AD68/1000)&gt;Design!$C$36,Design!$C$36,100*(Design!$C$29+S68+R68*IF(ISBLANK(Design!$B$42),Constants!$C$6,Design!$B$42)/1000*(1+Constants!$C$36/100*(AC68-25)))/($B68+S68-R68*AD68/1000))</f>
        <v>72.274073504622464</v>
      </c>
      <c r="U68" s="117">
        <f ca="1">IF(($B68-R68*IF(ISBLANK(Design!$B$42),Constants!$C$6,Design!$B$42)/1000*(1+Constants!$C$36/100*(AC68-25))-Design!$C$29)/(IF(ISBLANK(Design!$B$41),Design!$B$39,Design!$B$41)/1000000)*T68/100/(IF(ISBLANK(Design!$B$33),Design!$B$32,Design!$B$33)*1000000)&lt;0,0,($B68-R68*IF(ISBLANK(Design!$B$42),Constants!$C$6,Design!$B$42)/1000*(1+Constants!$C$36/100*(AC68-25))-Design!$C$29)/(IF(ISBLANK(Design!$B$41),Design!$B$39,Design!$B$41)/1000000)*T68/100/(IF(ISBLANK(Design!$B$33),Design!$B$32,Design!$B$33)*1000000))</f>
        <v>0.40805698718552164</v>
      </c>
      <c r="V68" s="183">
        <f>$B68*Constants!$C$21/1000+IF(ISBLANK(Design!$B$33),Design!$B$32,Design!$B$33)*1000000*Constants!$D$25/1000000000*($B68-Constants!$C$24)</f>
        <v>2.7735624999999986E-2</v>
      </c>
      <c r="W68" s="183">
        <f>$B68*R68*($B68/(Constants!$C$26*1000000000)*IF(ISBLANK(Design!$B$33),Design!$B$32,Design!$B$33)*1000000/2+$B68/(Constants!$C$27*1000000000)*IF(ISBLANK(Design!$B$33),Design!$B$32,Design!$B$33)*1000000/2)</f>
        <v>3.9684534374999969E-2</v>
      </c>
      <c r="X68" s="183">
        <f t="shared" ca="1" si="14"/>
        <v>0.37385209028477506</v>
      </c>
      <c r="Y68" s="183">
        <f>Constants!$D$25/1000000000*Constants!$C$24*IF(ISBLANK(Design!$B$33),Design!$B$32,Design!$B$33)*1000000</f>
        <v>1.0624999999999999E-2</v>
      </c>
      <c r="Z68" s="183">
        <f t="shared" ca="1" si="23"/>
        <v>0.45189724965977501</v>
      </c>
      <c r="AA68" s="183">
        <f t="shared" ca="1" si="19"/>
        <v>0.16842297255084601</v>
      </c>
      <c r="AB68" s="184">
        <f ca="1">$A68+AA68*Design!$B$19</f>
        <v>94.600109435398224</v>
      </c>
      <c r="AC68" s="184">
        <f ca="1">Z68*Design!$C$12+$A68</f>
        <v>100.36450648843235</v>
      </c>
      <c r="AD68" s="184">
        <f ca="1">Constants!$D$22+Constants!$D$22*Constants!$C$23/100*(AC68-25)</f>
        <v>185.29160519074588</v>
      </c>
      <c r="AE68" s="183">
        <f ca="1">(1-Constants!$D$20/1000000000*Design!$B$33*1000000) * ($B68+S68-R68*AD68/1000) - (S68+R68*(1+($A68-25)*Constants!$C$36/100)*IF(ISBLANK(Design!$B$42),Constants!$C$6/1000,Design!$B$42/1000))</f>
        <v>6.6771728234471155</v>
      </c>
      <c r="AF68" s="117">
        <f ca="1">IF(AE68&gt;Design!$C$29,Design!$C$29,AE68)</f>
        <v>4.9990521327014221</v>
      </c>
      <c r="AG68" s="118">
        <f>Design!$D$7/3</f>
        <v>0.83333333333333337</v>
      </c>
      <c r="AH68" s="118">
        <f ca="1">FORECAST(AG68, OFFSET(Design!$C$15:$C$17,MATCH(AG68,Design!$B$15:$B$17,1)-1,0,2), OFFSET(Design!$B$15:$B$17,MATCH(AG68,Design!$B$15:$B$17,1)-1,0,2))+(AQ68-25)*Design!$B$18/1000</f>
        <v>0.30490694011883834</v>
      </c>
      <c r="AI68" s="194">
        <f ca="1">IF(100*(Design!$C$29+AH68+AG68*IF(ISBLANK(Design!$B$42),Constants!$C$6,Design!$B$42)/1000*(1+Constants!$C$36/100*(AR68-25)))/($B68+AH68-AG68*AS68/1000)&gt;Design!$C$36,Design!$C$36,100*(Design!$C$29+AH68+AG68*IF(ISBLANK(Design!$B$42),Constants!$C$6,Design!$B$42)/1000*(1+Constants!$C$36/100*(AR68-25)))/($B68+AH68-AG68*AS68/1000))</f>
        <v>69.948938734693655</v>
      </c>
      <c r="AJ68" s="119">
        <f ca="1">IF(($B68-AG68*IF(ISBLANK(Design!$B$42),Constants!$C$6,Design!$B$42)/1000*(1+Constants!$C$36/100*(AR68-25))-Design!$C$29)/(IF(ISBLANK(Design!$B$41),Design!$B$39,Design!$B$41)/1000000)*AI68/100/(IF(ISBLANK(Design!$B$33),Design!$B$32,Design!$B$33)*1000000)&lt;0,0,($B68-AG68*IF(ISBLANK(Design!$B$42),Constants!$C$6,Design!$B$42)/1000*(1+Constants!$C$36/100*(AR68-25))-Design!$C$29)/(IF(ISBLANK(Design!$B$41),Design!$B$39,Design!$B$41)/1000000)*AI68/100/(IF(ISBLANK(Design!$B$33),Design!$B$32,Design!$B$33)*1000000))</f>
        <v>0.4022648232808152</v>
      </c>
      <c r="AK68" s="195">
        <f>$B68*Constants!$C$21/1000+IF(ISBLANK(Design!$B$33),Design!$B$32,Design!$B$33)*1000000*Constants!$D$25/1000000000*($B68-Constants!$C$24)</f>
        <v>2.7735624999999986E-2</v>
      </c>
      <c r="AL68" s="195">
        <f>$B68*AG68*($B68/(Constants!$C$26*1000000000)*IF(ISBLANK(Design!$B$33),Design!$B$32,Design!$B$33)*1000000/2+$B68/(Constants!$C$27*1000000000)*IF(ISBLANK(Design!$B$33),Design!$B$32,Design!$B$33)*1000000/2)</f>
        <v>1.9842267187499985E-2</v>
      </c>
      <c r="AM68" s="195">
        <f t="shared" ca="1" si="15"/>
        <v>8.7631959687281602E-2</v>
      </c>
      <c r="AN68" s="195">
        <f>Constants!$D$25/1000000000*Constants!$C$24*IF(ISBLANK(Design!$B$33),Design!$B$32,Design!$B$33)*1000000</f>
        <v>1.0624999999999999E-2</v>
      </c>
      <c r="AO68" s="195">
        <f t="shared" ca="1" si="24"/>
        <v>0.14583485187478157</v>
      </c>
      <c r="AP68" s="195">
        <f t="shared" ca="1" si="21"/>
        <v>7.6356476147735872E-2</v>
      </c>
      <c r="AQ68" s="196">
        <f ca="1">$A68+AP68*Design!$B$19</f>
        <v>89.352319140420946</v>
      </c>
      <c r="AR68" s="196">
        <f ca="1">AO68*Design!$C$12+$A68</f>
        <v>89.958384963742574</v>
      </c>
      <c r="AS68" s="196">
        <f ca="1">Constants!$D$22+Constants!$D$22*Constants!$C$23/100*(AR68-25)</f>
        <v>176.96670797099407</v>
      </c>
      <c r="AT68" s="195">
        <f ca="1">(1-Constants!$D$20/1000000000*Design!$B$33*1000000) * ($B68+AH68-AG68*AS68/1000) - (AH68+AG68*(1+($A68-25)*Constants!$C$36/100)*IF(ISBLANK(Design!$B$42),Constants!$C$6/1000,Design!$B$42/1000))</f>
        <v>6.8740898937621013</v>
      </c>
      <c r="AU68" s="119">
        <f ca="1">IF(AT68&gt;Design!$C$29,Design!$C$29,AT68)</f>
        <v>4.9990521327014221</v>
      </c>
    </row>
    <row r="69" spans="1:47" ht="12.75" customHeight="1">
      <c r="A69" s="112">
        <f>Design!$D$13</f>
        <v>85</v>
      </c>
      <c r="B69" s="113">
        <f t="shared" si="12"/>
        <v>7.2699999999999978</v>
      </c>
      <c r="C69" s="114">
        <f>Design!$D$7</f>
        <v>2.5</v>
      </c>
      <c r="D69" s="114">
        <f ca="1">FORECAST(C69, OFFSET(Design!$C$15:$C$17,MATCH(C69,Design!$B$15:$B$17,1)-1,0,2), OFFSET(Design!$B$15:$B$17,MATCH(C69,Design!$B$15:$B$17,1)-1,0,2))+(M69-25)*Design!$B$18/1000</f>
        <v>0.39956400482050525</v>
      </c>
      <c r="E69" s="173">
        <f ca="1">IF(100*(Design!$C$29+D69+C69*IF(ISBLANK(Design!$B$42),Constants!$C$6,Design!$B$42)/1000*(1+Constants!$C$36/100*(N69-25)))/($B69+D69-C69*O69/1000)&gt;Design!$C$36,Design!$C$36,100*(Design!$C$29+D69+C69*IF(ISBLANK(Design!$B$42),Constants!$C$6,Design!$B$42)/1000*(1+Constants!$C$36/100*(N69-25)))/($B69+D69-C69*O69/1000))</f>
        <v>77.280507642049898</v>
      </c>
      <c r="F69" s="115">
        <f ca="1">IF(($B69-C69*IF(ISBLANK(Design!$B$42),Constants!$C$6,Design!$B$42)/1000*(1+Constants!$C$36/100*(N69-25))-Design!$C$29)/(IF(ISBLANK(Design!$B$41),Design!$B$39,Design!$B$41)/1000000)*E69/100/(IF(ISBLANK(Design!$B$33),Design!$B$32,Design!$B$33)*1000000)&lt;0,0,($B69-C69*IF(ISBLANK(Design!$B$42),Constants!$C$6,Design!$B$42)/1000*(1+Constants!$C$36/100*(N69-25))-Design!$C$29)/(IF(ISBLANK(Design!$B$41),Design!$B$39,Design!$B$41)/1000000)*E69/100/(IF(ISBLANK(Design!$B$33),Design!$B$32,Design!$B$33)*1000000))</f>
        <v>0.38786574068531304</v>
      </c>
      <c r="G69" s="165">
        <f>B69*Constants!$C$21/1000+IF(ISBLANK(Design!$B$33),Design!$B$32,Design!$B$33)*1000000*Constants!$D$25/1000000000*(B69-Constants!$C$24)</f>
        <v>2.6633749999999991E-2</v>
      </c>
      <c r="H69" s="165">
        <f>B69*C69*(B69/(Constants!$C$26*1000000000)*IF(ISBLANK(Design!$B$33),Design!$B$32,Design!$B$33)*1000000/2+B69/(Constants!$C$27*1000000000)*IF(ISBLANK(Design!$B$33),Design!$B$32,Design!$B$33)*1000000/2)</f>
        <v>5.6156206249999958E-2</v>
      </c>
      <c r="I69" s="165">
        <f t="shared" ca="1" si="13"/>
        <v>0.97836051862544993</v>
      </c>
      <c r="J69" s="165">
        <f>Constants!$D$25/1000000000*Constants!$C$24*IF(ISBLANK(Design!$B$33),Design!$B$32,Design!$B$33)*1000000</f>
        <v>1.0624999999999999E-2</v>
      </c>
      <c r="K69" s="165">
        <f t="shared" ca="1" si="22"/>
        <v>1.07177547487545</v>
      </c>
      <c r="L69" s="165">
        <f t="shared" ca="1" si="17"/>
        <v>0.22694728385078514</v>
      </c>
      <c r="M69" s="166">
        <f ca="1">$A69+L69*Design!$B$19</f>
        <v>97.935995179494753</v>
      </c>
      <c r="N69" s="166">
        <f ca="1">K69*Design!$C$12+A69</f>
        <v>121.4403661457653</v>
      </c>
      <c r="O69" s="166">
        <f ca="1">Constants!$D$22+Constants!$D$22*Constants!$C$23/100*(N69-25)</f>
        <v>202.15229291661223</v>
      </c>
      <c r="P69" s="165">
        <f ca="1">(1-Constants!$D$20/1000000000*Design!$B$33*1000000) * ($B69+D69-C69*O69/1000) - (D69+C69*(1+($A69-25)*Constants!$C$36/100)*IF(ISBLANK(Design!$B$42),Constants!$C$6/1000,Design!$B$42/1000))</f>
        <v>6.2452181419012422</v>
      </c>
      <c r="Q69" s="115">
        <f ca="1">IF(P69&gt;Design!$C$29,Design!$C$29,P69)</f>
        <v>4.9990521327014221</v>
      </c>
      <c r="R69" s="116">
        <f>2*Design!$D$7/3</f>
        <v>1.6666666666666667</v>
      </c>
      <c r="S69" s="116">
        <f ca="1">FORECAST(R69, OFFSET(Design!$C$15:$C$17,MATCH(R69,Design!$B$15:$B$17,1)-1,0,2), OFFSET(Design!$B$15:$B$17,MATCH(R69,Design!$B$15:$B$17,1)-1,0,2))+(AB69-25)*Design!$B$18/1000</f>
        <v>0.36519338088163733</v>
      </c>
      <c r="T69" s="182">
        <f ca="1">IF(100*(Design!$C$29+S69+R69*IF(ISBLANK(Design!$B$42),Constants!$C$6,Design!$B$42)/1000*(1+Constants!$C$36/100*(AC69-25)))/($B69+S69-R69*AD69/1000)&gt;Design!$C$36,Design!$C$36,100*(Design!$C$29+S69+R69*IF(ISBLANK(Design!$B$42),Constants!$C$6,Design!$B$42)/1000*(1+Constants!$C$36/100*(AC69-25)))/($B69+S69-R69*AD69/1000))</f>
        <v>74.402334251694327</v>
      </c>
      <c r="U69" s="117">
        <f ca="1">IF(($B69-R69*IF(ISBLANK(Design!$B$42),Constants!$C$6,Design!$B$42)/1000*(1+Constants!$C$36/100*(AC69-25))-Design!$C$29)/(IF(ISBLANK(Design!$B$41),Design!$B$39,Design!$B$41)/1000000)*T69/100/(IF(ISBLANK(Design!$B$33),Design!$B$32,Design!$B$33)*1000000)&lt;0,0,($B69-R69*IF(ISBLANK(Design!$B$42),Constants!$C$6,Design!$B$42)/1000*(1+Constants!$C$36/100*(AC69-25))-Design!$C$29)/(IF(ISBLANK(Design!$B$41),Design!$B$39,Design!$B$41)/1000000)*T69/100/(IF(ISBLANK(Design!$B$33),Design!$B$32,Design!$B$33)*1000000))</f>
        <v>0.38242197235908948</v>
      </c>
      <c r="V69" s="183">
        <f>$B69*Constants!$C$21/1000+IF(ISBLANK(Design!$B$33),Design!$B$32,Design!$B$33)*1000000*Constants!$D$25/1000000000*($B69-Constants!$C$24)</f>
        <v>2.6633749999999991E-2</v>
      </c>
      <c r="W69" s="183">
        <f>$B69*R69*($B69/(Constants!$C$26*1000000000)*IF(ISBLANK(Design!$B$33),Design!$B$32,Design!$B$33)*1000000/2+$B69/(Constants!$C$27*1000000000)*IF(ISBLANK(Design!$B$33),Design!$B$32,Design!$B$33)*1000000/2)</f>
        <v>3.7437470833333306E-2</v>
      </c>
      <c r="X69" s="183">
        <f t="shared" ca="1" si="14"/>
        <v>0.38507258502819686</v>
      </c>
      <c r="Y69" s="183">
        <f>Constants!$D$25/1000000000*Constants!$C$24*IF(ISBLANK(Design!$B$33),Design!$B$32,Design!$B$33)*1000000</f>
        <v>1.0624999999999999E-2</v>
      </c>
      <c r="Z69" s="183">
        <f t="shared" ca="1" si="23"/>
        <v>0.45976880586153013</v>
      </c>
      <c r="AA69" s="183">
        <f t="shared" ca="1" si="19"/>
        <v>0.1558016349550306</v>
      </c>
      <c r="AB69" s="184">
        <f ca="1">$A69+AA69*Design!$B$19</f>
        <v>93.880693192436752</v>
      </c>
      <c r="AC69" s="184">
        <f ca="1">Z69*Design!$C$12+$A69</f>
        <v>100.63213939929203</v>
      </c>
      <c r="AD69" s="184">
        <f ca="1">Constants!$D$22+Constants!$D$22*Constants!$C$23/100*(AC69-25)</f>
        <v>185.50571151943362</v>
      </c>
      <c r="AE69" s="183">
        <f ca="1">(1-Constants!$D$20/1000000000*Design!$B$33*1000000) * ($B69+S69-R69*AD69/1000) - (S69+R69*(1+($A69-25)*Constants!$C$36/100)*IF(ISBLANK(Design!$B$42),Constants!$C$6/1000,Design!$B$42/1000))</f>
        <v>6.4736746974429789</v>
      </c>
      <c r="AF69" s="117">
        <f ca="1">IF(AE69&gt;Design!$C$29,Design!$C$29,AE69)</f>
        <v>4.9990521327014221</v>
      </c>
      <c r="AG69" s="118">
        <f>Design!$D$7/3</f>
        <v>0.83333333333333337</v>
      </c>
      <c r="AH69" s="118">
        <f ca="1">FORECAST(AG69, OFFSET(Design!$C$15:$C$17,MATCH(AG69,Design!$B$15:$B$17,1)-1,0,2), OFFSET(Design!$B$15:$B$17,MATCH(AG69,Design!$B$15:$B$17,1)-1,0,2))+(AQ69-25)*Design!$B$18/1000</f>
        <v>0.30519650062933962</v>
      </c>
      <c r="AI69" s="194">
        <f ca="1">IF(100*(Design!$C$29+AH69+AG69*IF(ISBLANK(Design!$B$42),Constants!$C$6,Design!$B$42)/1000*(1+Constants!$C$36/100*(AR69-25)))/($B69+AH69-AG69*AS69/1000)&gt;Design!$C$36,Design!$C$36,100*(Design!$C$29+AH69+AG69*IF(ISBLANK(Design!$B$42),Constants!$C$6,Design!$B$42)/1000*(1+Constants!$C$36/100*(AR69-25)))/($B69+AH69-AG69*AS69/1000))</f>
        <v>71.974855395289694</v>
      </c>
      <c r="AJ69" s="119">
        <f ca="1">IF(($B69-AG69*IF(ISBLANK(Design!$B$42),Constants!$C$6,Design!$B$42)/1000*(1+Constants!$C$36/100*(AR69-25))-Design!$C$29)/(IF(ISBLANK(Design!$B$41),Design!$B$39,Design!$B$41)/1000000)*AI69/100/(IF(ISBLANK(Design!$B$33),Design!$B$32,Design!$B$33)*1000000)&lt;0,0,($B69-AG69*IF(ISBLANK(Design!$B$42),Constants!$C$6,Design!$B$42)/1000*(1+Constants!$C$36/100*(AR69-25))-Design!$C$29)/(IF(ISBLANK(Design!$B$41),Design!$B$39,Design!$B$41)/1000000)*AI69/100/(IF(ISBLANK(Design!$B$33),Design!$B$32,Design!$B$33)*1000000))</f>
        <v>0.37750464464916944</v>
      </c>
      <c r="AK69" s="195">
        <f>$B69*Constants!$C$21/1000+IF(ISBLANK(Design!$B$33),Design!$B$32,Design!$B$33)*1000000*Constants!$D$25/1000000000*($B69-Constants!$C$24)</f>
        <v>2.6633749999999991E-2</v>
      </c>
      <c r="AL69" s="195">
        <f>$B69*AG69*($B69/(Constants!$C$26*1000000000)*IF(ISBLANK(Design!$B$33),Design!$B$32,Design!$B$33)*1000000/2+$B69/(Constants!$C$27*1000000000)*IF(ISBLANK(Design!$B$33),Design!$B$32,Design!$B$33)*1000000/2)</f>
        <v>1.8718735416666653E-2</v>
      </c>
      <c r="AM69" s="195">
        <f t="shared" ca="1" si="15"/>
        <v>8.9966603901590558E-2</v>
      </c>
      <c r="AN69" s="195">
        <f>Constants!$D$25/1000000000*Constants!$C$24*IF(ISBLANK(Design!$B$33),Design!$B$32,Design!$B$33)*1000000</f>
        <v>1.0624999999999999E-2</v>
      </c>
      <c r="AO69" s="195">
        <f t="shared" ca="1" si="24"/>
        <v>0.1459440893182572</v>
      </c>
      <c r="AP69" s="195">
        <f t="shared" ca="1" si="21"/>
        <v>7.1276467191573364E-2</v>
      </c>
      <c r="AQ69" s="196">
        <f ca="1">$A69+AP69*Design!$B$19</f>
        <v>89.062758629919685</v>
      </c>
      <c r="AR69" s="196">
        <f ca="1">AO69*Design!$C$12+$A69</f>
        <v>89.962099036820746</v>
      </c>
      <c r="AS69" s="196">
        <f ca="1">Constants!$D$22+Constants!$D$22*Constants!$C$23/100*(AR69-25)</f>
        <v>176.9696792294566</v>
      </c>
      <c r="AT69" s="195">
        <f ca="1">(1-Constants!$D$20/1000000000*Design!$B$33*1000000) * ($B69+AH69-AG69*AS69/1000) - (AH69+AG69*(1+($A69-25)*Constants!$C$36/100)*IF(ISBLANK(Design!$B$42),Constants!$C$6/1000,Design!$B$42/1000))</f>
        <v>6.6709503062968682</v>
      </c>
      <c r="AU69" s="119">
        <f ca="1">IF(AT69&gt;Design!$C$29,Design!$C$29,AT69)</f>
        <v>4.9990521327014221</v>
      </c>
    </row>
    <row r="70" spans="1:47" ht="12.75" customHeight="1">
      <c r="A70" s="112">
        <f>Design!$D$13</f>
        <v>85</v>
      </c>
      <c r="B70" s="113">
        <f t="shared" si="12"/>
        <v>7.0549999999999979</v>
      </c>
      <c r="C70" s="114">
        <f>Design!$D$7</f>
        <v>2.5</v>
      </c>
      <c r="D70" s="114">
        <f ca="1">FORECAST(C70, OFFSET(Design!$C$15:$C$17,MATCH(C70,Design!$B$15:$B$17,1)-1,0,2), OFFSET(Design!$B$15:$B$17,MATCH(C70,Design!$B$15:$B$17,1)-1,0,2))+(M70-25)*Design!$B$18/1000</f>
        <v>0.40090548147522698</v>
      </c>
      <c r="E70" s="173">
        <f ca="1">IF(100*(Design!$C$29+D70+C70*IF(ISBLANK(Design!$B$42),Constants!$C$6,Design!$B$42)/1000*(1+Constants!$C$36/100*(N70-25)))/($B70+D70-C70*O70/1000)&gt;Design!$C$36,Design!$C$36,100*(Design!$C$29+D70+C70*IF(ISBLANK(Design!$B$42),Constants!$C$6,Design!$B$42)/1000*(1+Constants!$C$36/100*(N70-25)))/($B70+D70-C70*O70/1000))</f>
        <v>79.704682016392738</v>
      </c>
      <c r="F70" s="115">
        <f ca="1">IF(($B70-C70*IF(ISBLANK(Design!$B$42),Constants!$C$6,Design!$B$42)/1000*(1+Constants!$C$36/100*(N70-25))-Design!$C$29)/(IF(ISBLANK(Design!$B$41),Design!$B$39,Design!$B$41)/1000000)*E70/100/(IF(ISBLANK(Design!$B$33),Design!$B$32,Design!$B$33)*1000000)&lt;0,0,($B70-C70*IF(ISBLANK(Design!$B$42),Constants!$C$6,Design!$B$42)/1000*(1+Constants!$C$36/100*(N70-25))-Design!$C$29)/(IF(ISBLANK(Design!$B$41),Design!$B$39,Design!$B$41)/1000000)*E70/100/(IF(ISBLANK(Design!$B$33),Design!$B$32,Design!$B$33)*1000000))</f>
        <v>0.35963583972246393</v>
      </c>
      <c r="G70" s="165">
        <f>B70*Constants!$C$21/1000+IF(ISBLANK(Design!$B$33),Design!$B$32,Design!$B$33)*1000000*Constants!$D$25/1000000000*(B70-Constants!$C$24)</f>
        <v>2.5531874999999989E-2</v>
      </c>
      <c r="H70" s="165">
        <f>B70*C70*(B70/(Constants!$C$26*1000000000)*IF(ISBLANK(Design!$B$33),Design!$B$32,Design!$B$33)*1000000/2+B70/(Constants!$C$27*1000000000)*IF(ISBLANK(Design!$B$33),Design!$B$32,Design!$B$33)*1000000/2)</f>
        <v>5.2883839062499965E-2</v>
      </c>
      <c r="I70" s="165">
        <f t="shared" ca="1" si="13"/>
        <v>1.0128551882835748</v>
      </c>
      <c r="J70" s="165">
        <f>Constants!$D$25/1000000000*Constants!$C$24*IF(ISBLANK(Design!$B$33),Design!$B$32,Design!$B$33)*1000000</f>
        <v>1.0624999999999999E-2</v>
      </c>
      <c r="K70" s="165">
        <f t="shared" ca="1" si="22"/>
        <v>1.1018959023460748</v>
      </c>
      <c r="L70" s="165">
        <f t="shared" ca="1" si="17"/>
        <v>0.20341260569777259</v>
      </c>
      <c r="M70" s="166">
        <f ca="1">$A70+L70*Design!$B$19</f>
        <v>96.594518524773036</v>
      </c>
      <c r="N70" s="166">
        <f ca="1">K70*Design!$C$12+A70</f>
        <v>122.46446067976655</v>
      </c>
      <c r="O70" s="166">
        <f ca="1">Constants!$D$22+Constants!$D$22*Constants!$C$23/100*(N70-25)</f>
        <v>202.97156854381325</v>
      </c>
      <c r="P70" s="165">
        <f ca="1">(1-Constants!$D$20/1000000000*Design!$B$33*1000000) * ($B70+D70-C70*O70/1000) - (D70+C70*(1+($A70-25)*Constants!$C$36/100)*IF(ISBLANK(Design!$B$42),Constants!$C$6/1000,Design!$B$42/1000))</f>
        <v>6.0400877486940727</v>
      </c>
      <c r="Q70" s="115">
        <f ca="1">IF(P70&gt;Design!$C$29,Design!$C$29,P70)</f>
        <v>4.9990521327014221</v>
      </c>
      <c r="R70" s="116">
        <f>2*Design!$D$7/3</f>
        <v>1.6666666666666667</v>
      </c>
      <c r="S70" s="116">
        <f ca="1">FORECAST(R70, OFFSET(Design!$C$15:$C$17,MATCH(R70,Design!$B$15:$B$17,1)-1,0,2), OFFSET(Design!$B$15:$B$17,MATCH(R70,Design!$B$15:$B$17,1)-1,0,2))+(AB70-25)*Design!$B$18/1000</f>
        <v>0.36595955124286894</v>
      </c>
      <c r="T70" s="182">
        <f ca="1">IF(100*(Design!$C$29+S70+R70*IF(ISBLANK(Design!$B$42),Constants!$C$6,Design!$B$42)/1000*(1+Constants!$C$36/100*(AC70-25)))/($B70+S70-R70*AD70/1000)&gt;Design!$C$36,Design!$C$36,100*(Design!$C$29+S70+R70*IF(ISBLANK(Design!$B$42),Constants!$C$6,Design!$B$42)/1000*(1+Constants!$C$36/100*(AC70-25)))/($B70+S70-R70*AD70/1000))</f>
        <v>76.659707469836349</v>
      </c>
      <c r="U70" s="117">
        <f ca="1">IF(($B70-R70*IF(ISBLANK(Design!$B$42),Constants!$C$6,Design!$B$42)/1000*(1+Constants!$C$36/100*(AC70-25))-Design!$C$29)/(IF(ISBLANK(Design!$B$41),Design!$B$39,Design!$B$41)/1000000)*T70/100/(IF(ISBLANK(Design!$B$33),Design!$B$32,Design!$B$33)*1000000)&lt;0,0,($B70-R70*IF(ISBLANK(Design!$B$42),Constants!$C$6,Design!$B$42)/1000*(1+Constants!$C$36/100*(AC70-25))-Design!$C$29)/(IF(ISBLANK(Design!$B$41),Design!$B$39,Design!$B$41)/1000000)*T70/100/(IF(ISBLANK(Design!$B$33),Design!$B$32,Design!$B$33)*1000000))</f>
        <v>0.35522997057780692</v>
      </c>
      <c r="V70" s="183">
        <f>$B70*Constants!$C$21/1000+IF(ISBLANK(Design!$B$33),Design!$B$32,Design!$B$33)*1000000*Constants!$D$25/1000000000*($B70-Constants!$C$24)</f>
        <v>2.5531874999999989E-2</v>
      </c>
      <c r="W70" s="183">
        <f>$B70*R70*($B70/(Constants!$C$26*1000000000)*IF(ISBLANK(Design!$B$33),Design!$B$32,Design!$B$33)*1000000/2+$B70/(Constants!$C$27*1000000000)*IF(ISBLANK(Design!$B$33),Design!$B$32,Design!$B$33)*1000000/2)</f>
        <v>3.5255892708333313E-2</v>
      </c>
      <c r="X70" s="183">
        <f t="shared" ca="1" si="14"/>
        <v>0.39702184622625325</v>
      </c>
      <c r="Y70" s="183">
        <f>Constants!$D$25/1000000000*Constants!$C$24*IF(ISBLANK(Design!$B$33),Design!$B$32,Design!$B$33)*1000000</f>
        <v>1.0624999999999999E-2</v>
      </c>
      <c r="Z70" s="183">
        <f t="shared" ca="1" si="23"/>
        <v>0.46843461393458652</v>
      </c>
      <c r="AA70" s="183">
        <f t="shared" ca="1" si="19"/>
        <v>0.14236004967026628</v>
      </c>
      <c r="AB70" s="184">
        <f ca="1">$A70+AA70*Design!$B$19</f>
        <v>93.114522831205178</v>
      </c>
      <c r="AC70" s="184">
        <f ca="1">Z70*Design!$C$12+$A70</f>
        <v>100.92677687377594</v>
      </c>
      <c r="AD70" s="184">
        <f ca="1">Constants!$D$22+Constants!$D$22*Constants!$C$23/100*(AC70-25)</f>
        <v>185.74142149902076</v>
      </c>
      <c r="AE70" s="183">
        <f ca="1">(1-Constants!$D$20/1000000000*Design!$B$33*1000000) * ($B70+S70-R70*AD70/1000) - (S70+R70*(1+($A70-25)*Constants!$C$36/100)*IF(ISBLANK(Design!$B$42),Constants!$C$6/1000,Design!$B$42/1000))</f>
        <v>6.2701399715251638</v>
      </c>
      <c r="AF70" s="117">
        <f ca="1">IF(AE70&gt;Design!$C$29,Design!$C$29,AE70)</f>
        <v>4.9990521327014221</v>
      </c>
      <c r="AG70" s="118">
        <f>Design!$D$7/3</f>
        <v>0.83333333333333337</v>
      </c>
      <c r="AH70" s="118">
        <f ca="1">FORECAST(AG70, OFFSET(Design!$C$15:$C$17,MATCH(AG70,Design!$B$15:$B$17,1)-1,0,2), OFFSET(Design!$B$15:$B$17,MATCH(AG70,Design!$B$15:$B$17,1)-1,0,2))+(AQ70-25)*Design!$B$18/1000</f>
        <v>0.30550391739931404</v>
      </c>
      <c r="AI70" s="194">
        <f ca="1">IF(100*(Design!$C$29+AH70+AG70*IF(ISBLANK(Design!$B$42),Constants!$C$6,Design!$B$42)/1000*(1+Constants!$C$36/100*(AR70-25)))/($B70+AH70-AG70*AS70/1000)&gt;Design!$C$36,Design!$C$36,100*(Design!$C$29+AH70+AG70*IF(ISBLANK(Design!$B$42),Constants!$C$6,Design!$B$42)/1000*(1+Constants!$C$36/100*(AR70-25)))/($B70+AH70-AG70*AS70/1000))</f>
        <v>74.12150086210184</v>
      </c>
      <c r="AJ70" s="119">
        <f ca="1">IF(($B70-AG70*IF(ISBLANK(Design!$B$42),Constants!$C$6,Design!$B$42)/1000*(1+Constants!$C$36/100*(AR70-25))-Design!$C$29)/(IF(ISBLANK(Design!$B$41),Design!$B$39,Design!$B$41)/1000000)*AI70/100/(IF(ISBLANK(Design!$B$33),Design!$B$32,Design!$B$33)*1000000)&lt;0,0,($B70-AG70*IF(ISBLANK(Design!$B$42),Constants!$C$6,Design!$B$42)/1000*(1+Constants!$C$36/100*(AR70-25))-Design!$C$29)/(IF(ISBLANK(Design!$B$41),Design!$B$39,Design!$B$41)/1000000)*AI70/100/(IF(ISBLANK(Design!$B$33),Design!$B$32,Design!$B$33)*1000000))</f>
        <v>0.35126671544233223</v>
      </c>
      <c r="AK70" s="195">
        <f>$B70*Constants!$C$21/1000+IF(ISBLANK(Design!$B$33),Design!$B$32,Design!$B$33)*1000000*Constants!$D$25/1000000000*($B70-Constants!$C$24)</f>
        <v>2.5531874999999989E-2</v>
      </c>
      <c r="AL70" s="195">
        <f>$B70*AG70*($B70/(Constants!$C$26*1000000000)*IF(ISBLANK(Design!$B$33),Design!$B$32,Design!$B$33)*1000000/2+$B70/(Constants!$C$27*1000000000)*IF(ISBLANK(Design!$B$33),Design!$B$32,Design!$B$33)*1000000/2)</f>
        <v>1.7627946354166656E-2</v>
      </c>
      <c r="AM70" s="195">
        <f t="shared" ca="1" si="15"/>
        <v>9.2444892772397272E-2</v>
      </c>
      <c r="AN70" s="195">
        <f>Constants!$D$25/1000000000*Constants!$C$24*IF(ISBLANK(Design!$B$33),Design!$B$32,Design!$B$33)*1000000</f>
        <v>1.0624999999999999E-2</v>
      </c>
      <c r="AO70" s="195">
        <f t="shared" ca="1" si="24"/>
        <v>0.14622971412656391</v>
      </c>
      <c r="AP70" s="195">
        <f t="shared" ca="1" si="21"/>
        <v>6.5883190525355489E-2</v>
      </c>
      <c r="AQ70" s="196">
        <f ca="1">$A70+AP70*Design!$B$19</f>
        <v>88.755341859945261</v>
      </c>
      <c r="AR70" s="196">
        <f ca="1">AO70*Design!$C$12+$A70</f>
        <v>89.971810280303174</v>
      </c>
      <c r="AS70" s="196">
        <f ca="1">Constants!$D$22+Constants!$D$22*Constants!$C$23/100*(AR70-25)</f>
        <v>176.97744822424255</v>
      </c>
      <c r="AT70" s="195">
        <f ca="1">(1-Constants!$D$20/1000000000*Design!$B$33*1000000) * ($B70+AH70-AG70*AS70/1000) - (AH70+AG70*(1+($A70-25)*Constants!$C$36/100)*IF(ISBLANK(Design!$B$42),Constants!$C$6/1000,Design!$B$42/1000))</f>
        <v>6.4678059550554741</v>
      </c>
      <c r="AU70" s="119">
        <f ca="1">IF(AT70&gt;Design!$C$29,Design!$C$29,AT70)</f>
        <v>4.9990521327014221</v>
      </c>
    </row>
    <row r="71" spans="1:47" ht="12.75" customHeight="1">
      <c r="A71" s="112">
        <f>Design!$D$13</f>
        <v>85</v>
      </c>
      <c r="B71" s="113">
        <f t="shared" si="12"/>
        <v>6.8399999999999981</v>
      </c>
      <c r="C71" s="114">
        <f>Design!$D$7</f>
        <v>2.5</v>
      </c>
      <c r="D71" s="114">
        <f ca="1">FORECAST(C71, OFFSET(Design!$C$15:$C$17,MATCH(C71,Design!$B$15:$B$17,1)-1,0,2), OFFSET(Design!$B$15:$B$17,MATCH(C71,Design!$B$15:$B$17,1)-1,0,2))+(M71-25)*Design!$B$18/1000</f>
        <v>0.40234456200340984</v>
      </c>
      <c r="E71" s="173">
        <f ca="1">IF(100*(Design!$C$29+D71+C71*IF(ISBLANK(Design!$B$42),Constants!$C$6,Design!$B$42)/1000*(1+Constants!$C$36/100*(N71-25)))/($B71+D71-C71*O71/1000)&gt;Design!$C$36,Design!$C$36,100*(Design!$C$29+D71+C71*IF(ISBLANK(Design!$B$42),Constants!$C$6,Design!$B$42)/1000*(1+Constants!$C$36/100*(N71-25)))/($B71+D71-C71*O71/1000))</f>
        <v>82.287263632902139</v>
      </c>
      <c r="F71" s="115">
        <f ca="1">IF(($B71-C71*IF(ISBLANK(Design!$B$42),Constants!$C$6,Design!$B$42)/1000*(1+Constants!$C$36/100*(N71-25))-Design!$C$29)/(IF(ISBLANK(Design!$B$41),Design!$B$39,Design!$B$41)/1000000)*E71/100/(IF(ISBLANK(Design!$B$33),Design!$B$32,Design!$B$33)*1000000)&lt;0,0,($B71-C71*IF(ISBLANK(Design!$B$42),Constants!$C$6,Design!$B$42)/1000*(1+Constants!$C$36/100*(N71-25))-Design!$C$29)/(IF(ISBLANK(Design!$B$41),Design!$B$39,Design!$B$41)/1000000)*E71/100/(IF(ISBLANK(Design!$B$33),Design!$B$32,Design!$B$33)*1000000))</f>
        <v>0.32957603807080749</v>
      </c>
      <c r="G71" s="165">
        <f>B71*Constants!$C$21/1000+IF(ISBLANK(Design!$B$33),Design!$B$32,Design!$B$33)*1000000*Constants!$D$25/1000000000*(B71-Constants!$C$24)</f>
        <v>2.4429999999999993E-2</v>
      </c>
      <c r="H71" s="165">
        <f>B71*C71*(B71/(Constants!$C$26*1000000000)*IF(ISBLANK(Design!$B$33),Design!$B$32,Design!$B$33)*1000000/2+B71/(Constants!$C$27*1000000000)*IF(ISBLANK(Design!$B$33),Design!$B$32,Design!$B$33)*1000000/2)</f>
        <v>4.9709699999999968E-2</v>
      </c>
      <c r="I71" s="165">
        <f t="shared" ca="1" si="13"/>
        <v>1.0499882182410512</v>
      </c>
      <c r="J71" s="165">
        <f>Constants!$D$25/1000000000*Constants!$C$24*IF(ISBLANK(Design!$B$33),Design!$B$32,Design!$B$33)*1000000</f>
        <v>1.0624999999999999E-2</v>
      </c>
      <c r="K71" s="165">
        <f t="shared" ca="1" si="22"/>
        <v>1.1347529182410512</v>
      </c>
      <c r="L71" s="165">
        <f t="shared" ca="1" si="17"/>
        <v>0.17816557888754642</v>
      </c>
      <c r="M71" s="166">
        <f ca="1">$A71+L71*Design!$B$19</f>
        <v>95.155437996590152</v>
      </c>
      <c r="N71" s="166">
        <f ca="1">K71*Design!$C$12+A71</f>
        <v>123.58159922019574</v>
      </c>
      <c r="O71" s="166">
        <f ca="1">Constants!$D$22+Constants!$D$22*Constants!$C$23/100*(N71-25)</f>
        <v>203.86527937615659</v>
      </c>
      <c r="P71" s="165">
        <f ca="1">(1-Constants!$D$20/1000000000*Design!$B$33*1000000) * ($B71+D71-C71*O71/1000) - (D71+C71*(1+($A71-25)*Constants!$C$36/100)*IF(ISBLANK(Design!$B$42),Constants!$C$6/1000,Design!$B$42/1000))</f>
        <v>5.83477615622275</v>
      </c>
      <c r="Q71" s="115">
        <f ca="1">IF(P71&gt;Design!$C$29,Design!$C$29,P71)</f>
        <v>4.9990521327014221</v>
      </c>
      <c r="R71" s="116">
        <f>2*Design!$D$7/3</f>
        <v>1.6666666666666667</v>
      </c>
      <c r="S71" s="116">
        <f ca="1">FORECAST(R71, OFFSET(Design!$C$15:$C$17,MATCH(R71,Design!$B$15:$B$17,1)-1,0,2), OFFSET(Design!$B$15:$B$17,MATCH(R71,Design!$B$15:$B$17,1)-1,0,2))+(AB71-25)*Design!$B$18/1000</f>
        <v>0.36677718296321971</v>
      </c>
      <c r="T71" s="182">
        <f ca="1">IF(100*(Design!$C$29+S71+R71*IF(ISBLANK(Design!$B$42),Constants!$C$6,Design!$B$42)/1000*(1+Constants!$C$36/100*(AC71-25)))/($B71+S71-R71*AD71/1000)&gt;Design!$C$36,Design!$C$36,100*(Design!$C$29+S71+R71*IF(ISBLANK(Design!$B$42),Constants!$C$6,Design!$B$42)/1000*(1+Constants!$C$36/100*(AC71-25)))/($B71+S71-R71*AD71/1000))</f>
        <v>79.058299239416115</v>
      </c>
      <c r="U71" s="117">
        <f ca="1">IF(($B71-R71*IF(ISBLANK(Design!$B$42),Constants!$C$6,Design!$B$42)/1000*(1+Constants!$C$36/100*(AC71-25))-Design!$C$29)/(IF(ISBLANK(Design!$B$41),Design!$B$39,Design!$B$41)/1000000)*T71/100/(IF(ISBLANK(Design!$B$33),Design!$B$32,Design!$B$33)*1000000)&lt;0,0,($B71-R71*IF(ISBLANK(Design!$B$42),Constants!$C$6,Design!$B$42)/1000*(1+Constants!$C$36/100*(AC71-25))-Design!$C$29)/(IF(ISBLANK(Design!$B$41),Design!$B$39,Design!$B$41)/1000000)*T71/100/(IF(ISBLANK(Design!$B$33),Design!$B$32,Design!$B$33)*1000000))</f>
        <v>0.32633469900654116</v>
      </c>
      <c r="V71" s="183">
        <f>$B71*Constants!$C$21/1000+IF(ISBLANK(Design!$B$33),Design!$B$32,Design!$B$33)*1000000*Constants!$D$25/1000000000*($B71-Constants!$C$24)</f>
        <v>2.4429999999999993E-2</v>
      </c>
      <c r="W71" s="183">
        <f>$B71*R71*($B71/(Constants!$C$26*1000000000)*IF(ISBLANK(Design!$B$33),Design!$B$32,Design!$B$33)*1000000/2+$B71/(Constants!$C$27*1000000000)*IF(ISBLANK(Design!$B$33),Design!$B$32,Design!$B$33)*1000000/2)</f>
        <v>3.3139799999999976E-2</v>
      </c>
      <c r="X71" s="183">
        <f t="shared" ca="1" si="14"/>
        <v>0.40977455333264157</v>
      </c>
      <c r="Y71" s="183">
        <f>Constants!$D$25/1000000000*Constants!$C$24*IF(ISBLANK(Design!$B$33),Design!$B$32,Design!$B$33)*1000000</f>
        <v>1.0624999999999999E-2</v>
      </c>
      <c r="Z71" s="183">
        <f t="shared" ca="1" si="23"/>
        <v>0.47796935333264151</v>
      </c>
      <c r="AA71" s="183">
        <f t="shared" ca="1" si="19"/>
        <v>0.12801563352376119</v>
      </c>
      <c r="AB71" s="184">
        <f ca="1">$A71+AA71*Design!$B$19</f>
        <v>92.296891110854389</v>
      </c>
      <c r="AC71" s="184">
        <f ca="1">Z71*Design!$C$12+$A71</f>
        <v>101.25095801330981</v>
      </c>
      <c r="AD71" s="184">
        <f ca="1">Constants!$D$22+Constants!$D$22*Constants!$C$23/100*(AC71-25)</f>
        <v>186.00076641064786</v>
      </c>
      <c r="AE71" s="183">
        <f ca="1">(1-Constants!$D$20/1000000000*Design!$B$33*1000000) * ($B71+S71-R71*AD71/1000) - (S71+R71*(1+($A71-25)*Constants!$C$36/100)*IF(ISBLANK(Design!$B$42),Constants!$C$6/1000,Design!$B$42/1000))</f>
        <v>6.0665651871971811</v>
      </c>
      <c r="AF71" s="117">
        <f ca="1">IF(AE71&gt;Design!$C$29,Design!$C$29,AE71)</f>
        <v>4.9990521327014221</v>
      </c>
      <c r="AG71" s="118">
        <f>Design!$D$7/3</f>
        <v>0.83333333333333337</v>
      </c>
      <c r="AH71" s="118">
        <f ca="1">FORECAST(AG71, OFFSET(Design!$C$15:$C$17,MATCH(AG71,Design!$B$15:$B$17,1)-1,0,2), OFFSET(Design!$B$15:$B$17,MATCH(AG71,Design!$B$15:$B$17,1)-1,0,2))+(AQ71-25)*Design!$B$18/1000</f>
        <v>0.30583089265292462</v>
      </c>
      <c r="AI71" s="194">
        <f ca="1">IF(100*(Design!$C$29+AH71+AG71*IF(ISBLANK(Design!$B$42),Constants!$C$6,Design!$B$42)/1000*(1+Constants!$C$36/100*(AR71-25)))/($B71+AH71-AG71*AS71/1000)&gt;Design!$C$36,Design!$C$36,100*(Design!$C$29+AH71+AG71*IF(ISBLANK(Design!$B$42),Constants!$C$6,Design!$B$42)/1000*(1+Constants!$C$36/100*(AR71-25)))/($B71+AH71-AG71*AS71/1000))</f>
        <v>76.399984169473868</v>
      </c>
      <c r="AJ71" s="119">
        <f ca="1">IF(($B71-AG71*IF(ISBLANK(Design!$B$42),Constants!$C$6,Design!$B$42)/1000*(1+Constants!$C$36/100*(AR71-25))-Design!$C$29)/(IF(ISBLANK(Design!$B$41),Design!$B$39,Design!$B$41)/1000000)*AI71/100/(IF(ISBLANK(Design!$B$33),Design!$B$32,Design!$B$33)*1000000)&lt;0,0,($B71-AG71*IF(ISBLANK(Design!$B$42),Constants!$C$6,Design!$B$42)/1000*(1+Constants!$C$36/100*(AR71-25))-Design!$C$29)/(IF(ISBLANK(Design!$B$41),Design!$B$39,Design!$B$41)/1000000)*AI71/100/(IF(ISBLANK(Design!$B$33),Design!$B$32,Design!$B$33)*1000000))</f>
        <v>0.32341481343861311</v>
      </c>
      <c r="AK71" s="195">
        <f>$B71*Constants!$C$21/1000+IF(ISBLANK(Design!$B$33),Design!$B$32,Design!$B$33)*1000000*Constants!$D$25/1000000000*($B71-Constants!$C$24)</f>
        <v>2.4429999999999993E-2</v>
      </c>
      <c r="AL71" s="195">
        <f>$B71*AG71*($B71/(Constants!$C$26*1000000000)*IF(ISBLANK(Design!$B$33),Design!$B$32,Design!$B$33)*1000000/2+$B71/(Constants!$C$27*1000000000)*IF(ISBLANK(Design!$B$33),Design!$B$32,Design!$B$33)*1000000/2)</f>
        <v>1.6569899999999988E-2</v>
      </c>
      <c r="AM71" s="195">
        <f t="shared" ca="1" si="15"/>
        <v>9.5081874594500279E-2</v>
      </c>
      <c r="AN71" s="195">
        <f>Constants!$D$25/1000000000*Constants!$C$24*IF(ISBLANK(Design!$B$33),Design!$B$32,Design!$B$33)*1000000</f>
        <v>1.0624999999999999E-2</v>
      </c>
      <c r="AO71" s="195">
        <f t="shared" ca="1" si="24"/>
        <v>0.14670677459450027</v>
      </c>
      <c r="AP71" s="195">
        <f t="shared" ca="1" si="21"/>
        <v>6.0146782567274674E-2</v>
      </c>
      <c r="AQ71" s="196">
        <f ca="1">$A71+AP71*Design!$B$19</f>
        <v>88.428366606334663</v>
      </c>
      <c r="AR71" s="196">
        <f ca="1">AO71*Design!$C$12+$A71</f>
        <v>89.988030336213015</v>
      </c>
      <c r="AS71" s="196">
        <f ca="1">Constants!$D$22+Constants!$D$22*Constants!$C$23/100*(AR71-25)</f>
        <v>176.9904242689704</v>
      </c>
      <c r="AT71" s="195">
        <f ca="1">(1-Constants!$D$20/1000000000*Design!$B$33*1000000) * ($B71+AH71-AG71*AS71/1000) - (AH71+AG71*(1+($A71-25)*Constants!$C$36/100)*IF(ISBLANK(Design!$B$42),Constants!$C$6/1000,Design!$B$42/1000))</f>
        <v>6.2646564237408313</v>
      </c>
      <c r="AU71" s="119">
        <f ca="1">IF(AT71&gt;Design!$C$29,Design!$C$29,AT71)</f>
        <v>4.9990521327014221</v>
      </c>
    </row>
    <row r="72" spans="1:47" ht="12.75" customHeight="1">
      <c r="A72" s="112">
        <f>Design!$D$13</f>
        <v>85</v>
      </c>
      <c r="B72" s="113">
        <f t="shared" si="12"/>
        <v>6.6249999999999982</v>
      </c>
      <c r="C72" s="114">
        <f>Design!$D$7</f>
        <v>2.5</v>
      </c>
      <c r="D72" s="114">
        <f ca="1">FORECAST(C72, OFFSET(Design!$C$15:$C$17,MATCH(C72,Design!$B$15:$B$17,1)-1,0,2), OFFSET(Design!$B$15:$B$17,MATCH(C72,Design!$B$15:$B$17,1)-1,0,2))+(M72-25)*Design!$B$18/1000</f>
        <v>0.40389239299951413</v>
      </c>
      <c r="E72" s="173">
        <f ca="1">IF(100*(Design!$C$29+D72+C72*IF(ISBLANK(Design!$B$42),Constants!$C$6,Design!$B$42)/1000*(1+Constants!$C$36/100*(N72-25)))/($B72+D72-C72*O72/1000)&gt;Design!$C$36,Design!$C$36,100*(Design!$C$29+D72+C72*IF(ISBLANK(Design!$B$42),Constants!$C$6,Design!$B$42)/1000*(1+Constants!$C$36/100*(N72-25)))/($B72+D72-C72*O72/1000))</f>
        <v>85.044467115624741</v>
      </c>
      <c r="F72" s="115">
        <f ca="1">IF(($B72-C72*IF(ISBLANK(Design!$B$42),Constants!$C$6,Design!$B$42)/1000*(1+Constants!$C$36/100*(N72-25))-Design!$C$29)/(IF(ISBLANK(Design!$B$41),Design!$B$39,Design!$B$41)/1000000)*E72/100/(IF(ISBLANK(Design!$B$33),Design!$B$32,Design!$B$33)*1000000)&lt;0,0,($B72-C72*IF(ISBLANK(Design!$B$42),Constants!$C$6,Design!$B$42)/1000*(1+Constants!$C$36/100*(N72-25))-Design!$C$29)/(IF(ISBLANK(Design!$B$41),Design!$B$39,Design!$B$41)/1000000)*E72/100/(IF(ISBLANK(Design!$B$33),Design!$B$32,Design!$B$33)*1000000))</f>
        <v>0.29750064319509478</v>
      </c>
      <c r="G72" s="165">
        <f>B72*Constants!$C$21/1000+IF(ISBLANK(Design!$B$33),Design!$B$32,Design!$B$33)*1000000*Constants!$D$25/1000000000*(B72-Constants!$C$24)</f>
        <v>2.3328124999999991E-2</v>
      </c>
      <c r="H72" s="165">
        <f>B72*C72*(B72/(Constants!$C$26*1000000000)*IF(ISBLANK(Design!$B$33),Design!$B$32,Design!$B$33)*1000000/2+B72/(Constants!$C$27*1000000000)*IF(ISBLANK(Design!$B$33),Design!$B$32,Design!$B$33)*1000000/2)</f>
        <v>4.6633789062499972E-2</v>
      </c>
      <c r="I72" s="165">
        <f t="shared" ca="1" si="13"/>
        <v>1.0900777053606954</v>
      </c>
      <c r="J72" s="165">
        <f>Constants!$D$25/1000000000*Constants!$C$24*IF(ISBLANK(Design!$B$33),Design!$B$32,Design!$B$33)*1000000</f>
        <v>1.0624999999999999E-2</v>
      </c>
      <c r="K72" s="165">
        <f t="shared" ca="1" si="22"/>
        <v>1.1706646194231953</v>
      </c>
      <c r="L72" s="165">
        <f t="shared" ca="1" si="17"/>
        <v>0.15101064913133119</v>
      </c>
      <c r="M72" s="166">
        <f ca="1">$A72+L72*Design!$B$19</f>
        <v>93.607607000485871</v>
      </c>
      <c r="N72" s="166">
        <f ca="1">K72*Design!$C$12+A72</f>
        <v>124.80259706038865</v>
      </c>
      <c r="O72" s="166">
        <f ca="1">Constants!$D$22+Constants!$D$22*Constants!$C$23/100*(N72-25)</f>
        <v>204.84207764831092</v>
      </c>
      <c r="P72" s="165">
        <f ca="1">(1-Constants!$D$20/1000000000*Design!$B$33*1000000) * ($B72+D72-C72*O72/1000) - (D72+C72*(1+($A72-25)*Constants!$C$36/100)*IF(ISBLANK(Design!$B$42),Constants!$C$6/1000,Design!$B$42/1000))</f>
        <v>5.6292623131411705</v>
      </c>
      <c r="Q72" s="115">
        <f ca="1">IF(P72&gt;Design!$C$29,Design!$C$29,P72)</f>
        <v>4.9990521327014221</v>
      </c>
      <c r="R72" s="116">
        <f>2*Design!$D$7/3</f>
        <v>1.6666666666666667</v>
      </c>
      <c r="S72" s="116">
        <f ca="1">FORECAST(R72, OFFSET(Design!$C$15:$C$17,MATCH(R72,Design!$B$15:$B$17,1)-1,0,2), OFFSET(Design!$B$15:$B$17,MATCH(R72,Design!$B$15:$B$17,1)-1,0,2))+(AB72-25)*Design!$B$18/1000</f>
        <v>0.36765163673278634</v>
      </c>
      <c r="T72" s="182">
        <f ca="1">IF(100*(Design!$C$29+S72+R72*IF(ISBLANK(Design!$B$42),Constants!$C$6,Design!$B$42)/1000*(1+Constants!$C$36/100*(AC72-25)))/($B72+S72-R72*AD72/1000)&gt;Design!$C$36,Design!$C$36,100*(Design!$C$29+S72+R72*IF(ISBLANK(Design!$B$42),Constants!$C$6,Design!$B$42)/1000*(1+Constants!$C$36/100*(AC72-25)))/($B72+S72-R72*AD72/1000))</f>
        <v>81.611776791398015</v>
      </c>
      <c r="U72" s="117">
        <f ca="1">IF(($B72-R72*IF(ISBLANK(Design!$B$42),Constants!$C$6,Design!$B$42)/1000*(1+Constants!$C$36/100*(AC72-25))-Design!$C$29)/(IF(ISBLANK(Design!$B$41),Design!$B$39,Design!$B$41)/1000000)*T72/100/(IF(ISBLANK(Design!$B$33),Design!$B$32,Design!$B$33)*1000000)&lt;0,0,($B72-R72*IF(ISBLANK(Design!$B$42),Constants!$C$6,Design!$B$42)/1000*(1+Constants!$C$36/100*(AC72-25))-Design!$C$29)/(IF(ISBLANK(Design!$B$41),Design!$B$39,Design!$B$41)/1000000)*T72/100/(IF(ISBLANK(Design!$B$33),Design!$B$32,Design!$B$33)*1000000))</f>
        <v>0.29557097401931259</v>
      </c>
      <c r="V72" s="183">
        <f>$B72*Constants!$C$21/1000+IF(ISBLANK(Design!$B$33),Design!$B$32,Design!$B$33)*1000000*Constants!$D$25/1000000000*($B72-Constants!$C$24)</f>
        <v>2.3328124999999991E-2</v>
      </c>
      <c r="W72" s="183">
        <f>$B72*R72*($B72/(Constants!$C$26*1000000000)*IF(ISBLANK(Design!$B$33),Design!$B$32,Design!$B$33)*1000000/2+$B72/(Constants!$C$27*1000000000)*IF(ISBLANK(Design!$B$33),Design!$B$32,Design!$B$33)*1000000/2)</f>
        <v>3.1089192708333317E-2</v>
      </c>
      <c r="X72" s="183">
        <f t="shared" ca="1" si="14"/>
        <v>0.42341618482246041</v>
      </c>
      <c r="Y72" s="183">
        <f>Constants!$D$25/1000000000*Constants!$C$24*IF(ISBLANK(Design!$B$33),Design!$B$32,Design!$B$33)*1000000</f>
        <v>1.0624999999999999E-2</v>
      </c>
      <c r="Z72" s="183">
        <f t="shared" ca="1" si="23"/>
        <v>0.4884585025307937</v>
      </c>
      <c r="AA72" s="183">
        <f t="shared" ca="1" si="19"/>
        <v>0.1126743393208388</v>
      </c>
      <c r="AB72" s="184">
        <f ca="1">$A72+AA72*Design!$B$19</f>
        <v>91.422437341287818</v>
      </c>
      <c r="AC72" s="184">
        <f ca="1">Z72*Design!$C$12+$A72</f>
        <v>101.60758908604699</v>
      </c>
      <c r="AD72" s="184">
        <f ca="1">Constants!$D$22+Constants!$D$22*Constants!$C$23/100*(AC72-25)</f>
        <v>186.28607126883759</v>
      </c>
      <c r="AE72" s="183">
        <f ca="1">(1-Constants!$D$20/1000000000*Design!$B$33*1000000) * ($B72+S72-R72*AD72/1000) - (S72+R72*(1+($A72-25)*Constants!$C$36/100)*IF(ISBLANK(Design!$B$42),Constants!$C$6/1000,Design!$B$42/1000))</f>
        <v>5.8629463873517871</v>
      </c>
      <c r="AF72" s="117">
        <f ca="1">IF(AE72&gt;Design!$C$29,Design!$C$29,AE72)</f>
        <v>4.9990521327014221</v>
      </c>
      <c r="AG72" s="118">
        <f>Design!$D$7/3</f>
        <v>0.83333333333333337</v>
      </c>
      <c r="AH72" s="118">
        <f ca="1">FORECAST(AG72, OFFSET(Design!$C$15:$C$17,MATCH(AG72,Design!$B$15:$B$17,1)-1,0,2), OFFSET(Design!$B$15:$B$17,MATCH(AG72,Design!$B$15:$B$17,1)-1,0,2))+(AQ72-25)*Design!$B$18/1000</f>
        <v>0.30617935181276607</v>
      </c>
      <c r="AI72" s="194">
        <f ca="1">IF(100*(Design!$C$29+AH72+AG72*IF(ISBLANK(Design!$B$42),Constants!$C$6,Design!$B$42)/1000*(1+Constants!$C$36/100*(AR72-25)))/($B72+AH72-AG72*AS72/1000)&gt;Design!$C$36,Design!$C$36,100*(Design!$C$29+AH72+AG72*IF(ISBLANK(Design!$B$42),Constants!$C$6,Design!$B$42)/1000*(1+Constants!$C$36/100*(AR72-25)))/($B72+AH72-AG72*AS72/1000))</f>
        <v>78.822818591656969</v>
      </c>
      <c r="AJ72" s="119">
        <f ca="1">IF(($B72-AG72*IF(ISBLANK(Design!$B$42),Constants!$C$6,Design!$B$42)/1000*(1+Constants!$C$36/100*(AR72-25))-Design!$C$29)/(IF(ISBLANK(Design!$B$41),Design!$B$39,Design!$B$41)/1000000)*AI72/100/(IF(ISBLANK(Design!$B$33),Design!$B$32,Design!$B$33)*1000000)&lt;0,0,($B72-AG72*IF(ISBLANK(Design!$B$42),Constants!$C$6,Design!$B$42)/1000*(1+Constants!$C$36/100*(AR72-25))-Design!$C$29)/(IF(ISBLANK(Design!$B$41),Design!$B$39,Design!$B$41)/1000000)*AI72/100/(IF(ISBLANK(Design!$B$33),Design!$B$32,Design!$B$33)*1000000))</f>
        <v>0.29379546586700039</v>
      </c>
      <c r="AK72" s="195">
        <f>$B72*Constants!$C$21/1000+IF(ISBLANK(Design!$B$33),Design!$B$32,Design!$B$33)*1000000*Constants!$D$25/1000000000*($B72-Constants!$C$24)</f>
        <v>2.3328124999999991E-2</v>
      </c>
      <c r="AL72" s="195">
        <f>$B72*AG72*($B72/(Constants!$C$26*1000000000)*IF(ISBLANK(Design!$B$33),Design!$B$32,Design!$B$33)*1000000/2+$B72/(Constants!$C$27*1000000000)*IF(ISBLANK(Design!$B$33),Design!$B$32,Design!$B$33)*1000000/2)</f>
        <v>1.5544596354166659E-2</v>
      </c>
      <c r="AM72" s="195">
        <f t="shared" ca="1" si="15"/>
        <v>9.7894941905232333E-2</v>
      </c>
      <c r="AN72" s="195">
        <f>Constants!$D$25/1000000000*Constants!$C$24*IF(ISBLANK(Design!$B$33),Design!$B$32,Design!$B$33)*1000000</f>
        <v>1.0624999999999999E-2</v>
      </c>
      <c r="AO72" s="195">
        <f t="shared" ca="1" si="24"/>
        <v>0.14739266325939898</v>
      </c>
      <c r="AP72" s="195">
        <f t="shared" ca="1" si="21"/>
        <v>5.4033463973565239E-2</v>
      </c>
      <c r="AQ72" s="196">
        <f ca="1">$A72+AP72*Design!$B$19</f>
        <v>88.079907446493223</v>
      </c>
      <c r="AR72" s="196">
        <f ca="1">AO72*Design!$C$12+$A72</f>
        <v>90.011350550819571</v>
      </c>
      <c r="AS72" s="196">
        <f ca="1">Constants!$D$22+Constants!$D$22*Constants!$C$23/100*(AR72-25)</f>
        <v>177.00908044065565</v>
      </c>
      <c r="AT72" s="195">
        <f ca="1">(1-Constants!$D$20/1000000000*Design!$B$33*1000000) * ($B72+AH72-AG72*AS72/1000) - (AH72+AG72*(1+($A72-25)*Constants!$C$36/100)*IF(ISBLANK(Design!$B$42),Constants!$C$6/1000,Design!$B$42/1000))</f>
        <v>6.0615012335237513</v>
      </c>
      <c r="AU72" s="119">
        <f ca="1">IF(AT72&gt;Design!$C$29,Design!$C$29,AT72)</f>
        <v>4.9990521327014221</v>
      </c>
    </row>
    <row r="73" spans="1:47" ht="12.75" customHeight="1">
      <c r="A73" s="112">
        <f>Design!$D$13</f>
        <v>85</v>
      </c>
      <c r="B73" s="113">
        <f t="shared" si="12"/>
        <v>6.4099999999999984</v>
      </c>
      <c r="C73" s="114">
        <f>Design!$D$7</f>
        <v>2.5</v>
      </c>
      <c r="D73" s="114">
        <f ca="1">FORECAST(C73, OFFSET(Design!$C$15:$C$17,MATCH(C73,Design!$B$15:$B$17,1)-1,0,2), OFFSET(Design!$B$15:$B$17,MATCH(C73,Design!$B$15:$B$17,1)-1,0,2))+(M73-25)*Design!$B$18/1000</f>
        <v>0.40556190331863401</v>
      </c>
      <c r="E73" s="173">
        <f ca="1">IF(100*(Design!$C$29+D73+C73*IF(ISBLANK(Design!$B$42),Constants!$C$6,Design!$B$42)/1000*(1+Constants!$C$36/100*(N73-25)))/($B73+D73-C73*O73/1000)&gt;Design!$C$36,Design!$C$36,100*(Design!$C$29+D73+C73*IF(ISBLANK(Design!$B$42),Constants!$C$6,Design!$B$42)/1000*(1+Constants!$C$36/100*(N73-25)))/($B73+D73-C73*O73/1000))</f>
        <v>87.994829552390271</v>
      </c>
      <c r="F73" s="115">
        <f ca="1">IF(($B73-C73*IF(ISBLANK(Design!$B$42),Constants!$C$6,Design!$B$42)/1000*(1+Constants!$C$36/100*(N73-25))-Design!$C$29)/(IF(ISBLANK(Design!$B$41),Design!$B$39,Design!$B$41)/1000000)*E73/100/(IF(ISBLANK(Design!$B$33),Design!$B$32,Design!$B$33)*1000000)&lt;0,0,($B73-C73*IF(ISBLANK(Design!$B$42),Constants!$C$6,Design!$B$42)/1000*(1+Constants!$C$36/100*(N73-25))-Design!$C$29)/(IF(ISBLANK(Design!$B$41),Design!$B$39,Design!$B$41)/1000000)*E73/100/(IF(ISBLANK(Design!$B$33),Design!$B$32,Design!$B$33)*1000000))</f>
        <v>0.26319767066013711</v>
      </c>
      <c r="G73" s="165">
        <f>B73*Constants!$C$21/1000+IF(ISBLANK(Design!$B$33),Design!$B$32,Design!$B$33)*1000000*Constants!$D$25/1000000000*(B73-Constants!$C$24)</f>
        <v>2.2226249999999993E-2</v>
      </c>
      <c r="H73" s="165">
        <f>B73*C73*(B73/(Constants!$C$26*1000000000)*IF(ISBLANK(Design!$B$33),Design!$B$32,Design!$B$33)*1000000/2+B73/(Constants!$C$27*1000000000)*IF(ISBLANK(Design!$B$33),Design!$B$32,Design!$B$33)*1000000/2)</f>
        <v>4.3656106249999972E-2</v>
      </c>
      <c r="I73" s="165">
        <f t="shared" ca="1" si="13"/>
        <v>1.1334959262363593</v>
      </c>
      <c r="J73" s="165">
        <f>Constants!$D$25/1000000000*Constants!$C$24*IF(ISBLANK(Design!$B$33),Design!$B$32,Design!$B$33)*1000000</f>
        <v>1.0624999999999999E-2</v>
      </c>
      <c r="K73" s="165">
        <f t="shared" ca="1" si="22"/>
        <v>1.2100032824863594</v>
      </c>
      <c r="L73" s="165">
        <f t="shared" ca="1" si="17"/>
        <v>0.12172099440993044</v>
      </c>
      <c r="M73" s="166">
        <f ca="1">$A73+L73*Design!$B$19</f>
        <v>91.938096681366034</v>
      </c>
      <c r="N73" s="166">
        <f ca="1">K73*Design!$C$12+A73</f>
        <v>126.14011160453622</v>
      </c>
      <c r="O73" s="166">
        <f ca="1">Constants!$D$22+Constants!$D$22*Constants!$C$23/100*(N73-25)</f>
        <v>205.91208928362897</v>
      </c>
      <c r="P73" s="165">
        <f ca="1">(1-Constants!$D$20/1000000000*Design!$B$33*1000000) * ($B73+D73-C73*O73/1000) - (D73+C73*(1+($A73-25)*Constants!$C$36/100)*IF(ISBLANK(Design!$B$42),Constants!$C$6/1000,Design!$B$42/1000))</f>
        <v>5.4235215889648725</v>
      </c>
      <c r="Q73" s="115">
        <f ca="1">IF(P73&gt;Design!$C$29,Design!$C$29,P73)</f>
        <v>4.9990521327014221</v>
      </c>
      <c r="R73" s="116">
        <f>2*Design!$D$7/3</f>
        <v>1.6666666666666667</v>
      </c>
      <c r="S73" s="116">
        <f ca="1">FORECAST(R73, OFFSET(Design!$C$15:$C$17,MATCH(R73,Design!$B$15:$B$17,1)-1,0,2), OFFSET(Design!$B$15:$B$17,MATCH(R73,Design!$B$15:$B$17,1)-1,0,2))+(AB73-25)*Design!$B$18/1000</f>
        <v>0.36858904410609772</v>
      </c>
      <c r="T73" s="182">
        <f ca="1">IF(100*(Design!$C$29+S73+R73*IF(ISBLANK(Design!$B$42),Constants!$C$6,Design!$B$42)/1000*(1+Constants!$C$36/100*(AC73-25)))/($B73+S73-R73*AD73/1000)&gt;Design!$C$36,Design!$C$36,100*(Design!$C$29+S73+R73*IF(ISBLANK(Design!$B$42),Constants!$C$6,Design!$B$42)/1000*(1+Constants!$C$36/100*(AC73-25)))/($B73+S73-R73*AD73/1000))</f>
        <v>84.335628396749982</v>
      </c>
      <c r="U73" s="117">
        <f ca="1">IF(($B73-R73*IF(ISBLANK(Design!$B$42),Constants!$C$6,Design!$B$42)/1000*(1+Constants!$C$36/100*(AC73-25))-Design!$C$29)/(IF(ISBLANK(Design!$B$41),Design!$B$39,Design!$B$41)/1000000)*T73/100/(IF(ISBLANK(Design!$B$33),Design!$B$32,Design!$B$33)*1000000)&lt;0,0,($B73-R73*IF(ISBLANK(Design!$B$42),Constants!$C$6,Design!$B$42)/1000*(1+Constants!$C$36/100*(AC73-25))-Design!$C$29)/(IF(ISBLANK(Design!$B$41),Design!$B$39,Design!$B$41)/1000000)*T73/100/(IF(ISBLANK(Design!$B$33),Design!$B$32,Design!$B$33)*1000000))</f>
        <v>0.26275155888772173</v>
      </c>
      <c r="V73" s="183">
        <f>$B73*Constants!$C$21/1000+IF(ISBLANK(Design!$B$33),Design!$B$32,Design!$B$33)*1000000*Constants!$D$25/1000000000*($B73-Constants!$C$24)</f>
        <v>2.2226249999999993E-2</v>
      </c>
      <c r="W73" s="183">
        <f>$B73*R73*($B73/(Constants!$C$26*1000000000)*IF(ISBLANK(Design!$B$33),Design!$B$32,Design!$B$33)*1000000/2+$B73/(Constants!$C$27*1000000000)*IF(ISBLANK(Design!$B$33),Design!$B$32,Design!$B$33)*1000000/2)</f>
        <v>2.9104070833333322E-2</v>
      </c>
      <c r="X73" s="183">
        <f t="shared" ca="1" si="14"/>
        <v>0.43804508205134146</v>
      </c>
      <c r="Y73" s="183">
        <f>Constants!$D$25/1000000000*Constants!$C$24*IF(ISBLANK(Design!$B$33),Design!$B$32,Design!$B$33)*1000000</f>
        <v>1.0624999999999999E-2</v>
      </c>
      <c r="Z73" s="183">
        <f t="shared" ca="1" si="23"/>
        <v>0.50000040288467484</v>
      </c>
      <c r="AA73" s="183">
        <f t="shared" ca="1" si="19"/>
        <v>9.6228595929410424E-2</v>
      </c>
      <c r="AB73" s="184">
        <f ca="1">$A73+AA73*Design!$B$19</f>
        <v>90.485029967976388</v>
      </c>
      <c r="AC73" s="184">
        <f ca="1">Z73*Design!$C$12+$A73</f>
        <v>102.00001369807894</v>
      </c>
      <c r="AD73" s="184">
        <f ca="1">Constants!$D$22+Constants!$D$22*Constants!$C$23/100*(AC73-25)</f>
        <v>186.60001095846314</v>
      </c>
      <c r="AE73" s="183">
        <f ca="1">(1-Constants!$D$20/1000000000*Design!$B$33*1000000) * ($B73+S73-R73*AD73/1000) - (S73+R73*(1+($A73-25)*Constants!$C$36/100)*IF(ISBLANK(Design!$B$42),Constants!$C$6/1000,Design!$B$42/1000))</f>
        <v>5.6592790213914554</v>
      </c>
      <c r="AF73" s="117">
        <f ca="1">IF(AE73&gt;Design!$C$29,Design!$C$29,AE73)</f>
        <v>4.9990521327014221</v>
      </c>
      <c r="AG73" s="118">
        <f>Design!$D$7/3</f>
        <v>0.83333333333333337</v>
      </c>
      <c r="AH73" s="118">
        <f ca="1">FORECAST(AG73, OFFSET(Design!$C$15:$C$17,MATCH(AG73,Design!$B$15:$B$17,1)-1,0,2), OFFSET(Design!$B$15:$B$17,MATCH(AG73,Design!$B$15:$B$17,1)-1,0,2))+(AQ73-25)*Design!$B$18/1000</f>
        <v>0.30655148127856424</v>
      </c>
      <c r="AI73" s="194">
        <f ca="1">IF(100*(Design!$C$29+AH73+AG73*IF(ISBLANK(Design!$B$42),Constants!$C$6,Design!$B$42)/1000*(1+Constants!$C$36/100*(AR73-25)))/($B73+AH73-AG73*AS73/1000)&gt;Design!$C$36,Design!$C$36,100*(Design!$C$29+AH73+AG73*IF(ISBLANK(Design!$B$42),Constants!$C$6,Design!$B$42)/1000*(1+Constants!$C$36/100*(AR73-25)))/($B73+AH73-AG73*AS73/1000))</f>
        <v>81.404150458709452</v>
      </c>
      <c r="AJ73" s="119">
        <f ca="1">IF(($B73-AG73*IF(ISBLANK(Design!$B$42),Constants!$C$6,Design!$B$42)/1000*(1+Constants!$C$36/100*(AR73-25))-Design!$C$29)/(IF(ISBLANK(Design!$B$41),Design!$B$39,Design!$B$41)/1000000)*AI73/100/(IF(ISBLANK(Design!$B$33),Design!$B$32,Design!$B$33)*1000000)&lt;0,0,($B73-AG73*IF(ISBLANK(Design!$B$42),Constants!$C$6,Design!$B$42)/1000*(1+Constants!$C$36/100*(AR73-25))-Design!$C$29)/(IF(ISBLANK(Design!$B$41),Design!$B$39,Design!$B$41)/1000000)*AI73/100/(IF(ISBLANK(Design!$B$33),Design!$B$32,Design!$B$33)*1000000))</f>
        <v>0.26223513336041759</v>
      </c>
      <c r="AK73" s="195">
        <f>$B73*Constants!$C$21/1000+IF(ISBLANK(Design!$B$33),Design!$B$32,Design!$B$33)*1000000*Constants!$D$25/1000000000*($B73-Constants!$C$24)</f>
        <v>2.2226249999999993E-2</v>
      </c>
      <c r="AL73" s="195">
        <f>$B73*AG73*($B73/(Constants!$C$26*1000000000)*IF(ISBLANK(Design!$B$33),Design!$B$32,Design!$B$33)*1000000/2+$B73/(Constants!$C$27*1000000000)*IF(ISBLANK(Design!$B$33),Design!$B$32,Design!$B$33)*1000000/2)</f>
        <v>1.4552035416666661E-2</v>
      </c>
      <c r="AM73" s="195">
        <f t="shared" ca="1" si="15"/>
        <v>0.10090432476211217</v>
      </c>
      <c r="AN73" s="195">
        <f>Constants!$D$25/1000000000*Constants!$C$24*IF(ISBLANK(Design!$B$33),Design!$B$32,Design!$B$33)*1000000</f>
        <v>1.0624999999999999E-2</v>
      </c>
      <c r="AO73" s="195">
        <f t="shared" ca="1" si="24"/>
        <v>0.1483076101787788</v>
      </c>
      <c r="AP73" s="195">
        <f t="shared" ca="1" si="21"/>
        <v>4.7504876854299383E-2</v>
      </c>
      <c r="AQ73" s="196">
        <f ca="1">$A73+AP73*Design!$B$19</f>
        <v>87.70777798069507</v>
      </c>
      <c r="AR73" s="196">
        <f ca="1">AO73*Design!$C$12+$A73</f>
        <v>90.042458746078481</v>
      </c>
      <c r="AS73" s="196">
        <f ca="1">Constants!$D$22+Constants!$D$22*Constants!$C$23/100*(AR73-25)</f>
        <v>177.03396699686277</v>
      </c>
      <c r="AT73" s="195">
        <f ca="1">(1-Constants!$D$20/1000000000*Design!$B$33*1000000) * ($B73+AH73-AG73*AS73/1000) - (AH73+AG73*(1+($A73-25)*Constants!$C$36/100)*IF(ISBLANK(Design!$B$42),Constants!$C$6/1000,Design!$B$42/1000))</f>
        <v>5.8583398303924525</v>
      </c>
      <c r="AU73" s="119">
        <f ca="1">IF(AT73&gt;Design!$C$29,Design!$C$29,AT73)</f>
        <v>4.9990521327014221</v>
      </c>
    </row>
    <row r="74" spans="1:47" ht="12.75" customHeight="1">
      <c r="A74" s="112">
        <f>Design!$D$13</f>
        <v>85</v>
      </c>
      <c r="B74" s="113">
        <f t="shared" si="12"/>
        <v>6.1949999999999985</v>
      </c>
      <c r="C74" s="114">
        <f>Design!$D$7</f>
        <v>2.5</v>
      </c>
      <c r="D74" s="114">
        <f ca="1">FORECAST(C74, OFFSET(Design!$C$15:$C$17,MATCH(C74,Design!$B$15:$B$17,1)-1,0,2), OFFSET(Design!$B$15:$B$17,MATCH(C74,Design!$B$15:$B$17,1)-1,0,2))+(M74-25)*Design!$B$18/1000</f>
        <v>0.40736817959847632</v>
      </c>
      <c r="E74" s="173">
        <f ca="1">IF(100*(Design!$C$29+D74+C74*IF(ISBLANK(Design!$B$42),Constants!$C$6,Design!$B$42)/1000*(1+Constants!$C$36/100*(N74-25)))/($B74+D74-C74*O74/1000)&gt;Design!$C$36,Design!$C$36,100*(Design!$C$29+D74+C74*IF(ISBLANK(Design!$B$42),Constants!$C$6,Design!$B$42)/1000*(1+Constants!$C$36/100*(N74-25)))/($B74+D74-C74*O74/1000))</f>
        <v>91.159649537911662</v>
      </c>
      <c r="F74" s="115">
        <f ca="1">IF(($B74-C74*IF(ISBLANK(Design!$B$42),Constants!$C$6,Design!$B$42)/1000*(1+Constants!$C$36/100*(N74-25))-Design!$C$29)/(IF(ISBLANK(Design!$B$41),Design!$B$39,Design!$B$41)/1000000)*E74/100/(IF(ISBLANK(Design!$B$33),Design!$B$32,Design!$B$33)*1000000)&lt;0,0,($B74-C74*IF(ISBLANK(Design!$B$42),Constants!$C$6,Design!$B$42)/1000*(1+Constants!$C$36/100*(N74-25))-Design!$C$29)/(IF(ISBLANK(Design!$B$41),Design!$B$39,Design!$B$41)/1000000)*E74/100/(IF(ISBLANK(Design!$B$33),Design!$B$32,Design!$B$33)*1000000))</f>
        <v>0.22642394777493979</v>
      </c>
      <c r="G74" s="165">
        <f>B74*Constants!$C$21/1000+IF(ISBLANK(Design!$B$33),Design!$B$32,Design!$B$33)*1000000*Constants!$D$25/1000000000*(B74-Constants!$C$24)</f>
        <v>2.112437499999999E-2</v>
      </c>
      <c r="H74" s="165">
        <f>B74*C74*(B74/(Constants!$C$26*1000000000)*IF(ISBLANK(Design!$B$33),Design!$B$32,Design!$B$33)*1000000/2+B74/(Constants!$C$27*1000000000)*IF(ISBLANK(Design!$B$33),Design!$B$32,Design!$B$33)*1000000/2)</f>
        <v>4.0776651562499981E-2</v>
      </c>
      <c r="I74" s="165">
        <f t="shared" ca="1" si="13"/>
        <v>1.1806815814575193</v>
      </c>
      <c r="J74" s="165">
        <f>Constants!$D$25/1000000000*Constants!$C$24*IF(ISBLANK(Design!$B$33),Design!$B$32,Design!$B$33)*1000000</f>
        <v>1.0624999999999999E-2</v>
      </c>
      <c r="K74" s="165">
        <f t="shared" ca="1" si="22"/>
        <v>1.2532076080200194</v>
      </c>
      <c r="L74" s="165">
        <f t="shared" ca="1" si="17"/>
        <v>9.0031936868836926E-2</v>
      </c>
      <c r="M74" s="166">
        <f ca="1">$A74+L74*Design!$B$19</f>
        <v>90.131820401523697</v>
      </c>
      <c r="N74" s="166">
        <f ca="1">K74*Design!$C$12+A74</f>
        <v>127.60905867268066</v>
      </c>
      <c r="O74" s="166">
        <f ca="1">Constants!$D$22+Constants!$D$22*Constants!$C$23/100*(N74-25)</f>
        <v>207.08724693814452</v>
      </c>
      <c r="P74" s="165">
        <f ca="1">(1-Constants!$D$20/1000000000*Design!$B$33*1000000) * ($B74+D74-C74*O74/1000) - (D74+C74*(1+($A74-25)*Constants!$C$36/100)*IF(ISBLANK(Design!$B$42),Constants!$C$6/1000,Design!$B$42/1000))</f>
        <v>5.2175249667151533</v>
      </c>
      <c r="Q74" s="115">
        <f ca="1">IF(P74&gt;Design!$C$29,Design!$C$29,P74)</f>
        <v>4.9990521327014221</v>
      </c>
      <c r="R74" s="116">
        <f>2*Design!$D$7/3</f>
        <v>1.6666666666666667</v>
      </c>
      <c r="S74" s="116">
        <f ca="1">FORECAST(R74, OFFSET(Design!$C$15:$C$17,MATCH(R74,Design!$B$15:$B$17,1)-1,0,2), OFFSET(Design!$B$15:$B$17,MATCH(R74,Design!$B$15:$B$17,1)-1,0,2))+(AB74-25)*Design!$B$18/1000</f>
        <v>0.36959645117543716</v>
      </c>
      <c r="T74" s="182">
        <f ca="1">IF(100*(Design!$C$29+S74+R74*IF(ISBLANK(Design!$B$42),Constants!$C$6,Design!$B$42)/1000*(1+Constants!$C$36/100*(AC74-25)))/($B74+S74-R74*AD74/1000)&gt;Design!$C$36,Design!$C$36,100*(Design!$C$29+S74+R74*IF(ISBLANK(Design!$B$42),Constants!$C$6,Design!$B$42)/1000*(1+Constants!$C$36/100*(AC74-25)))/($B74+S74-R74*AD74/1000))</f>
        <v>87.247476952948844</v>
      </c>
      <c r="U74" s="117">
        <f ca="1">IF(($B74-R74*IF(ISBLANK(Design!$B$42),Constants!$C$6,Design!$B$42)/1000*(1+Constants!$C$36/100*(AC74-25))-Design!$C$29)/(IF(ISBLANK(Design!$B$41),Design!$B$39,Design!$B$41)/1000000)*T74/100/(IF(ISBLANK(Design!$B$33),Design!$B$32,Design!$B$33)*1000000)&lt;0,0,($B74-R74*IF(ISBLANK(Design!$B$42),Constants!$C$6,Design!$B$42)/1000*(1+Constants!$C$36/100*(AC74-25))-Design!$C$29)/(IF(ISBLANK(Design!$B$41),Design!$B$39,Design!$B$41)/1000000)*T74/100/(IF(ISBLANK(Design!$B$33),Design!$B$32,Design!$B$33)*1000000))</f>
        <v>0.22766335911130828</v>
      </c>
      <c r="V74" s="183">
        <f>$B74*Constants!$C$21/1000+IF(ISBLANK(Design!$B$33),Design!$B$32,Design!$B$33)*1000000*Constants!$D$25/1000000000*($B74-Constants!$C$24)</f>
        <v>2.112437499999999E-2</v>
      </c>
      <c r="W74" s="183">
        <f>$B74*R74*($B74/(Constants!$C$26*1000000000)*IF(ISBLANK(Design!$B$33),Design!$B$32,Design!$B$33)*1000000/2+$B74/(Constants!$C$27*1000000000)*IF(ISBLANK(Design!$B$33),Design!$B$32,Design!$B$33)*1000000/2)</f>
        <v>2.7184434374999986E-2</v>
      </c>
      <c r="X74" s="183">
        <f t="shared" ca="1" si="14"/>
        <v>0.45377501268868908</v>
      </c>
      <c r="Y74" s="183">
        <f>Constants!$D$25/1000000000*Constants!$C$24*IF(ISBLANK(Design!$B$33),Design!$B$32,Design!$B$33)*1000000</f>
        <v>1.0624999999999999E-2</v>
      </c>
      <c r="Z74" s="183">
        <f t="shared" ca="1" si="23"/>
        <v>0.51270882206368906</v>
      </c>
      <c r="AA74" s="183">
        <f t="shared" ca="1" si="19"/>
        <v>7.8554787695384667E-2</v>
      </c>
      <c r="AB74" s="184">
        <f ca="1">$A74+AA74*Design!$B$19</f>
        <v>89.477622898636923</v>
      </c>
      <c r="AC74" s="184">
        <f ca="1">Z74*Design!$C$12+$A74</f>
        <v>102.43209995016542</v>
      </c>
      <c r="AD74" s="184">
        <f ca="1">Constants!$D$22+Constants!$D$22*Constants!$C$23/100*(AC74-25)</f>
        <v>186.94567996013234</v>
      </c>
      <c r="AE74" s="183">
        <f ca="1">(1-Constants!$D$20/1000000000*Design!$B$33*1000000) * ($B74+S74-R74*AD74/1000) - (S74+R74*(1+($A74-25)*Constants!$C$36/100)*IF(ISBLANK(Design!$B$42),Constants!$C$6/1000,Design!$B$42/1000))</f>
        <v>5.4555578275019974</v>
      </c>
      <c r="AF74" s="117">
        <f ca="1">IF(AE74&gt;Design!$C$29,Design!$C$29,AE74)</f>
        <v>4.9990521327014221</v>
      </c>
      <c r="AG74" s="118">
        <f>Design!$D$7/3</f>
        <v>0.83333333333333337</v>
      </c>
      <c r="AH74" s="118">
        <f ca="1">FORECAST(AG74, OFFSET(Design!$C$15:$C$17,MATCH(AG74,Design!$B$15:$B$17,1)-1,0,2), OFFSET(Design!$B$15:$B$17,MATCH(AG74,Design!$B$15:$B$17,1)-1,0,2))+(AQ74-25)*Design!$B$18/1000</f>
        <v>0.30694977413944502</v>
      </c>
      <c r="AI74" s="194">
        <f ca="1">IF(100*(Design!$C$29+AH74+AG74*IF(ISBLANK(Design!$B$42),Constants!$C$6,Design!$B$42)/1000*(1+Constants!$C$36/100*(AR74-25)))/($B74+AH74-AG74*AS74/1000)&gt;Design!$C$36,Design!$C$36,100*(Design!$C$29+AH74+AG74*IF(ISBLANK(Design!$B$42),Constants!$C$6,Design!$B$42)/1000*(1+Constants!$C$36/100*(AR74-25)))/($B74+AH74-AG74*AS74/1000))</f>
        <v>84.160034161672712</v>
      </c>
      <c r="AJ74" s="119">
        <f ca="1">IF(($B74-AG74*IF(ISBLANK(Design!$B$42),Constants!$C$6,Design!$B$42)/1000*(1+Constants!$C$36/100*(AR74-25))-Design!$C$29)/(IF(ISBLANK(Design!$B$41),Design!$B$39,Design!$B$41)/1000000)*AI74/100/(IF(ISBLANK(Design!$B$33),Design!$B$32,Design!$B$33)*1000000)&lt;0,0,($B74-AG74*IF(ISBLANK(Design!$B$42),Constants!$C$6,Design!$B$42)/1000*(1+Constants!$C$36/100*(AR74-25))-Design!$C$29)/(IF(ISBLANK(Design!$B$41),Design!$B$39,Design!$B$41)/1000000)*AI74/100/(IF(ISBLANK(Design!$B$33),Design!$B$32,Design!$B$33)*1000000))</f>
        <v>0.22853682444337942</v>
      </c>
      <c r="AK74" s="195">
        <f>$B74*Constants!$C$21/1000+IF(ISBLANK(Design!$B$33),Design!$B$32,Design!$B$33)*1000000*Constants!$D$25/1000000000*($B74-Constants!$C$24)</f>
        <v>2.112437499999999E-2</v>
      </c>
      <c r="AL74" s="195">
        <f>$B74*AG74*($B74/(Constants!$C$26*1000000000)*IF(ISBLANK(Design!$B$33),Design!$B$32,Design!$B$33)*1000000/2+$B74/(Constants!$C$27*1000000000)*IF(ISBLANK(Design!$B$33),Design!$B$32,Design!$B$33)*1000000/2)</f>
        <v>1.3592217187499993E-2</v>
      </c>
      <c r="AM74" s="195">
        <f t="shared" ca="1" si="15"/>
        <v>0.10413371518305661</v>
      </c>
      <c r="AN74" s="195">
        <f>Constants!$D$25/1000000000*Constants!$C$24*IF(ISBLANK(Design!$B$33),Design!$B$32,Design!$B$33)*1000000</f>
        <v>1.0624999999999999E-2</v>
      </c>
      <c r="AO74" s="195">
        <f t="shared" ca="1" si="24"/>
        <v>0.14947530737055659</v>
      </c>
      <c r="AP74" s="195">
        <f t="shared" ca="1" si="21"/>
        <v>4.0517282803759047E-2</v>
      </c>
      <c r="AQ74" s="196">
        <f ca="1">$A74+AP74*Design!$B$19</f>
        <v>87.309485119814269</v>
      </c>
      <c r="AR74" s="196">
        <f ca="1">AO74*Design!$C$12+$A74</f>
        <v>90.08216045059892</v>
      </c>
      <c r="AS74" s="196">
        <f ca="1">Constants!$D$22+Constants!$D$22*Constants!$C$23/100*(AR74-25)</f>
        <v>177.06572836047914</v>
      </c>
      <c r="AT74" s="195">
        <f ca="1">(1-Constants!$D$20/1000000000*Design!$B$33*1000000) * ($B74+AH74-AG74*AS74/1000) - (AH74+AG74*(1+($A74-25)*Constants!$C$36/100)*IF(ISBLANK(Design!$B$42),Constants!$C$6/1000,Design!$B$42/1000))</f>
        <v>5.6551715692549918</v>
      </c>
      <c r="AU74" s="119">
        <f ca="1">IF(AT74&gt;Design!$C$29,Design!$C$29,AT74)</f>
        <v>4.9990521327014221</v>
      </c>
    </row>
    <row r="75" spans="1:47" ht="12.75" customHeight="1">
      <c r="A75" s="112">
        <f>Design!$D$13</f>
        <v>85</v>
      </c>
      <c r="B75" s="113">
        <f t="shared" si="12"/>
        <v>5.9799999999999986</v>
      </c>
      <c r="C75" s="114">
        <f>Design!$D$7</f>
        <v>2.5</v>
      </c>
      <c r="D75" s="114">
        <f ca="1">FORECAST(C75, OFFSET(Design!$C$15:$C$17,MATCH(C75,Design!$B$15:$B$17,1)-1,0,2), OFFSET(Design!$B$15:$B$17,MATCH(C75,Design!$B$15:$B$17,1)-1,0,2))+(M75-25)*Design!$B$18/1000</f>
        <v>0.40932894232867001</v>
      </c>
      <c r="E75" s="173">
        <f ca="1">IF(100*(Design!$C$29+D75+C75*IF(ISBLANK(Design!$B$42),Constants!$C$6,Design!$B$42)/1000*(1+Constants!$C$36/100*(N75-25)))/($B75+D75-C75*O75/1000)&gt;Design!$C$36,Design!$C$36,100*(Design!$C$29+D75+C75*IF(ISBLANK(Design!$B$42),Constants!$C$6,Design!$B$42)/1000*(1+Constants!$C$36/100*(N75-25)))/($B75+D75-C75*O75/1000))</f>
        <v>94.563532164757746</v>
      </c>
      <c r="F75" s="115">
        <f ca="1">IF(($B75-C75*IF(ISBLANK(Design!$B$42),Constants!$C$6,Design!$B$42)/1000*(1+Constants!$C$36/100*(N75-25))-Design!$C$29)/(IF(ISBLANK(Design!$B$41),Design!$B$39,Design!$B$41)/1000000)*E75/100/(IF(ISBLANK(Design!$B$33),Design!$B$32,Design!$B$33)*1000000)&lt;0,0,($B75-C75*IF(ISBLANK(Design!$B$42),Constants!$C$6,Design!$B$42)/1000*(1+Constants!$C$36/100*(N75-25))-Design!$C$29)/(IF(ISBLANK(Design!$B$41),Design!$B$39,Design!$B$41)/1000000)*E75/100/(IF(ISBLANK(Design!$B$33),Design!$B$32,Design!$B$33)*1000000))</f>
        <v>0.18689905801776424</v>
      </c>
      <c r="G75" s="165">
        <f>B75*Constants!$C$21/1000+IF(ISBLANK(Design!$B$33),Design!$B$32,Design!$B$33)*1000000*Constants!$D$25/1000000000*(B75-Constants!$C$24)</f>
        <v>2.0022499999999995E-2</v>
      </c>
      <c r="H75" s="165">
        <f>B75*C75*(B75/(Constants!$C$26*1000000000)*IF(ISBLANK(Design!$B$33),Design!$B$32,Design!$B$33)*1000000/2+B75/(Constants!$C$27*1000000000)*IF(ISBLANK(Design!$B$33),Design!$B$32,Design!$B$33)*1000000/2)</f>
        <v>3.7995424999999979E-2</v>
      </c>
      <c r="I75" s="165">
        <f t="shared" ca="1" si="13"/>
        <v>1.2321555717956747</v>
      </c>
      <c r="J75" s="165">
        <f>Constants!$D$25/1000000000*Constants!$C$24*IF(ISBLANK(Design!$B$33),Design!$B$32,Design!$B$33)*1000000</f>
        <v>1.0624999999999999E-2</v>
      </c>
      <c r="K75" s="165">
        <f t="shared" ca="1" si="22"/>
        <v>1.3007984967956747</v>
      </c>
      <c r="L75" s="165">
        <f t="shared" ca="1" si="17"/>
        <v>5.5632590725088651E-2</v>
      </c>
      <c r="M75" s="166">
        <f ca="1">$A75+L75*Design!$B$19</f>
        <v>88.171057671330047</v>
      </c>
      <c r="N75" s="166">
        <f ca="1">K75*Design!$C$12+A75</f>
        <v>129.22714889105293</v>
      </c>
      <c r="O75" s="166">
        <f ca="1">Constants!$D$22+Constants!$D$22*Constants!$C$23/100*(N75-25)</f>
        <v>208.38171911284235</v>
      </c>
      <c r="P75" s="165">
        <f ca="1">(1-Constants!$D$20/1000000000*Design!$B$33*1000000) * ($B75+D75-C75*O75/1000) - (D75+C75*(1+($A75-25)*Constants!$C$36/100)*IF(ISBLANK(Design!$B$42),Constants!$C$6/1000,Design!$B$42/1000))</f>
        <v>5.0112380031066941</v>
      </c>
      <c r="Q75" s="115">
        <f ca="1">IF(P75&gt;Design!$C$29,Design!$C$29,P75)</f>
        <v>4.9990521327014221</v>
      </c>
      <c r="R75" s="116">
        <f>2*Design!$D$7/3</f>
        <v>1.6666666666666667</v>
      </c>
      <c r="S75" s="116">
        <f ca="1">FORECAST(R75, OFFSET(Design!$C$15:$C$17,MATCH(R75,Design!$B$15:$B$17,1)-1,0,2), OFFSET(Design!$B$15:$B$17,MATCH(R75,Design!$B$15:$B$17,1)-1,0,2))+(AB75-25)*Design!$B$18/1000</f>
        <v>0.37068199562093929</v>
      </c>
      <c r="T75" s="182">
        <f ca="1">IF(100*(Design!$C$29+S75+R75*IF(ISBLANK(Design!$B$42),Constants!$C$6,Design!$B$42)/1000*(1+Constants!$C$36/100*(AC75-25)))/($B75+S75-R75*AD75/1000)&gt;Design!$C$36,Design!$C$36,100*(Design!$C$29+S75+R75*IF(ISBLANK(Design!$B$42),Constants!$C$6,Design!$B$42)/1000*(1+Constants!$C$36/100*(AC75-25)))/($B75+S75-R75*AD75/1000))</f>
        <v>90.367460679994807</v>
      </c>
      <c r="U75" s="117">
        <f ca="1">IF(($B75-R75*IF(ISBLANK(Design!$B$42),Constants!$C$6,Design!$B$42)/1000*(1+Constants!$C$36/100*(AC75-25))-Design!$C$29)/(IF(ISBLANK(Design!$B$41),Design!$B$39,Design!$B$41)/1000000)*T75/100/(IF(ISBLANK(Design!$B$33),Design!$B$32,Design!$B$33)*1000000)&lt;0,0,($B75-R75*IF(ISBLANK(Design!$B$42),Constants!$C$6,Design!$B$42)/1000*(1+Constants!$C$36/100*(AC75-25))-Design!$C$29)/(IF(ISBLANK(Design!$B$41),Design!$B$39,Design!$B$41)/1000000)*T75/100/(IF(ISBLANK(Design!$B$33),Design!$B$32,Design!$B$33)*1000000))</f>
        <v>0.1900628022620498</v>
      </c>
      <c r="V75" s="183">
        <f>$B75*Constants!$C$21/1000+IF(ISBLANK(Design!$B$33),Design!$B$32,Design!$B$33)*1000000*Constants!$D$25/1000000000*($B75-Constants!$C$24)</f>
        <v>2.0022499999999995E-2</v>
      </c>
      <c r="W75" s="183">
        <f>$B75*R75*($B75/(Constants!$C$26*1000000000)*IF(ISBLANK(Design!$B$33),Design!$B$32,Design!$B$33)*1000000/2+$B75/(Constants!$C$27*1000000000)*IF(ISBLANK(Design!$B$33),Design!$B$32,Design!$B$33)*1000000/2)</f>
        <v>2.5330283333333325E-2</v>
      </c>
      <c r="X75" s="183">
        <f t="shared" ca="1" si="14"/>
        <v>0.47073838234350845</v>
      </c>
      <c r="Y75" s="183">
        <f>Constants!$D$25/1000000000*Constants!$C$24*IF(ISBLANK(Design!$B$33),Design!$B$32,Design!$B$33)*1000000</f>
        <v>1.0624999999999999E-2</v>
      </c>
      <c r="Z75" s="183">
        <f t="shared" ca="1" si="23"/>
        <v>0.52671616567684176</v>
      </c>
      <c r="AA75" s="183">
        <f t="shared" ca="1" si="19"/>
        <v>5.9510148300611528E-2</v>
      </c>
      <c r="AB75" s="184">
        <f ca="1">$A75+AA75*Design!$B$19</f>
        <v>88.392078453134857</v>
      </c>
      <c r="AC75" s="184">
        <f ca="1">Z75*Design!$C$12+$A75</f>
        <v>102.90834963301262</v>
      </c>
      <c r="AD75" s="184">
        <f ca="1">Constants!$D$22+Constants!$D$22*Constants!$C$23/100*(AC75-25)</f>
        <v>187.32667970641009</v>
      </c>
      <c r="AE75" s="183">
        <f ca="1">(1-Constants!$D$20/1000000000*Design!$B$33*1000000) * ($B75+S75-R75*AD75/1000) - (S75+R75*(1+($A75-25)*Constants!$C$36/100)*IF(ISBLANK(Design!$B$42),Constants!$C$6/1000,Design!$B$42/1000))</f>
        <v>5.2517766853208903</v>
      </c>
      <c r="AF75" s="117">
        <f ca="1">IF(AE75&gt;Design!$C$29,Design!$C$29,AE75)</f>
        <v>4.9990521327014221</v>
      </c>
      <c r="AG75" s="118">
        <f>Design!$D$7/3</f>
        <v>0.83333333333333337</v>
      </c>
      <c r="AH75" s="118">
        <f ca="1">FORECAST(AG75, OFFSET(Design!$C$15:$C$17,MATCH(AG75,Design!$B$15:$B$17,1)-1,0,2), OFFSET(Design!$B$15:$B$17,MATCH(AG75,Design!$B$15:$B$17,1)-1,0,2))+(AQ75-25)*Design!$B$18/1000</f>
        <v>0.30737708583208301</v>
      </c>
      <c r="AI75" s="194">
        <f ca="1">IF(100*(Design!$C$29+AH75+AG75*IF(ISBLANK(Design!$B$42),Constants!$C$6,Design!$B$42)/1000*(1+Constants!$C$36/100*(AR75-25)))/($B75+AH75-AG75*AS75/1000)&gt;Design!$C$36,Design!$C$36,100*(Design!$C$29+AH75+AG75*IF(ISBLANK(Design!$B$42),Constants!$C$6,Design!$B$42)/1000*(1+Constants!$C$36/100*(AR75-25)))/($B75+AH75-AG75*AS75/1000))</f>
        <v>87.108764590320405</v>
      </c>
      <c r="AJ75" s="119">
        <f ca="1">IF(($B75-AG75*IF(ISBLANK(Design!$B$42),Constants!$C$6,Design!$B$42)/1000*(1+Constants!$C$36/100*(AR75-25))-Design!$C$29)/(IF(ISBLANK(Design!$B$41),Design!$B$39,Design!$B$41)/1000000)*AI75/100/(IF(ISBLANK(Design!$B$33),Design!$B$32,Design!$B$33)*1000000)&lt;0,0,($B75-AG75*IF(ISBLANK(Design!$B$42),Constants!$C$6,Design!$B$42)/1000*(1+Constants!$C$36/100*(AR75-25))-Design!$C$29)/(IF(ISBLANK(Design!$B$41),Design!$B$39,Design!$B$41)/1000000)*AI75/100/(IF(ISBLANK(Design!$B$33),Design!$B$32,Design!$B$33)*1000000))</f>
        <v>0.19247600170423798</v>
      </c>
      <c r="AK75" s="195">
        <f>$B75*Constants!$C$21/1000+IF(ISBLANK(Design!$B$33),Design!$B$32,Design!$B$33)*1000000*Constants!$D$25/1000000000*($B75-Constants!$C$24)</f>
        <v>2.0022499999999995E-2</v>
      </c>
      <c r="AL75" s="195">
        <f>$B75*AG75*($B75/(Constants!$C$26*1000000000)*IF(ISBLANK(Design!$B$33),Design!$B$32,Design!$B$33)*1000000/2+$B75/(Constants!$C$27*1000000000)*IF(ISBLANK(Design!$B$33),Design!$B$32,Design!$B$33)*1000000/2)</f>
        <v>1.2665141666666662E-2</v>
      </c>
      <c r="AM75" s="195">
        <f t="shared" ca="1" si="15"/>
        <v>0.1076110649398236</v>
      </c>
      <c r="AN75" s="195">
        <f>Constants!$D$25/1000000000*Constants!$C$24*IF(ISBLANK(Design!$B$33),Design!$B$32,Design!$B$33)*1000000</f>
        <v>1.0624999999999999E-2</v>
      </c>
      <c r="AO75" s="195">
        <f t="shared" ca="1" si="24"/>
        <v>0.15092370660649024</v>
      </c>
      <c r="AP75" s="195">
        <f t="shared" ca="1" si="21"/>
        <v>3.3020586441688926E-2</v>
      </c>
      <c r="AQ75" s="196">
        <f ca="1">$A75+AP75*Design!$B$19</f>
        <v>86.882173427176269</v>
      </c>
      <c r="AR75" s="196">
        <f ca="1">AO75*Design!$C$12+$A75</f>
        <v>90.131406024620674</v>
      </c>
      <c r="AS75" s="196">
        <f ca="1">Constants!$D$22+Constants!$D$22*Constants!$C$23/100*(AR75-25)</f>
        <v>177.10512481969653</v>
      </c>
      <c r="AT75" s="195">
        <f ca="1">(1-Constants!$D$20/1000000000*Design!$B$33*1000000) * ($B75+AH75-AG75*AS75/1000) - (AH75+AG75*(1+($A75-25)*Constants!$C$36/100)*IF(ISBLANK(Design!$B$42),Constants!$C$6/1000,Design!$B$42/1000))</f>
        <v>5.4519956937799359</v>
      </c>
      <c r="AU75" s="119">
        <f ca="1">IF(AT75&gt;Design!$C$29,Design!$C$29,AT75)</f>
        <v>4.9990521327014221</v>
      </c>
    </row>
    <row r="76" spans="1:47" ht="12.75" customHeight="1">
      <c r="A76" s="112">
        <f>Design!$D$13</f>
        <v>85</v>
      </c>
      <c r="B76" s="113">
        <f t="shared" si="12"/>
        <v>5.7649999999999988</v>
      </c>
      <c r="C76" s="114">
        <f>Design!$D$7</f>
        <v>2.5</v>
      </c>
      <c r="D76" s="114">
        <f ca="1">FORECAST(C76, OFFSET(Design!$C$15:$C$17,MATCH(C76,Design!$B$15:$B$17,1)-1,0,2), OFFSET(Design!$B$15:$B$17,MATCH(C76,Design!$B$15:$B$17,1)-1,0,2))+(M76-25)*Design!$B$18/1000</f>
        <v>0.41038740259905804</v>
      </c>
      <c r="E76" s="173">
        <f ca="1">IF(100*(Design!$C$29+D76+C76*IF(ISBLANK(Design!$B$42),Constants!$C$6,Design!$B$42)/1000*(1+Constants!$C$36/100*(N76-25)))/($B76+D76-C76*O76/1000)&gt;Design!$C$36,Design!$C$36,100*(Design!$C$29+D76+C76*IF(ISBLANK(Design!$B$42),Constants!$C$6,Design!$B$42)/1000*(1+Constants!$C$36/100*(N76-25)))/($B76+D76-C76*O76/1000))</f>
        <v>96.387500000000003</v>
      </c>
      <c r="F76" s="115">
        <f ca="1">IF(($B76-C76*IF(ISBLANK(Design!$B$42),Constants!$C$6,Design!$B$42)/1000*(1+Constants!$C$36/100*(N76-25))-Design!$C$29)/(IF(ISBLANK(Design!$B$41),Design!$B$39,Design!$B$41)/1000000)*E76/100/(IF(ISBLANK(Design!$B$33),Design!$B$32,Design!$B$33)*1000000)&lt;0,0,($B76-C76*IF(ISBLANK(Design!$B$42),Constants!$C$6,Design!$B$42)/1000*(1+Constants!$C$36/100*(N76-25))-Design!$C$29)/(IF(ISBLANK(Design!$B$41),Design!$B$39,Design!$B$41)/1000000)*E76/100/(IF(ISBLANK(Design!$B$33),Design!$B$32,Design!$B$33)*1000000))</f>
        <v>0.14167176361569248</v>
      </c>
      <c r="G76" s="165">
        <f>B76*Constants!$C$21/1000+IF(ISBLANK(Design!$B$33),Design!$B$32,Design!$B$33)*1000000*Constants!$D$25/1000000000*(B76-Constants!$C$24)</f>
        <v>1.8920624999999993E-2</v>
      </c>
      <c r="H76" s="165">
        <f>B76*C76*(B76/(Constants!$C$26*1000000000)*IF(ISBLANK(Design!$B$33),Design!$B$32,Design!$B$33)*1000000/2+B76/(Constants!$C$27*1000000000)*IF(ISBLANK(Design!$B$33),Design!$B$32,Design!$B$33)*1000000/2)</f>
        <v>3.5312426562499985E-2</v>
      </c>
      <c r="I76" s="165">
        <f t="shared" ca="1" si="13"/>
        <v>1.2595412329965332</v>
      </c>
      <c r="J76" s="165">
        <f>Constants!$D$25/1000000000*Constants!$C$24*IF(ISBLANK(Design!$B$33),Design!$B$32,Design!$B$33)*1000000</f>
        <v>1.0624999999999999E-2</v>
      </c>
      <c r="K76" s="165">
        <f t="shared" ca="1" si="22"/>
        <v>1.3243992845590333</v>
      </c>
      <c r="L76" s="165">
        <f t="shared" ca="1" si="17"/>
        <v>3.7063112297227391E-2</v>
      </c>
      <c r="M76" s="166">
        <f ca="1">$A76+L76*Design!$B$19</f>
        <v>87.112597400941965</v>
      </c>
      <c r="N76" s="166">
        <f ca="1">K76*Design!$C$12+A76</f>
        <v>130.02957567500712</v>
      </c>
      <c r="O76" s="166">
        <f ca="1">Constants!$D$22+Constants!$D$22*Constants!$C$23/100*(N76-25)</f>
        <v>209.02366054000572</v>
      </c>
      <c r="P76" s="165">
        <f ca="1">(1-Constants!$D$20/1000000000*Design!$B$33*1000000) * ($B76+D76-C76*O76/1000) - (D76+C76*(1+($A76-25)*Constants!$C$36/100)*IF(ISBLANK(Design!$B$42),Constants!$C$6/1000,Design!$B$42/1000))</f>
        <v>4.8065420877684746</v>
      </c>
      <c r="Q76" s="115">
        <f ca="1">IF(P76&gt;Design!$C$29,Design!$C$29,P76)</f>
        <v>4.8065420877684746</v>
      </c>
      <c r="R76" s="116">
        <f>2*Design!$D$7/3</f>
        <v>1.6666666666666667</v>
      </c>
      <c r="S76" s="116">
        <f ca="1">FORECAST(R76, OFFSET(Design!$C$15:$C$17,MATCH(R76,Design!$B$15:$B$17,1)-1,0,2), OFFSET(Design!$B$15:$B$17,MATCH(R76,Design!$B$15:$B$17,1)-1,0,2))+(AB76-25)*Design!$B$18/1000</f>
        <v>0.37185512655280384</v>
      </c>
      <c r="T76" s="182">
        <f ca="1">IF(100*(Design!$C$29+S76+R76*IF(ISBLANK(Design!$B$42),Constants!$C$6,Design!$B$42)/1000*(1+Constants!$C$36/100*(AC76-25)))/($B76+S76-R76*AD76/1000)&gt;Design!$C$36,Design!$C$36,100*(Design!$C$29+S76+R76*IF(ISBLANK(Design!$B$42),Constants!$C$6,Design!$B$42)/1000*(1+Constants!$C$36/100*(AC76-25)))/($B76+S76-R76*AD76/1000))</f>
        <v>93.718698315204151</v>
      </c>
      <c r="U76" s="117">
        <f ca="1">IF(($B76-R76*IF(ISBLANK(Design!$B$42),Constants!$C$6,Design!$B$42)/1000*(1+Constants!$C$36/100*(AC76-25))-Design!$C$29)/(IF(ISBLANK(Design!$B$41),Design!$B$39,Design!$B$41)/1000000)*T76/100/(IF(ISBLANK(Design!$B$33),Design!$B$32,Design!$B$33)*1000000)&lt;0,0,($B76-R76*IF(ISBLANK(Design!$B$42),Constants!$C$6,Design!$B$42)/1000*(1+Constants!$C$36/100*(AC76-25))-Design!$C$29)/(IF(ISBLANK(Design!$B$41),Design!$B$39,Design!$B$41)/1000000)*T76/100/(IF(ISBLANK(Design!$B$33),Design!$B$32,Design!$B$33)*1000000))</f>
        <v>0.14967019083096816</v>
      </c>
      <c r="V76" s="183">
        <f>$B76*Constants!$C$21/1000+IF(ISBLANK(Design!$B$33),Design!$B$32,Design!$B$33)*1000000*Constants!$D$25/1000000000*($B76-Constants!$C$24)</f>
        <v>1.8920624999999993E-2</v>
      </c>
      <c r="W76" s="183">
        <f>$B76*R76*($B76/(Constants!$C$26*1000000000)*IF(ISBLANK(Design!$B$33),Design!$B$32,Design!$B$33)*1000000/2+$B76/(Constants!$C$27*1000000000)*IF(ISBLANK(Design!$B$33),Design!$B$32,Design!$B$33)*1000000/2)</f>
        <v>2.3541617708333323E-2</v>
      </c>
      <c r="X76" s="183">
        <f t="shared" ca="1" si="14"/>
        <v>0.48909029614467137</v>
      </c>
      <c r="Y76" s="183">
        <f>Constants!$D$25/1000000000*Constants!$C$24*IF(ISBLANK(Design!$B$33),Design!$B$32,Design!$B$33)*1000000</f>
        <v>1.0624999999999999E-2</v>
      </c>
      <c r="Z76" s="183">
        <f t="shared" ca="1" si="23"/>
        <v>0.54217753885300468</v>
      </c>
      <c r="AA76" s="183">
        <f t="shared" ca="1" si="19"/>
        <v>3.8928903881935005E-2</v>
      </c>
      <c r="AB76" s="184">
        <f ca="1">$A76+AA76*Design!$B$19</f>
        <v>87.218947521270294</v>
      </c>
      <c r="AC76" s="184">
        <f ca="1">Z76*Design!$C$12+$A76</f>
        <v>103.43403632100217</v>
      </c>
      <c r="AD76" s="184">
        <f ca="1">Constants!$D$22+Constants!$D$22*Constants!$C$23/100*(AC76-25)</f>
        <v>187.74722905680173</v>
      </c>
      <c r="AE76" s="183">
        <f ca="1">(1-Constants!$D$20/1000000000*Design!$B$33*1000000) * ($B76+S76-R76*AD76/1000) - (S76+R76*(1+($A76-25)*Constants!$C$36/100)*IF(ISBLANK(Design!$B$42),Constants!$C$6/1000,Design!$B$42/1000))</f>
        <v>5.047928429838934</v>
      </c>
      <c r="AF76" s="117">
        <f ca="1">IF(AE76&gt;Design!$C$29,Design!$C$29,AE76)</f>
        <v>4.9990521327014221</v>
      </c>
      <c r="AG76" s="118">
        <f>Design!$D$7/3</f>
        <v>0.83333333333333337</v>
      </c>
      <c r="AH76" s="118">
        <f ca="1">FORECAST(AG76, OFFSET(Design!$C$15:$C$17,MATCH(AG76,Design!$B$15:$B$17,1)-1,0,2), OFFSET(Design!$B$15:$B$17,MATCH(AG76,Design!$B$15:$B$17,1)-1,0,2))+(AQ76-25)*Design!$B$18/1000</f>
        <v>0.30783670236184812</v>
      </c>
      <c r="AI76" s="194">
        <f ca="1">IF(100*(Design!$C$29+AH76+AG76*IF(ISBLANK(Design!$B$42),Constants!$C$6,Design!$B$42)/1000*(1+Constants!$C$36/100*(AR76-25)))/($B76+AH76-AG76*AS76/1000)&gt;Design!$C$36,Design!$C$36,100*(Design!$C$29+AH76+AG76*IF(ISBLANK(Design!$B$42),Constants!$C$6,Design!$B$42)/1000*(1+Constants!$C$36/100*(AR76-25)))/($B76+AH76-AG76*AS76/1000))</f>
        <v>90.271281484140673</v>
      </c>
      <c r="AJ76" s="119">
        <f ca="1">IF(($B76-AG76*IF(ISBLANK(Design!$B$42),Constants!$C$6,Design!$B$42)/1000*(1+Constants!$C$36/100*(AR76-25))-Design!$C$29)/(IF(ISBLANK(Design!$B$41),Design!$B$39,Design!$B$41)/1000000)*AI76/100/(IF(ISBLANK(Design!$B$33),Design!$B$32,Design!$B$33)*1000000)&lt;0,0,($B76-AG76*IF(ISBLANK(Design!$B$42),Constants!$C$6,Design!$B$42)/1000*(1+Constants!$C$36/100*(AR76-25))-Design!$C$29)/(IF(ISBLANK(Design!$B$41),Design!$B$39,Design!$B$41)/1000000)*AI76/100/(IF(ISBLANK(Design!$B$33),Design!$B$32,Design!$B$33)*1000000))</f>
        <v>0.15379560076309481</v>
      </c>
      <c r="AK76" s="195">
        <f>$B76*Constants!$C$21/1000+IF(ISBLANK(Design!$B$33),Design!$B$32,Design!$B$33)*1000000*Constants!$D$25/1000000000*($B76-Constants!$C$24)</f>
        <v>1.8920624999999993E-2</v>
      </c>
      <c r="AL76" s="195">
        <f>$B76*AG76*($B76/(Constants!$C$26*1000000000)*IF(ISBLANK(Design!$B$33),Design!$B$32,Design!$B$33)*1000000/2+$B76/(Constants!$C$27*1000000000)*IF(ISBLANK(Design!$B$33),Design!$B$32,Design!$B$33)*1000000/2)</f>
        <v>1.1770808854166662E-2</v>
      </c>
      <c r="AM76" s="195">
        <f t="shared" ca="1" si="15"/>
        <v>0.11136961486390441</v>
      </c>
      <c r="AN76" s="195">
        <f>Constants!$D$25/1000000000*Constants!$C$24*IF(ISBLANK(Design!$B$33),Design!$B$32,Design!$B$33)*1000000</f>
        <v>1.0624999999999999E-2</v>
      </c>
      <c r="AO76" s="195">
        <f t="shared" ca="1" si="24"/>
        <v>0.15268604871807107</v>
      </c>
      <c r="AP76" s="195">
        <f t="shared" ca="1" si="21"/>
        <v>2.4957138551073232E-2</v>
      </c>
      <c r="AQ76" s="196">
        <f ca="1">$A76+AP76*Design!$B$19</f>
        <v>86.42255689741117</v>
      </c>
      <c r="AR76" s="196">
        <f ca="1">AO76*Design!$C$12+$A76</f>
        <v>90.191325656414421</v>
      </c>
      <c r="AS76" s="196">
        <f ca="1">Constants!$D$22+Constants!$D$22*Constants!$C$23/100*(AR76-25)</f>
        <v>177.15306052513154</v>
      </c>
      <c r="AT76" s="195">
        <f ca="1">(1-Constants!$D$20/1000000000*Design!$B$33*1000000) * ($B76+AH76-AG76*AS76/1000) - (AH76+AG76*(1+($A76-25)*Constants!$C$36/100)*IF(ISBLANK(Design!$B$42),Constants!$C$6/1000,Design!$B$42/1000))</f>
        <v>5.248811310585241</v>
      </c>
      <c r="AU76" s="119">
        <f ca="1">IF(AT76&gt;Design!$C$29,Design!$C$29,AT76)</f>
        <v>4.9990521327014221</v>
      </c>
    </row>
    <row r="77" spans="1:47" ht="12.75" customHeight="1">
      <c r="A77" s="112">
        <f>Design!$D$13</f>
        <v>85</v>
      </c>
      <c r="B77" s="113">
        <f t="shared" si="12"/>
        <v>5.5499999999999989</v>
      </c>
      <c r="C77" s="114">
        <f>Design!$D$7</f>
        <v>2.5</v>
      </c>
      <c r="D77" s="114">
        <f ca="1">FORECAST(C77, OFFSET(Design!$C$15:$C$17,MATCH(C77,Design!$B$15:$B$17,1)-1,0,2), OFFSET(Design!$B$15:$B$17,MATCH(C77,Design!$B$15:$B$17,1)-1,0,2))+(M77-25)*Design!$B$18/1000</f>
        <v>0.41038740259905804</v>
      </c>
      <c r="E77" s="173">
        <f ca="1">IF(100*(Design!$C$29+D77+C77*IF(ISBLANK(Design!$B$42),Constants!$C$6,Design!$B$42)/1000*(1+Constants!$C$36/100*(N77-25)))/($B77+D77-C77*O77/1000)&gt;Design!$C$36,Design!$C$36,100*(Design!$C$29+D77+C77*IF(ISBLANK(Design!$B$42),Constants!$C$6,Design!$B$42)/1000*(1+Constants!$C$36/100*(N77-25)))/($B77+D77-C77*O77/1000))</f>
        <v>96.387500000000003</v>
      </c>
      <c r="F77" s="115">
        <f ca="1">IF(($B77-C77*IF(ISBLANK(Design!$B$42),Constants!$C$6,Design!$B$42)/1000*(1+Constants!$C$36/100*(N77-25))-Design!$C$29)/(IF(ISBLANK(Design!$B$41),Design!$B$39,Design!$B$41)/1000000)*E77/100/(IF(ISBLANK(Design!$B$33),Design!$B$32,Design!$B$33)*1000000)&lt;0,0,($B77-C77*IF(ISBLANK(Design!$B$42),Constants!$C$6,Design!$B$42)/1000*(1+Constants!$C$36/100*(N77-25))-Design!$C$29)/(IF(ISBLANK(Design!$B$41),Design!$B$39,Design!$B$41)/1000000)*E77/100/(IF(ISBLANK(Design!$B$33),Design!$B$32,Design!$B$33)*1000000))</f>
        <v>9.2925085997070986E-2</v>
      </c>
      <c r="G77" s="165">
        <f>B77*Constants!$C$21/1000+IF(ISBLANK(Design!$B$33),Design!$B$32,Design!$B$33)*1000000*Constants!$D$25/1000000000*(B77-Constants!$C$24)</f>
        <v>1.7818749999999994E-2</v>
      </c>
      <c r="H77" s="165">
        <f>B77*C77*(B77/(Constants!$C$26*1000000000)*IF(ISBLANK(Design!$B$33),Design!$B$32,Design!$B$33)*1000000/2+B77/(Constants!$C$27*1000000000)*IF(ISBLANK(Design!$B$33),Design!$B$32,Design!$B$33)*1000000/2)</f>
        <v>3.2727656249999987E-2</v>
      </c>
      <c r="I77" s="165">
        <f t="shared" ca="1" si="13"/>
        <v>1.2585890290473327</v>
      </c>
      <c r="J77" s="165">
        <f>Constants!$D$25/1000000000*Constants!$C$24*IF(ISBLANK(Design!$B$33),Design!$B$32,Design!$B$33)*1000000</f>
        <v>1.0624999999999999E-2</v>
      </c>
      <c r="K77" s="165">
        <f t="shared" ca="1" si="22"/>
        <v>1.3197604352973329</v>
      </c>
      <c r="L77" s="165">
        <f t="shared" ca="1" si="17"/>
        <v>3.7063112297227391E-2</v>
      </c>
      <c r="M77" s="166">
        <f ca="1">$A77+L77*Design!$B$19</f>
        <v>87.112597400941965</v>
      </c>
      <c r="N77" s="166">
        <f ca="1">K77*Design!$C$12+A77</f>
        <v>129.8718548001093</v>
      </c>
      <c r="O77" s="166">
        <f ca="1">Constants!$D$22+Constants!$D$22*Constants!$C$23/100*(N77-25)</f>
        <v>208.89748384008743</v>
      </c>
      <c r="P77" s="165">
        <f ca="1">(1-Constants!$D$20/1000000000*Design!$B$33*1000000) * ($B77+D77-C77*O77/1000) - (D77+C77*(1+($A77-25)*Constants!$C$36/100)*IF(ISBLANK(Design!$B$42),Constants!$C$6/1000,Design!$B$42/1000))</f>
        <v>4.6037188513615952</v>
      </c>
      <c r="Q77" s="115">
        <f ca="1">IF(P77&gt;Design!$C$29,Design!$C$29,P77)</f>
        <v>4.6037188513615952</v>
      </c>
      <c r="R77" s="116">
        <f>2*Design!$D$7/3</f>
        <v>1.6666666666666667</v>
      </c>
      <c r="S77" s="116">
        <f ca="1">FORECAST(R77, OFFSET(Design!$C$15:$C$17,MATCH(R77,Design!$B$15:$B$17,1)-1,0,2), OFFSET(Design!$B$15:$B$17,MATCH(R77,Design!$B$15:$B$17,1)-1,0,2))+(AB77-25)*Design!$B$18/1000</f>
        <v>0.37279468929973358</v>
      </c>
      <c r="T77" s="182">
        <f ca="1">IF(100*(Design!$C$29+S77+R77*IF(ISBLANK(Design!$B$42),Constants!$C$6,Design!$B$42)/1000*(1+Constants!$C$36/100*(AC77-25)))/($B77+S77-R77*AD77/1000)&gt;Design!$C$36,Design!$C$36,100*(Design!$C$29+S77+R77*IF(ISBLANK(Design!$B$42),Constants!$C$6,Design!$B$42)/1000*(1+Constants!$C$36/100*(AC77-25)))/($B77+S77-R77*AD77/1000))</f>
        <v>96.387500000000003</v>
      </c>
      <c r="U77" s="117">
        <f ca="1">IF(($B77-R77*IF(ISBLANK(Design!$B$42),Constants!$C$6,Design!$B$42)/1000*(1+Constants!$C$36/100*(AC77-25))-Design!$C$29)/(IF(ISBLANK(Design!$B$41),Design!$B$39,Design!$B$41)/1000000)*T77/100/(IF(ISBLANK(Design!$B$33),Design!$B$32,Design!$B$33)*1000000)&lt;0,0,($B77-R77*IF(ISBLANK(Design!$B$42),Constants!$C$6,Design!$B$42)/1000*(1+Constants!$C$36/100*(AC77-25))-Design!$C$29)/(IF(ISBLANK(Design!$B$41),Design!$B$39,Design!$B$41)/1000000)*T77/100/(IF(ISBLANK(Design!$B$33),Design!$B$32,Design!$B$33)*1000000))</f>
        <v>0.10514775243134353</v>
      </c>
      <c r="V77" s="183">
        <f>$B77*Constants!$C$21/1000+IF(ISBLANK(Design!$B$33),Design!$B$32,Design!$B$33)*1000000*Constants!$D$25/1000000000*($B77-Constants!$C$24)</f>
        <v>1.7818749999999994E-2</v>
      </c>
      <c r="W77" s="183">
        <f>$B77*R77*($B77/(Constants!$C$26*1000000000)*IF(ISBLANK(Design!$B$33),Design!$B$32,Design!$B$33)*1000000/2+$B77/(Constants!$C$27*1000000000)*IF(ISBLANK(Design!$B$33),Design!$B$32,Design!$B$33)*1000000/2)</f>
        <v>2.1818437499999992E-2</v>
      </c>
      <c r="X77" s="183">
        <f t="shared" ca="1" si="14"/>
        <v>0.50370583756633835</v>
      </c>
      <c r="Y77" s="183">
        <f>Constants!$D$25/1000000000*Constants!$C$24*IF(ISBLANK(Design!$B$33),Design!$B$32,Design!$B$33)*1000000</f>
        <v>1.0624999999999999E-2</v>
      </c>
      <c r="Z77" s="183">
        <f t="shared" ca="1" si="23"/>
        <v>0.55396802506633835</v>
      </c>
      <c r="AA77" s="183">
        <f t="shared" ca="1" si="19"/>
        <v>2.2445346918254772E-2</v>
      </c>
      <c r="AB77" s="184">
        <f ca="1">$A77+AA77*Design!$B$19</f>
        <v>86.279384774340528</v>
      </c>
      <c r="AC77" s="184">
        <f ca="1">Z77*Design!$C$12+$A77</f>
        <v>103.8349128522555</v>
      </c>
      <c r="AD77" s="184">
        <f ca="1">Constants!$D$22+Constants!$D$22*Constants!$C$23/100*(AC77-25)</f>
        <v>188.06793028180439</v>
      </c>
      <c r="AE77" s="183">
        <f ca="1">(1-Constants!$D$20/1000000000*Design!$B$33*1000000) * ($B77+S77-R77*AD77/1000) - (S77+R77*(1+($A77-25)*Constants!$C$36/100)*IF(ISBLANK(Design!$B$42),Constants!$C$6/1000,Design!$B$42/1000))</f>
        <v>4.8442502981932973</v>
      </c>
      <c r="AF77" s="117">
        <f ca="1">IF(AE77&gt;Design!$C$29,Design!$C$29,AE77)</f>
        <v>4.8442502981932973</v>
      </c>
      <c r="AG77" s="118">
        <f>Design!$D$7/3</f>
        <v>0.83333333333333337</v>
      </c>
      <c r="AH77" s="118">
        <f ca="1">FORECAST(AG77, OFFSET(Design!$C$15:$C$17,MATCH(AG77,Design!$B$15:$B$17,1)-1,0,2), OFFSET(Design!$B$15:$B$17,MATCH(AG77,Design!$B$15:$B$17,1)-1,0,2))+(AQ77-25)*Design!$B$18/1000</f>
        <v>0.30833242452126453</v>
      </c>
      <c r="AI77" s="194">
        <f ca="1">IF(100*(Design!$C$29+AH77+AG77*IF(ISBLANK(Design!$B$42),Constants!$C$6,Design!$B$42)/1000*(1+Constants!$C$36/100*(AR77-25)))/($B77+AH77-AG77*AS77/1000)&gt;Design!$C$36,Design!$C$36,100*(Design!$C$29+AH77+AG77*IF(ISBLANK(Design!$B$42),Constants!$C$6,Design!$B$42)/1000*(1+Constants!$C$36/100*(AR77-25)))/($B77+AH77-AG77*AS77/1000))</f>
        <v>93.671664501756695</v>
      </c>
      <c r="AJ77" s="119">
        <f ca="1">IF(($B77-AG77*IF(ISBLANK(Design!$B$42),Constants!$C$6,Design!$B$42)/1000*(1+Constants!$C$36/100*(AR77-25))-Design!$C$29)/(IF(ISBLANK(Design!$B$41),Design!$B$39,Design!$B$41)/1000000)*AI77/100/(IF(ISBLANK(Design!$B$33),Design!$B$32,Design!$B$33)*1000000)&lt;0,0,($B77-AG77*IF(ISBLANK(Design!$B$42),Constants!$C$6,Design!$B$42)/1000*(1+Constants!$C$36/100*(AR77-25))-Design!$C$29)/(IF(ISBLANK(Design!$B$41),Design!$B$39,Design!$B$41)/1000000)*AI77/100/(IF(ISBLANK(Design!$B$33),Design!$B$32,Design!$B$33)*1000000))</f>
        <v>0.11219992964555645</v>
      </c>
      <c r="AK77" s="195">
        <f>$B77*Constants!$C$21/1000+IF(ISBLANK(Design!$B$33),Design!$B$32,Design!$B$33)*1000000*Constants!$D$25/1000000000*($B77-Constants!$C$24)</f>
        <v>1.7818749999999994E-2</v>
      </c>
      <c r="AL77" s="195">
        <f>$B77*AG77*($B77/(Constants!$C$26*1000000000)*IF(ISBLANK(Design!$B$33),Design!$B$32,Design!$B$33)*1000000/2+$B77/(Constants!$C$27*1000000000)*IF(ISBLANK(Design!$B$33),Design!$B$32,Design!$B$33)*1000000/2)</f>
        <v>1.0909218749999996E-2</v>
      </c>
      <c r="AM77" s="195">
        <f t="shared" ca="1" si="15"/>
        <v>0.11544923677927557</v>
      </c>
      <c r="AN77" s="195">
        <f>Constants!$D$25/1000000000*Constants!$C$24*IF(ISBLANK(Design!$B$33),Design!$B$32,Design!$B$33)*1000000</f>
        <v>1.0624999999999999E-2</v>
      </c>
      <c r="AO77" s="195">
        <f t="shared" ca="1" si="24"/>
        <v>0.15480220552927557</v>
      </c>
      <c r="AP77" s="195">
        <f t="shared" ca="1" si="21"/>
        <v>1.6260258561311202E-2</v>
      </c>
      <c r="AQ77" s="196">
        <f ca="1">$A77+AP77*Design!$B$19</f>
        <v>85.926834737994739</v>
      </c>
      <c r="AR77" s="196">
        <f ca="1">AO77*Design!$C$12+$A77</f>
        <v>90.263274987995374</v>
      </c>
      <c r="AS77" s="196">
        <f ca="1">Constants!$D$22+Constants!$D$22*Constants!$C$23/100*(AR77-25)</f>
        <v>177.21061999039631</v>
      </c>
      <c r="AT77" s="195">
        <f ca="1">(1-Constants!$D$20/1000000000*Design!$B$33*1000000) * ($B77+AH77-AG77*AS77/1000) - (AH77+AG77*(1+($A77-25)*Constants!$C$36/100)*IF(ISBLANK(Design!$B$42),Constants!$C$6/1000,Design!$B$42/1000))</f>
        <v>5.0456173558485933</v>
      </c>
      <c r="AU77" s="119">
        <f ca="1">IF(AT77&gt;Design!$C$29,Design!$C$29,AT77)</f>
        <v>4.9990521327014221</v>
      </c>
    </row>
    <row r="78" spans="1:47" ht="12.75" customHeight="1">
      <c r="A78" s="112">
        <f>Design!$D$13</f>
        <v>85</v>
      </c>
      <c r="B78" s="113">
        <f t="shared" si="12"/>
        <v>5.3349999999999991</v>
      </c>
      <c r="C78" s="114">
        <f>Design!$D$7</f>
        <v>2.5</v>
      </c>
      <c r="D78" s="114">
        <f ca="1">FORECAST(C78, OFFSET(Design!$C$15:$C$17,MATCH(C78,Design!$B$15:$B$17,1)-1,0,2), OFFSET(Design!$B$15:$B$17,MATCH(C78,Design!$B$15:$B$17,1)-1,0,2))+(M78-25)*Design!$B$18/1000</f>
        <v>0.41038740259905804</v>
      </c>
      <c r="E78" s="173">
        <f ca="1">IF(100*(Design!$C$29+D78+C78*IF(ISBLANK(Design!$B$42),Constants!$C$6,Design!$B$42)/1000*(1+Constants!$C$36/100*(N78-25)))/($B78+D78-C78*O78/1000)&gt;Design!$C$36,Design!$C$36,100*(Design!$C$29+D78+C78*IF(ISBLANK(Design!$B$42),Constants!$C$6,Design!$B$42)/1000*(1+Constants!$C$36/100*(N78-25)))/($B78+D78-C78*O78/1000))</f>
        <v>96.387500000000003</v>
      </c>
      <c r="F78" s="115">
        <f ca="1">IF(($B78-C78*IF(ISBLANK(Design!$B$42),Constants!$C$6,Design!$B$42)/1000*(1+Constants!$C$36/100*(N78-25))-Design!$C$29)/(IF(ISBLANK(Design!$B$41),Design!$B$39,Design!$B$41)/1000000)*E78/100/(IF(ISBLANK(Design!$B$33),Design!$B$32,Design!$B$33)*1000000)&lt;0,0,($B78-C78*IF(ISBLANK(Design!$B$42),Constants!$C$6,Design!$B$42)/1000*(1+Constants!$C$36/100*(N78-25))-Design!$C$29)/(IF(ISBLANK(Design!$B$41),Design!$B$39,Design!$B$41)/1000000)*E78/100/(IF(ISBLANK(Design!$B$33),Design!$B$32,Design!$B$33)*1000000))</f>
        <v>4.417776269302319E-2</v>
      </c>
      <c r="G78" s="165">
        <f>B78*Constants!$C$21/1000+IF(ISBLANK(Design!$B$33),Design!$B$32,Design!$B$33)*1000000*Constants!$D$25/1000000000*(B78-Constants!$C$24)</f>
        <v>1.6716874999999992E-2</v>
      </c>
      <c r="H78" s="165">
        <f>B78*C78*(B78/(Constants!$C$26*1000000000)*IF(ISBLANK(Design!$B$33),Design!$B$32,Design!$B$33)*1000000/2+B78/(Constants!$C$27*1000000000)*IF(ISBLANK(Design!$B$33),Design!$B$32,Design!$B$33)*1000000/2)</f>
        <v>3.0241114062499994E-2</v>
      </c>
      <c r="I78" s="165">
        <f t="shared" ca="1" si="13"/>
        <v>1.2577516647285165</v>
      </c>
      <c r="J78" s="165">
        <f>Constants!$D$25/1000000000*Constants!$C$24*IF(ISBLANK(Design!$B$33),Design!$B$32,Design!$B$33)*1000000</f>
        <v>1.0624999999999999E-2</v>
      </c>
      <c r="K78" s="165">
        <f t="shared" ca="1" si="22"/>
        <v>1.3153346537910167</v>
      </c>
      <c r="L78" s="165">
        <f t="shared" ca="1" si="17"/>
        <v>3.7063112297227391E-2</v>
      </c>
      <c r="M78" s="166">
        <f ca="1">$A78+L78*Design!$B$19</f>
        <v>87.112597400941965</v>
      </c>
      <c r="N78" s="166">
        <f ca="1">K78*Design!$C$12+A78</f>
        <v>129.72137822889457</v>
      </c>
      <c r="O78" s="166">
        <f ca="1">Constants!$D$22+Constants!$D$22*Constants!$C$23/100*(N78-25)</f>
        <v>208.77710258311566</v>
      </c>
      <c r="P78" s="165">
        <f ca="1">(1-Constants!$D$20/1000000000*Design!$B$33*1000000) * ($B78+D78-C78*O78/1000) - (D78+C78*(1+($A78-25)*Constants!$C$36/100)*IF(ISBLANK(Design!$B$42),Constants!$C$6/1000,Design!$B$42/1000))</f>
        <v>4.4008819268429056</v>
      </c>
      <c r="Q78" s="115">
        <f ca="1">IF(P78&gt;Design!$C$29,Design!$C$29,P78)</f>
        <v>4.4008819268429056</v>
      </c>
      <c r="R78" s="116">
        <f>2*Design!$D$7/3</f>
        <v>1.6666666666666667</v>
      </c>
      <c r="S78" s="116">
        <f ca="1">FORECAST(R78, OFFSET(Design!$C$15:$C$17,MATCH(R78,Design!$B$15:$B$17,1)-1,0,2), OFFSET(Design!$B$15:$B$17,MATCH(R78,Design!$B$15:$B$17,1)-1,0,2))+(AB78-25)*Design!$B$18/1000</f>
        <v>0.37279468929973358</v>
      </c>
      <c r="T78" s="182">
        <f ca="1">IF(100*(Design!$C$29+S78+R78*IF(ISBLANK(Design!$B$42),Constants!$C$6,Design!$B$42)/1000*(1+Constants!$C$36/100*(AC78-25)))/($B78+S78-R78*AD78/1000)&gt;Design!$C$36,Design!$C$36,100*(Design!$C$29+S78+R78*IF(ISBLANK(Design!$B$42),Constants!$C$6,Design!$B$42)/1000*(1+Constants!$C$36/100*(AC78-25)))/($B78+S78-R78*AD78/1000))</f>
        <v>96.387500000000003</v>
      </c>
      <c r="U78" s="117">
        <f ca="1">IF(($B78-R78*IF(ISBLANK(Design!$B$42),Constants!$C$6,Design!$B$42)/1000*(1+Constants!$C$36/100*(AC78-25))-Design!$C$29)/(IF(ISBLANK(Design!$B$41),Design!$B$39,Design!$B$41)/1000000)*T78/100/(IF(ISBLANK(Design!$B$33),Design!$B$32,Design!$B$33)*1000000)&lt;0,0,($B78-R78*IF(ISBLANK(Design!$B$42),Constants!$C$6,Design!$B$42)/1000*(1+Constants!$C$36/100*(AC78-25))-Design!$C$29)/(IF(ISBLANK(Design!$B$41),Design!$B$39,Design!$B$41)/1000000)*T78/100/(IF(ISBLANK(Design!$B$33),Design!$B$32,Design!$B$33)*1000000))</f>
        <v>5.6393289437957593E-2</v>
      </c>
      <c r="V78" s="183">
        <f>$B78*Constants!$C$21/1000+IF(ISBLANK(Design!$B$33),Design!$B$32,Design!$B$33)*1000000*Constants!$D$25/1000000000*($B78-Constants!$C$24)</f>
        <v>1.6716874999999992E-2</v>
      </c>
      <c r="W78" s="183">
        <f>$B78*R78*($B78/(Constants!$C$26*1000000000)*IF(ISBLANK(Design!$B$33),Design!$B$32,Design!$B$33)*1000000/2+$B78/(Constants!$C$27*1000000000)*IF(ISBLANK(Design!$B$33),Design!$B$32,Design!$B$33)*1000000/2)</f>
        <v>2.0160742708333328E-2</v>
      </c>
      <c r="X78" s="183">
        <f t="shared" ca="1" si="14"/>
        <v>0.50336074140956799</v>
      </c>
      <c r="Y78" s="183">
        <f>Constants!$D$25/1000000000*Constants!$C$24*IF(ISBLANK(Design!$B$33),Design!$B$32,Design!$B$33)*1000000</f>
        <v>1.0624999999999999E-2</v>
      </c>
      <c r="Z78" s="183">
        <f t="shared" ca="1" si="23"/>
        <v>0.5508633591179013</v>
      </c>
      <c r="AA78" s="183">
        <f t="shared" ca="1" si="19"/>
        <v>2.2445346918254772E-2</v>
      </c>
      <c r="AB78" s="184">
        <f ca="1">$A78+AA78*Design!$B$19</f>
        <v>86.279384774340528</v>
      </c>
      <c r="AC78" s="184">
        <f ca="1">Z78*Design!$C$12+$A78</f>
        <v>103.72935421000864</v>
      </c>
      <c r="AD78" s="184">
        <f ca="1">Constants!$D$22+Constants!$D$22*Constants!$C$23/100*(AC78-25)</f>
        <v>187.98348336800692</v>
      </c>
      <c r="AE78" s="183">
        <f ca="1">(1-Constants!$D$20/1000000000*Design!$B$33*1000000) * ($B78+S78-R78*AD78/1000) - (S78+R78*(1+($A78-25)*Constants!$C$36/100)*IF(ISBLANK(Design!$B$42),Constants!$C$6/1000,Design!$B$42/1000))</f>
        <v>4.6412620168963148</v>
      </c>
      <c r="AF78" s="117">
        <f ca="1">IF(AE78&gt;Design!$C$29,Design!$C$29,AE78)</f>
        <v>4.6412620168963148</v>
      </c>
      <c r="AG78" s="118">
        <f>Design!$D$7/3</f>
        <v>0.83333333333333337</v>
      </c>
      <c r="AH78" s="118">
        <f ca="1">FORECAST(AG78, OFFSET(Design!$C$15:$C$17,MATCH(AG78,Design!$B$15:$B$17,1)-1,0,2), OFFSET(Design!$B$15:$B$17,MATCH(AG78,Design!$B$15:$B$17,1)-1,0,2))+(AQ78-25)*Design!$B$18/1000</f>
        <v>0.30872949873502364</v>
      </c>
      <c r="AI78" s="194">
        <f ca="1">IF(100*(Design!$C$29+AH78+AG78*IF(ISBLANK(Design!$B$42),Constants!$C$6,Design!$B$42)/1000*(1+Constants!$C$36/100*(AR78-25)))/($B78+AH78-AG78*AS78/1000)&gt;Design!$C$36,Design!$C$36,100*(Design!$C$29+AH78+AG78*IF(ISBLANK(Design!$B$42),Constants!$C$6,Design!$B$42)/1000*(1+Constants!$C$36/100*(AR78-25)))/($B78+AH78-AG78*AS78/1000))</f>
        <v>96.387500000000003</v>
      </c>
      <c r="AJ78" s="119">
        <f ca="1">IF(($B78-AG78*IF(ISBLANK(Design!$B$42),Constants!$C$6,Design!$B$42)/1000*(1+Constants!$C$36/100*(AR78-25))-Design!$C$29)/(IF(ISBLANK(Design!$B$41),Design!$B$39,Design!$B$41)/1000000)*AI78/100/(IF(ISBLANK(Design!$B$33),Design!$B$32,Design!$B$33)*1000000)&lt;0,0,($B78-AG78*IF(ISBLANK(Design!$B$42),Constants!$C$6,Design!$B$42)/1000*(1+Constants!$C$36/100*(AR78-25))-Design!$C$29)/(IF(ISBLANK(Design!$B$41),Design!$B$39,Design!$B$41)/1000000)*AI78/100/(IF(ISBLANK(Design!$B$33),Design!$B$32,Design!$B$33)*1000000))</f>
        <v>6.6690884200243258E-2</v>
      </c>
      <c r="AK78" s="195">
        <f>$B78*Constants!$C$21/1000+IF(ISBLANK(Design!$B$33),Design!$B$32,Design!$B$33)*1000000*Constants!$D$25/1000000000*($B78-Constants!$C$24)</f>
        <v>1.6716874999999992E-2</v>
      </c>
      <c r="AL78" s="195">
        <f>$B78*AG78*($B78/(Constants!$C$26*1000000000)*IF(ISBLANK(Design!$B$33),Design!$B$32,Design!$B$33)*1000000/2+$B78/(Constants!$C$27*1000000000)*IF(ISBLANK(Design!$B$33),Design!$B$32,Design!$B$33)*1000000/2)</f>
        <v>1.0080371354166664E-2</v>
      </c>
      <c r="AM78" s="195">
        <f t="shared" ca="1" si="15"/>
        <v>0.11870472292454451</v>
      </c>
      <c r="AN78" s="195">
        <f>Constants!$D$25/1000000000*Constants!$C$24*IF(ISBLANK(Design!$B$33),Design!$B$32,Design!$B$33)*1000000</f>
        <v>1.0624999999999999E-2</v>
      </c>
      <c r="AO78" s="195">
        <f t="shared" ca="1" si="24"/>
        <v>0.15612696927871117</v>
      </c>
      <c r="AP78" s="195">
        <f t="shared" ca="1" si="21"/>
        <v>9.2940442848355974E-3</v>
      </c>
      <c r="AQ78" s="196">
        <f ca="1">$A78+AP78*Design!$B$19</f>
        <v>85.529760524235627</v>
      </c>
      <c r="AR78" s="196">
        <f ca="1">AO78*Design!$C$12+$A78</f>
        <v>90.308316955476187</v>
      </c>
      <c r="AS78" s="196">
        <f ca="1">Constants!$D$22+Constants!$D$22*Constants!$C$23/100*(AR78-25)</f>
        <v>177.24665356438095</v>
      </c>
      <c r="AT78" s="195">
        <f ca="1">(1-Constants!$D$20/1000000000*Design!$B$33*1000000) * ($B78+AH78-AG78*AS78/1000) - (AH78+AG78*(1+($A78-25)*Constants!$C$36/100)*IF(ISBLANK(Design!$B$42),Constants!$C$6/1000,Design!$B$42/1000))</f>
        <v>4.8424457985657652</v>
      </c>
      <c r="AU78" s="119">
        <f ca="1">IF(AT78&gt;Design!$C$29,Design!$C$29,AT78)</f>
        <v>4.8424457985657652</v>
      </c>
    </row>
    <row r="79" spans="1:47" ht="12.75" customHeight="1">
      <c r="A79" s="112">
        <f>Design!$D$13</f>
        <v>85</v>
      </c>
      <c r="B79" s="113">
        <f t="shared" si="12"/>
        <v>5.1199999999999992</v>
      </c>
      <c r="C79" s="114">
        <f>Design!$D$7</f>
        <v>2.5</v>
      </c>
      <c r="D79" s="114">
        <f ca="1">FORECAST(C79, OFFSET(Design!$C$15:$C$17,MATCH(C79,Design!$B$15:$B$17,1)-1,0,2), OFFSET(Design!$B$15:$B$17,MATCH(C79,Design!$B$15:$B$17,1)-1,0,2))+(M79-25)*Design!$B$18/1000</f>
        <v>0.41038740259905804</v>
      </c>
      <c r="E79" s="173">
        <f ca="1">IF(100*(Design!$C$29+D79+C79*IF(ISBLANK(Design!$B$42),Constants!$C$6,Design!$B$42)/1000*(1+Constants!$C$36/100*(N79-25)))/($B79+D79-C79*O79/1000)&gt;Design!$C$36,Design!$C$36,100*(Design!$C$29+D79+C79*IF(ISBLANK(Design!$B$42),Constants!$C$6,Design!$B$42)/1000*(1+Constants!$C$36/100*(N79-25)))/($B79+D79-C79*O79/1000))</f>
        <v>96.387500000000003</v>
      </c>
      <c r="F79" s="115">
        <f ca="1">IF(($B79-C79*IF(ISBLANK(Design!$B$42),Constants!$C$6,Design!$B$42)/1000*(1+Constants!$C$36/100*(N79-25))-Design!$C$29)/(IF(ISBLANK(Design!$B$41),Design!$B$39,Design!$B$41)/1000000)*E79/100/(IF(ISBLANK(Design!$B$33),Design!$B$32,Design!$B$33)*1000000)&lt;0,0,($B79-C79*IF(ISBLANK(Design!$B$42),Constants!$C$6,Design!$B$42)/1000*(1+Constants!$C$36/100*(N79-25))-Design!$C$29)/(IF(ISBLANK(Design!$B$41),Design!$B$39,Design!$B$41)/1000000)*E79/100/(IF(ISBLANK(Design!$B$33),Design!$B$32,Design!$B$33)*1000000))</f>
        <v>0</v>
      </c>
      <c r="G79" s="165">
        <f>B79*Constants!$C$21/1000+IF(ISBLANK(Design!$B$33),Design!$B$32,Design!$B$33)*1000000*Constants!$D$25/1000000000*(B79-Constants!$C$24)</f>
        <v>1.5614999999999995E-2</v>
      </c>
      <c r="H79" s="165">
        <f>B79*C79*(B79/(Constants!$C$26*1000000000)*IF(ISBLANK(Design!$B$33),Design!$B$32,Design!$B$33)*1000000/2+B79/(Constants!$C$27*1000000000)*IF(ISBLANK(Design!$B$33),Design!$B$32,Design!$B$33)*1000000/2)</f>
        <v>2.7852799999999987E-2</v>
      </c>
      <c r="I79" s="165">
        <f t="shared" ca="1" si="13"/>
        <v>1.25702854911416</v>
      </c>
      <c r="J79" s="165">
        <f>Constants!$D$25/1000000000*Constants!$C$24*IF(ISBLANK(Design!$B$33),Design!$B$32,Design!$B$33)*1000000</f>
        <v>1.0624999999999999E-2</v>
      </c>
      <c r="K79" s="165">
        <f t="shared" ca="1" si="22"/>
        <v>1.31112134911416</v>
      </c>
      <c r="L79" s="165">
        <f t="shared" ca="1" si="17"/>
        <v>3.7063112297227391E-2</v>
      </c>
      <c r="M79" s="166">
        <f ca="1">$A79+L79*Design!$B$19</f>
        <v>87.112597400941965</v>
      </c>
      <c r="N79" s="166">
        <f ca="1">K79*Design!$C$12+A79</f>
        <v>129.57812586988143</v>
      </c>
      <c r="O79" s="166">
        <f ca="1">Constants!$D$22+Constants!$D$22*Constants!$C$23/100*(N79-25)</f>
        <v>208.66250069590515</v>
      </c>
      <c r="P79" s="165">
        <f ca="1">(1-Constants!$D$20/1000000000*Design!$B$33*1000000) * ($B79+D79-C79*O79/1000) - (D79+C79*(1+($A79-25)*Constants!$C$36/100)*IF(ISBLANK(Design!$B$42),Constants!$C$6/1000,Design!$B$42/1000))</f>
        <v>4.1980313521752608</v>
      </c>
      <c r="Q79" s="115">
        <f ca="1">IF(P79&gt;Design!$C$29,Design!$C$29,P79)</f>
        <v>4.1980313521752608</v>
      </c>
      <c r="R79" s="116">
        <f>2*Design!$D$7/3</f>
        <v>1.6666666666666667</v>
      </c>
      <c r="S79" s="116">
        <f ca="1">FORECAST(R79, OFFSET(Design!$C$15:$C$17,MATCH(R79,Design!$B$15:$B$17,1)-1,0,2), OFFSET(Design!$B$15:$B$17,MATCH(R79,Design!$B$15:$B$17,1)-1,0,2))+(AB79-25)*Design!$B$18/1000</f>
        <v>0.37279468929973358</v>
      </c>
      <c r="T79" s="182">
        <f ca="1">IF(100*(Design!$C$29+S79+R79*IF(ISBLANK(Design!$B$42),Constants!$C$6,Design!$B$42)/1000*(1+Constants!$C$36/100*(AC79-25)))/($B79+S79-R79*AD79/1000)&gt;Design!$C$36,Design!$C$36,100*(Design!$C$29+S79+R79*IF(ISBLANK(Design!$B$42),Constants!$C$6,Design!$B$42)/1000*(1+Constants!$C$36/100*(AC79-25)))/($B79+S79-R79*AD79/1000))</f>
        <v>96.387500000000003</v>
      </c>
      <c r="U79" s="117">
        <f ca="1">IF(($B79-R79*IF(ISBLANK(Design!$B$42),Constants!$C$6,Design!$B$42)/1000*(1+Constants!$C$36/100*(AC79-25))-Design!$C$29)/(IF(ISBLANK(Design!$B$41),Design!$B$39,Design!$B$41)/1000000)*T79/100/(IF(ISBLANK(Design!$B$33),Design!$B$32,Design!$B$33)*1000000)&lt;0,0,($B79-R79*IF(ISBLANK(Design!$B$42),Constants!$C$6,Design!$B$42)/1000*(1+Constants!$C$36/100*(AC79-25))-Design!$C$29)/(IF(ISBLANK(Design!$B$41),Design!$B$39,Design!$B$41)/1000000)*T79/100/(IF(ISBLANK(Design!$B$33),Design!$B$32,Design!$B$33)*1000000))</f>
        <v>7.6385271800118665E-3</v>
      </c>
      <c r="V79" s="183">
        <f>$B79*Constants!$C$21/1000+IF(ISBLANK(Design!$B$33),Design!$B$32,Design!$B$33)*1000000*Constants!$D$25/1000000000*($B79-Constants!$C$24)</f>
        <v>1.5614999999999995E-2</v>
      </c>
      <c r="W79" s="183">
        <f>$B79*R79*($B79/(Constants!$C$26*1000000000)*IF(ISBLANK(Design!$B$33),Design!$B$32,Design!$B$33)*1000000/2+$B79/(Constants!$C$27*1000000000)*IF(ISBLANK(Design!$B$33),Design!$B$32,Design!$B$33)*1000000/2)</f>
        <v>1.8568533333333328E-2</v>
      </c>
      <c r="X79" s="183">
        <f t="shared" ca="1" si="14"/>
        <v>0.50309828992873817</v>
      </c>
      <c r="Y79" s="183">
        <f>Constants!$D$25/1000000000*Constants!$C$24*IF(ISBLANK(Design!$B$33),Design!$B$32,Design!$B$33)*1000000</f>
        <v>1.0624999999999999E-2</v>
      </c>
      <c r="Z79" s="183">
        <f t="shared" ca="1" si="23"/>
        <v>0.54790682326207152</v>
      </c>
      <c r="AA79" s="183">
        <f t="shared" ca="1" si="19"/>
        <v>2.2445346918254772E-2</v>
      </c>
      <c r="AB79" s="184">
        <f ca="1">$A79+AA79*Design!$B$19</f>
        <v>86.279384774340528</v>
      </c>
      <c r="AC79" s="184">
        <f ca="1">Z79*Design!$C$12+$A79</f>
        <v>103.62883199091043</v>
      </c>
      <c r="AD79" s="184">
        <f ca="1">Constants!$D$22+Constants!$D$22*Constants!$C$23/100*(AC79-25)</f>
        <v>187.90306559272835</v>
      </c>
      <c r="AE79" s="183">
        <f ca="1">(1-Constants!$D$20/1000000000*Design!$B$33*1000000) * ($B79+S79-R79*AD79/1000) - (S79+R79*(1+($A79-25)*Constants!$C$36/100)*IF(ISBLANK(Design!$B$42),Constants!$C$6/1000,Design!$B$42/1000))</f>
        <v>4.4382673913849722</v>
      </c>
      <c r="AF79" s="117">
        <f ca="1">IF(AE79&gt;Design!$C$29,Design!$C$29,AE79)</f>
        <v>4.4382673913849722</v>
      </c>
      <c r="AG79" s="118">
        <f>Design!$D$7/3</f>
        <v>0.83333333333333337</v>
      </c>
      <c r="AH79" s="118">
        <f ca="1">FORECAST(AG79, OFFSET(Design!$C$15:$C$17,MATCH(AG79,Design!$B$15:$B$17,1)-1,0,2), OFFSET(Design!$B$15:$B$17,MATCH(AG79,Design!$B$15:$B$17,1)-1,0,2))+(AQ79-25)*Design!$B$18/1000</f>
        <v>0.30872949873502364</v>
      </c>
      <c r="AI79" s="194">
        <f ca="1">IF(100*(Design!$C$29+AH79+AG79*IF(ISBLANK(Design!$B$42),Constants!$C$6,Design!$B$42)/1000*(1+Constants!$C$36/100*(AR79-25)))/($B79+AH79-AG79*AS79/1000)&gt;Design!$C$36,Design!$C$36,100*(Design!$C$29+AH79+AG79*IF(ISBLANK(Design!$B$42),Constants!$C$6,Design!$B$42)/1000*(1+Constants!$C$36/100*(AR79-25)))/($B79+AH79-AG79*AS79/1000))</f>
        <v>96.387500000000003</v>
      </c>
      <c r="AJ79" s="119">
        <f ca="1">IF(($B79-AG79*IF(ISBLANK(Design!$B$42),Constants!$C$6,Design!$B$42)/1000*(1+Constants!$C$36/100*(AR79-25))-Design!$C$29)/(IF(ISBLANK(Design!$B$41),Design!$B$39,Design!$B$41)/1000000)*AI79/100/(IF(ISBLANK(Design!$B$33),Design!$B$32,Design!$B$33)*1000000)&lt;0,0,($B79-AG79*IF(ISBLANK(Design!$B$42),Constants!$C$6,Design!$B$42)/1000*(1+Constants!$C$36/100*(AR79-25))-Design!$C$29)/(IF(ISBLANK(Design!$B$41),Design!$B$39,Design!$B$41)/1000000)*AI79/100/(IF(ISBLANK(Design!$B$33),Design!$B$32,Design!$B$33)*1000000))</f>
        <v>1.7932162127445025E-2</v>
      </c>
      <c r="AK79" s="195">
        <f>$B79*Constants!$C$21/1000+IF(ISBLANK(Design!$B$33),Design!$B$32,Design!$B$33)*1000000*Constants!$D$25/1000000000*($B79-Constants!$C$24)</f>
        <v>1.5614999999999995E-2</v>
      </c>
      <c r="AL79" s="195">
        <f>$B79*AG79*($B79/(Constants!$C$26*1000000000)*IF(ISBLANK(Design!$B$33),Design!$B$32,Design!$B$33)*1000000/2+$B79/(Constants!$C$27*1000000000)*IF(ISBLANK(Design!$B$33),Design!$B$32,Design!$B$33)*1000000/2)</f>
        <v>9.2842666666666639E-3</v>
      </c>
      <c r="AM79" s="195">
        <f t="shared" ca="1" si="15"/>
        <v>0.11860969240922084</v>
      </c>
      <c r="AN79" s="195">
        <f>Constants!$D$25/1000000000*Constants!$C$24*IF(ISBLANK(Design!$B$33),Design!$B$32,Design!$B$33)*1000000</f>
        <v>1.0624999999999999E-2</v>
      </c>
      <c r="AO79" s="195">
        <f t="shared" ca="1" si="24"/>
        <v>0.15413395907588751</v>
      </c>
      <c r="AP79" s="195">
        <f t="shared" ca="1" si="21"/>
        <v>9.2940442848355974E-3</v>
      </c>
      <c r="AQ79" s="196">
        <f ca="1">$A79+AP79*Design!$B$19</f>
        <v>85.529760524235627</v>
      </c>
      <c r="AR79" s="196">
        <f ca="1">AO79*Design!$C$12+$A79</f>
        <v>90.240554608580169</v>
      </c>
      <c r="AS79" s="196">
        <f ca="1">Constants!$D$22+Constants!$D$22*Constants!$C$23/100*(AR79-25)</f>
        <v>177.19244368686412</v>
      </c>
      <c r="AT79" s="195">
        <f ca="1">(1-Constants!$D$20/1000000000*Design!$B$33*1000000) * ($B79+AH79-AG79*AS79/1000) - (AH79+AG79*(1+($A79-25)*Constants!$C$36/100)*IF(ISBLANK(Design!$B$42),Constants!$C$6/1000,Design!$B$42/1000))</f>
        <v>4.6393672275505846</v>
      </c>
      <c r="AU79" s="119">
        <f ca="1">IF(AT79&gt;Design!$C$29,Design!$C$29,AT79)</f>
        <v>4.6393672275505846</v>
      </c>
    </row>
    <row r="80" spans="1:47" ht="12.75" customHeight="1">
      <c r="A80" s="112">
        <f>Design!$D$13</f>
        <v>85</v>
      </c>
      <c r="B80" s="113">
        <f t="shared" si="12"/>
        <v>4.9049999999999994</v>
      </c>
      <c r="C80" s="114">
        <f>Design!$D$7</f>
        <v>2.5</v>
      </c>
      <c r="D80" s="114">
        <f ca="1">FORECAST(C80, OFFSET(Design!$C$15:$C$17,MATCH(C80,Design!$B$15:$B$17,1)-1,0,2), OFFSET(Design!$B$15:$B$17,MATCH(C80,Design!$B$15:$B$17,1)-1,0,2))+(M80-25)*Design!$B$18/1000</f>
        <v>0.41038740259905804</v>
      </c>
      <c r="E80" s="173">
        <f ca="1">IF(100*(Design!$C$29+D80+C80*IF(ISBLANK(Design!$B$42),Constants!$C$6,Design!$B$42)/1000*(1+Constants!$C$36/100*(N80-25)))/($B80+D80-C80*O80/1000)&gt;Design!$C$36,Design!$C$36,100*(Design!$C$29+D80+C80*IF(ISBLANK(Design!$B$42),Constants!$C$6,Design!$B$42)/1000*(1+Constants!$C$36/100*(N80-25)))/($B80+D80-C80*O80/1000))</f>
        <v>96.387500000000003</v>
      </c>
      <c r="F80" s="115">
        <f ca="1">IF(($B80-C80*IF(ISBLANK(Design!$B$42),Constants!$C$6,Design!$B$42)/1000*(1+Constants!$C$36/100*(N80-25))-Design!$C$29)/(IF(ISBLANK(Design!$B$41),Design!$B$39,Design!$B$41)/1000000)*E80/100/(IF(ISBLANK(Design!$B$33),Design!$B$32,Design!$B$33)*1000000)&lt;0,0,($B80-C80*IF(ISBLANK(Design!$B$42),Constants!$C$6,Design!$B$42)/1000*(1+Constants!$C$36/100*(N80-25))-Design!$C$29)/(IF(ISBLANK(Design!$B$41),Design!$B$39,Design!$B$41)/1000000)*E80/100/(IF(ISBLANK(Design!$B$33),Design!$B$32,Design!$B$33)*1000000))</f>
        <v>0</v>
      </c>
      <c r="G80" s="165">
        <f>B80*Constants!$C$21/1000+IF(ISBLANK(Design!$B$33),Design!$B$32,Design!$B$33)*1000000*Constants!$D$25/1000000000*(B80-Constants!$C$24)</f>
        <v>1.4513124999999998E-2</v>
      </c>
      <c r="H80" s="165">
        <f>B80*C80*(B80/(Constants!$C$26*1000000000)*IF(ISBLANK(Design!$B$33),Design!$B$32,Design!$B$33)*1000000/2+B80/(Constants!$C$27*1000000000)*IF(ISBLANK(Design!$B$33),Design!$B$32,Design!$B$33)*1000000/2)</f>
        <v>2.5562714062499995E-2</v>
      </c>
      <c r="I80" s="165">
        <f t="shared" ca="1" si="13"/>
        <v>1.2563638259238288</v>
      </c>
      <c r="J80" s="165">
        <f>Constants!$D$25/1000000000*Constants!$C$24*IF(ISBLANK(Design!$B$33),Design!$B$32,Design!$B$33)*1000000</f>
        <v>1.0624999999999999E-2</v>
      </c>
      <c r="K80" s="165">
        <f t="shared" ca="1" si="22"/>
        <v>1.3070646649863289</v>
      </c>
      <c r="L80" s="165">
        <f t="shared" ca="1" si="17"/>
        <v>3.7063112297227391E-2</v>
      </c>
      <c r="M80" s="166">
        <f ca="1">$A80+L80*Design!$B$19</f>
        <v>87.112597400941965</v>
      </c>
      <c r="N80" s="166">
        <f ca="1">K80*Design!$C$12+A80</f>
        <v>129.44019860953517</v>
      </c>
      <c r="O80" s="166">
        <f ca="1">Constants!$D$22+Constants!$D$22*Constants!$C$23/100*(N80-25)</f>
        <v>208.55215888762814</v>
      </c>
      <c r="P80" s="165">
        <f ca="1">(1-Constants!$D$20/1000000000*Design!$B$33*1000000) * ($B80+D80-C80*O80/1000) - (D80+C80*(1+($A80-25)*Constants!$C$36/100)*IF(ISBLANK(Design!$B$42),Constants!$C$6/1000,Design!$B$42/1000))</f>
        <v>3.9951707157336842</v>
      </c>
      <c r="Q80" s="115">
        <f ca="1">IF(P80&gt;Design!$C$29,Design!$C$29,P80)</f>
        <v>3.9951707157336842</v>
      </c>
      <c r="R80" s="116">
        <f>2*Design!$D$7/3</f>
        <v>1.6666666666666667</v>
      </c>
      <c r="S80" s="116">
        <f ca="1">FORECAST(R80, OFFSET(Design!$C$15:$C$17,MATCH(R80,Design!$B$15:$B$17,1)-1,0,2), OFFSET(Design!$B$15:$B$17,MATCH(R80,Design!$B$15:$B$17,1)-1,0,2))+(AB80-25)*Design!$B$18/1000</f>
        <v>0.37279468929973358</v>
      </c>
      <c r="T80" s="182">
        <f ca="1">IF(100*(Design!$C$29+S80+R80*IF(ISBLANK(Design!$B$42),Constants!$C$6,Design!$B$42)/1000*(1+Constants!$C$36/100*(AC80-25)))/($B80+S80-R80*AD80/1000)&gt;Design!$C$36,Design!$C$36,100*(Design!$C$29+S80+R80*IF(ISBLANK(Design!$B$42),Constants!$C$6,Design!$B$42)/1000*(1+Constants!$C$36/100*(AC80-25)))/($B80+S80-R80*AD80/1000))</f>
        <v>96.387500000000003</v>
      </c>
      <c r="U80" s="117">
        <f ca="1">IF(($B80-R80*IF(ISBLANK(Design!$B$42),Constants!$C$6,Design!$B$42)/1000*(1+Constants!$C$36/100*(AC80-25))-Design!$C$29)/(IF(ISBLANK(Design!$B$41),Design!$B$39,Design!$B$41)/1000000)*T80/100/(IF(ISBLANK(Design!$B$33),Design!$B$32,Design!$B$33)*1000000)&lt;0,0,($B80-R80*IF(ISBLANK(Design!$B$42),Constants!$C$6,Design!$B$42)/1000*(1+Constants!$C$36/100*(AC80-25))-Design!$C$29)/(IF(ISBLANK(Design!$B$41),Design!$B$39,Design!$B$41)/1000000)*T80/100/(IF(ISBLANK(Design!$B$33),Design!$B$32,Design!$B$33)*1000000))</f>
        <v>0</v>
      </c>
      <c r="V80" s="183">
        <f>$B80*Constants!$C$21/1000+IF(ISBLANK(Design!$B$33),Design!$B$32,Design!$B$33)*1000000*Constants!$D$25/1000000000*($B80-Constants!$C$24)</f>
        <v>1.4513124999999998E-2</v>
      </c>
      <c r="W80" s="183">
        <f>$B80*R80*($B80/(Constants!$C$26*1000000000)*IF(ISBLANK(Design!$B$33),Design!$B$32,Design!$B$33)*1000000/2+$B80/(Constants!$C$27*1000000000)*IF(ISBLANK(Design!$B$33),Design!$B$32,Design!$B$33)*1000000/2)</f>
        <v>1.7041809374999994E-2</v>
      </c>
      <c r="X80" s="183">
        <f t="shared" ca="1" si="14"/>
        <v>0.50289087331539495</v>
      </c>
      <c r="Y80" s="183">
        <f>Constants!$D$25/1000000000*Constants!$C$24*IF(ISBLANK(Design!$B$33),Design!$B$32,Design!$B$33)*1000000</f>
        <v>1.0624999999999999E-2</v>
      </c>
      <c r="Z80" s="183">
        <f t="shared" ca="1" si="23"/>
        <v>0.54507080769039495</v>
      </c>
      <c r="AA80" s="183">
        <f t="shared" ca="1" si="19"/>
        <v>2.2445346918254772E-2</v>
      </c>
      <c r="AB80" s="184">
        <f ca="1">$A80+AA80*Design!$B$19</f>
        <v>86.279384774340528</v>
      </c>
      <c r="AC80" s="184">
        <f ca="1">Z80*Design!$C$12+$A80</f>
        <v>103.53240746147343</v>
      </c>
      <c r="AD80" s="184">
        <f ca="1">Constants!$D$22+Constants!$D$22*Constants!$C$23/100*(AC80-25)</f>
        <v>187.82592596917874</v>
      </c>
      <c r="AE80" s="183">
        <f ca="1">(1-Constants!$D$20/1000000000*Design!$B$33*1000000) * ($B80+S80-R80*AD80/1000) - (S80+R80*(1+($A80-25)*Constants!$C$36/100)*IF(ISBLANK(Design!$B$42),Constants!$C$6/1000,Design!$B$42/1000))</f>
        <v>4.235267604150553</v>
      </c>
      <c r="AF80" s="117">
        <f ca="1">IF(AE80&gt;Design!$C$29,Design!$C$29,AE80)</f>
        <v>4.235267604150553</v>
      </c>
      <c r="AG80" s="118">
        <f>Design!$D$7/3</f>
        <v>0.83333333333333337</v>
      </c>
      <c r="AH80" s="118">
        <f ca="1">FORECAST(AG80, OFFSET(Design!$C$15:$C$17,MATCH(AG80,Design!$B$15:$B$17,1)-1,0,2), OFFSET(Design!$B$15:$B$17,MATCH(AG80,Design!$B$15:$B$17,1)-1,0,2))+(AQ80-25)*Design!$B$18/1000</f>
        <v>0.30872949873502364</v>
      </c>
      <c r="AI80" s="194">
        <f ca="1">IF(100*(Design!$C$29+AH80+AG80*IF(ISBLANK(Design!$B$42),Constants!$C$6,Design!$B$42)/1000*(1+Constants!$C$36/100*(AR80-25)))/($B80+AH80-AG80*AS80/1000)&gt;Design!$C$36,Design!$C$36,100*(Design!$C$29+AH80+AG80*IF(ISBLANK(Design!$B$42),Constants!$C$6,Design!$B$42)/1000*(1+Constants!$C$36/100*(AR80-25)))/($B80+AH80-AG80*AS80/1000))</f>
        <v>96.387500000000003</v>
      </c>
      <c r="AJ80" s="119">
        <f ca="1">IF(($B80-AG80*IF(ISBLANK(Design!$B$42),Constants!$C$6,Design!$B$42)/1000*(1+Constants!$C$36/100*(AR80-25))-Design!$C$29)/(IF(ISBLANK(Design!$B$41),Design!$B$39,Design!$B$41)/1000000)*AI80/100/(IF(ISBLANK(Design!$B$33),Design!$B$32,Design!$B$33)*1000000)&lt;0,0,($B80-AG80*IF(ISBLANK(Design!$B$42),Constants!$C$6,Design!$B$42)/1000*(1+Constants!$C$36/100*(AR80-25))-Design!$C$29)/(IF(ISBLANK(Design!$B$41),Design!$B$39,Design!$B$41)/1000000)*AI80/100/(IF(ISBLANK(Design!$B$33),Design!$B$32,Design!$B$33)*1000000))</f>
        <v>0</v>
      </c>
      <c r="AK80" s="195">
        <f>$B80*Constants!$C$21/1000+IF(ISBLANK(Design!$B$33),Design!$B$32,Design!$B$33)*1000000*Constants!$D$25/1000000000*($B80-Constants!$C$24)</f>
        <v>1.4513124999999998E-2</v>
      </c>
      <c r="AL80" s="195">
        <f>$B80*AG80*($B80/(Constants!$C$26*1000000000)*IF(ISBLANK(Design!$B$33),Design!$B$32,Design!$B$33)*1000000/2+$B80/(Constants!$C$27*1000000000)*IF(ISBLANK(Design!$B$33),Design!$B$32,Design!$B$33)*1000000/2)</f>
        <v>8.5209046874999972E-3</v>
      </c>
      <c r="AM80" s="195">
        <f t="shared" ca="1" si="15"/>
        <v>0.11857044162584056</v>
      </c>
      <c r="AN80" s="195">
        <f>Constants!$D$25/1000000000*Constants!$C$24*IF(ISBLANK(Design!$B$33),Design!$B$32,Design!$B$33)*1000000</f>
        <v>1.0624999999999999E-2</v>
      </c>
      <c r="AO80" s="195">
        <f t="shared" ca="1" si="24"/>
        <v>0.15222947131334055</v>
      </c>
      <c r="AP80" s="195">
        <f t="shared" ca="1" si="21"/>
        <v>9.2940442848355974E-3</v>
      </c>
      <c r="AQ80" s="196">
        <f ca="1">$A80+AP80*Design!$B$19</f>
        <v>85.529760524235627</v>
      </c>
      <c r="AR80" s="196">
        <f ca="1">AO80*Design!$C$12+$A80</f>
        <v>90.175802024653578</v>
      </c>
      <c r="AS80" s="196">
        <f ca="1">Constants!$D$22+Constants!$D$22*Constants!$C$23/100*(AR80-25)</f>
        <v>177.14064161972286</v>
      </c>
      <c r="AT80" s="195">
        <f ca="1">(1-Constants!$D$20/1000000000*Design!$B$33*1000000) * ($B80+AH80-AG80*AS80/1000) - (AH80+AG80*(1+($A80-25)*Constants!$C$36/100)*IF(ISBLANK(Design!$B$42),Constants!$C$6/1000,Design!$B$42/1000))</f>
        <v>4.4362867608863619</v>
      </c>
      <c r="AU80" s="119">
        <f ca="1">IF(AT80&gt;Design!$C$29,Design!$C$29,AT80)</f>
        <v>4.4362867608863619</v>
      </c>
    </row>
    <row r="81" spans="1:47" ht="12.75" customHeight="1">
      <c r="A81" s="112">
        <f>Design!$D$13</f>
        <v>85</v>
      </c>
      <c r="B81" s="113">
        <f t="shared" si="12"/>
        <v>4.6899999999999995</v>
      </c>
      <c r="C81" s="114">
        <f>Design!$D$7</f>
        <v>2.5</v>
      </c>
      <c r="D81" s="114">
        <f ca="1">FORECAST(C81, OFFSET(Design!$C$15:$C$17,MATCH(C81,Design!$B$15:$B$17,1)-1,0,2), OFFSET(Design!$B$15:$B$17,MATCH(C81,Design!$B$15:$B$17,1)-1,0,2))+(M81-25)*Design!$B$18/1000</f>
        <v>0.41038740259905804</v>
      </c>
      <c r="E81" s="173">
        <f ca="1">IF(100*(Design!$C$29+D81+C81*IF(ISBLANK(Design!$B$42),Constants!$C$6,Design!$B$42)/1000*(1+Constants!$C$36/100*(N81-25)))/($B81+D81-C81*O81/1000)&gt;Design!$C$36,Design!$C$36,100*(Design!$C$29+D81+C81*IF(ISBLANK(Design!$B$42),Constants!$C$6,Design!$B$42)/1000*(1+Constants!$C$36/100*(N81-25)))/($B81+D81-C81*O81/1000))</f>
        <v>96.387500000000003</v>
      </c>
      <c r="F81" s="115">
        <f ca="1">IF(($B81-C81*IF(ISBLANK(Design!$B$42),Constants!$C$6,Design!$B$42)/1000*(1+Constants!$C$36/100*(N81-25))-Design!$C$29)/(IF(ISBLANK(Design!$B$41),Design!$B$39,Design!$B$41)/1000000)*E81/100/(IF(ISBLANK(Design!$B$33),Design!$B$32,Design!$B$33)*1000000)&lt;0,0,($B81-C81*IF(ISBLANK(Design!$B$42),Constants!$C$6,Design!$B$42)/1000*(1+Constants!$C$36/100*(N81-25))-Design!$C$29)/(IF(ISBLANK(Design!$B$41),Design!$B$39,Design!$B$41)/1000000)*E81/100/(IF(ISBLANK(Design!$B$33),Design!$B$32,Design!$B$33)*1000000))</f>
        <v>0</v>
      </c>
      <c r="G81" s="165">
        <f>B81*Constants!$C$21/1000+IF(ISBLANK(Design!$B$33),Design!$B$32,Design!$B$33)*1000000*Constants!$D$25/1000000000*(B81-Constants!$C$24)</f>
        <v>1.3411249999999998E-2</v>
      </c>
      <c r="H81" s="165">
        <f>B81*C81*(B81/(Constants!$C$26*1000000000)*IF(ISBLANK(Design!$B$33),Design!$B$32,Design!$B$33)*1000000/2+B81/(Constants!$C$27*1000000000)*IF(ISBLANK(Design!$B$33),Design!$B$32,Design!$B$33)*1000000/2)</f>
        <v>2.3370856249999988E-2</v>
      </c>
      <c r="I81" s="165">
        <f t="shared" ca="1" si="13"/>
        <v>1.255718352516686</v>
      </c>
      <c r="J81" s="165">
        <f>Constants!$D$25/1000000000*Constants!$C$24*IF(ISBLANK(Design!$B$33),Design!$B$32,Design!$B$33)*1000000</f>
        <v>1.0624999999999999E-2</v>
      </c>
      <c r="K81" s="165">
        <f t="shared" ca="1" si="22"/>
        <v>1.3031254587666861</v>
      </c>
      <c r="L81" s="165">
        <f t="shared" ca="1" si="17"/>
        <v>3.7063112297227391E-2</v>
      </c>
      <c r="M81" s="166">
        <f ca="1">$A81+L81*Design!$B$19</f>
        <v>87.112597400941965</v>
      </c>
      <c r="N81" s="166">
        <f ca="1">K81*Design!$C$12+A81</f>
        <v>129.30626559806734</v>
      </c>
      <c r="O81" s="166">
        <f ca="1">Constants!$D$22+Constants!$D$22*Constants!$C$23/100*(N81-25)</f>
        <v>208.44501247845386</v>
      </c>
      <c r="P81" s="165">
        <f ca="1">(1-Constants!$D$20/1000000000*Design!$B$33*1000000) * ($B81+D81-C81*O81/1000) - (D81+C81*(1+($A81-25)*Constants!$C$36/100)*IF(ISBLANK(Design!$B$42),Constants!$C$6/1000,Design!$B$42/1000))</f>
        <v>3.7923025321588528</v>
      </c>
      <c r="Q81" s="115">
        <f ca="1">IF(P81&gt;Design!$C$29,Design!$C$29,P81)</f>
        <v>3.7923025321588528</v>
      </c>
      <c r="R81" s="116">
        <f>2*Design!$D$7/3</f>
        <v>1.6666666666666667</v>
      </c>
      <c r="S81" s="116">
        <f ca="1">FORECAST(R81, OFFSET(Design!$C$15:$C$17,MATCH(R81,Design!$B$15:$B$17,1)-1,0,2), OFFSET(Design!$B$15:$B$17,MATCH(R81,Design!$B$15:$B$17,1)-1,0,2))+(AB81-25)*Design!$B$18/1000</f>
        <v>0.37279468929973358</v>
      </c>
      <c r="T81" s="182">
        <f ca="1">IF(100*(Design!$C$29+S81+R81*IF(ISBLANK(Design!$B$42),Constants!$C$6,Design!$B$42)/1000*(1+Constants!$C$36/100*(AC81-25)))/($B81+S81-R81*AD81/1000)&gt;Design!$C$36,Design!$C$36,100*(Design!$C$29+S81+R81*IF(ISBLANK(Design!$B$42),Constants!$C$6,Design!$B$42)/1000*(1+Constants!$C$36/100*(AC81-25)))/($B81+S81-R81*AD81/1000))</f>
        <v>96.387500000000003</v>
      </c>
      <c r="U81" s="117">
        <f ca="1">IF(($B81-R81*IF(ISBLANK(Design!$B$42),Constants!$C$6,Design!$B$42)/1000*(1+Constants!$C$36/100*(AC81-25))-Design!$C$29)/(IF(ISBLANK(Design!$B$41),Design!$B$39,Design!$B$41)/1000000)*T81/100/(IF(ISBLANK(Design!$B$33),Design!$B$32,Design!$B$33)*1000000)&lt;0,0,($B81-R81*IF(ISBLANK(Design!$B$42),Constants!$C$6,Design!$B$42)/1000*(1+Constants!$C$36/100*(AC81-25))-Design!$C$29)/(IF(ISBLANK(Design!$B$41),Design!$B$39,Design!$B$41)/1000000)*T81/100/(IF(ISBLANK(Design!$B$33),Design!$B$32,Design!$B$33)*1000000))</f>
        <v>0</v>
      </c>
      <c r="V81" s="183">
        <f>$B81*Constants!$C$21/1000+IF(ISBLANK(Design!$B$33),Design!$B$32,Design!$B$33)*1000000*Constants!$D$25/1000000000*($B81-Constants!$C$24)</f>
        <v>1.3411249999999998E-2</v>
      </c>
      <c r="W81" s="183">
        <f>$B81*R81*($B81/(Constants!$C$26*1000000000)*IF(ISBLANK(Design!$B$33),Design!$B$32,Design!$B$33)*1000000/2+$B81/(Constants!$C$27*1000000000)*IF(ISBLANK(Design!$B$33),Design!$B$32,Design!$B$33)*1000000/2)</f>
        <v>1.5580570833333328E-2</v>
      </c>
      <c r="X81" s="183">
        <f t="shared" ca="1" si="14"/>
        <v>0.50268955013986905</v>
      </c>
      <c r="Y81" s="183">
        <f>Constants!$D$25/1000000000*Constants!$C$24*IF(ISBLANK(Design!$B$33),Design!$B$32,Design!$B$33)*1000000</f>
        <v>1.0624999999999999E-2</v>
      </c>
      <c r="Z81" s="183">
        <f t="shared" ca="1" si="23"/>
        <v>0.54230637097320233</v>
      </c>
      <c r="AA81" s="183">
        <f t="shared" ca="1" si="19"/>
        <v>2.2445346918254772E-2</v>
      </c>
      <c r="AB81" s="184">
        <f ca="1">$A81+AA81*Design!$B$19</f>
        <v>86.279384774340528</v>
      </c>
      <c r="AC81" s="184">
        <f ca="1">Z81*Design!$C$12+$A81</f>
        <v>103.43841661308888</v>
      </c>
      <c r="AD81" s="184">
        <f ca="1">Constants!$D$22+Constants!$D$22*Constants!$C$23/100*(AC81-25)</f>
        <v>187.75073329047109</v>
      </c>
      <c r="AE81" s="183">
        <f ca="1">(1-Constants!$D$20/1000000000*Design!$B$33*1000000) * ($B81+S81-R81*AD81/1000) - (S81+R81*(1+($A81-25)*Constants!$C$36/100)*IF(ISBLANK(Design!$B$42),Constants!$C$6/1000,Design!$B$42/1000))</f>
        <v>4.0322647512892349</v>
      </c>
      <c r="AF81" s="117">
        <f ca="1">IF(AE81&gt;Design!$C$29,Design!$C$29,AE81)</f>
        <v>4.0322647512892349</v>
      </c>
      <c r="AG81" s="118">
        <f>Design!$D$7/3</f>
        <v>0.83333333333333337</v>
      </c>
      <c r="AH81" s="118">
        <f ca="1">FORECAST(AG81, OFFSET(Design!$C$15:$C$17,MATCH(AG81,Design!$B$15:$B$17,1)-1,0,2), OFFSET(Design!$B$15:$B$17,MATCH(AG81,Design!$B$15:$B$17,1)-1,0,2))+(AQ81-25)*Design!$B$18/1000</f>
        <v>0.30872949873502364</v>
      </c>
      <c r="AI81" s="194">
        <f ca="1">IF(100*(Design!$C$29+AH81+AG81*IF(ISBLANK(Design!$B$42),Constants!$C$6,Design!$B$42)/1000*(1+Constants!$C$36/100*(AR81-25)))/($B81+AH81-AG81*AS81/1000)&gt;Design!$C$36,Design!$C$36,100*(Design!$C$29+AH81+AG81*IF(ISBLANK(Design!$B$42),Constants!$C$6,Design!$B$42)/1000*(1+Constants!$C$36/100*(AR81-25)))/($B81+AH81-AG81*AS81/1000))</f>
        <v>96.387500000000003</v>
      </c>
      <c r="AJ81" s="119">
        <f ca="1">IF(($B81-AG81*IF(ISBLANK(Design!$B$42),Constants!$C$6,Design!$B$42)/1000*(1+Constants!$C$36/100*(AR81-25))-Design!$C$29)/(IF(ISBLANK(Design!$B$41),Design!$B$39,Design!$B$41)/1000000)*AI81/100/(IF(ISBLANK(Design!$B$33),Design!$B$32,Design!$B$33)*1000000)&lt;0,0,($B81-AG81*IF(ISBLANK(Design!$B$42),Constants!$C$6,Design!$B$42)/1000*(1+Constants!$C$36/100*(AR81-25))-Design!$C$29)/(IF(ISBLANK(Design!$B$41),Design!$B$39,Design!$B$41)/1000000)*AI81/100/(IF(ISBLANK(Design!$B$33),Design!$B$32,Design!$B$33)*1000000))</f>
        <v>0</v>
      </c>
      <c r="AK81" s="195">
        <f>$B81*Constants!$C$21/1000+IF(ISBLANK(Design!$B$33),Design!$B$32,Design!$B$33)*1000000*Constants!$D$25/1000000000*($B81-Constants!$C$24)</f>
        <v>1.3411249999999998E-2</v>
      </c>
      <c r="AL81" s="195">
        <f>$B81*AG81*($B81/(Constants!$C$26*1000000000)*IF(ISBLANK(Design!$B$33),Design!$B$32,Design!$B$33)*1000000/2+$B81/(Constants!$C$27*1000000000)*IF(ISBLANK(Design!$B$33),Design!$B$32,Design!$B$33)*1000000/2)</f>
        <v>7.7902854166666639E-3</v>
      </c>
      <c r="AM81" s="195">
        <f t="shared" ca="1" si="15"/>
        <v>0.11853645957280345</v>
      </c>
      <c r="AN81" s="195">
        <f>Constants!$D$25/1000000000*Constants!$C$24*IF(ISBLANK(Design!$B$33),Design!$B$32,Design!$B$33)*1000000</f>
        <v>1.0624999999999999E-2</v>
      </c>
      <c r="AO81" s="195">
        <f t="shared" ca="1" si="24"/>
        <v>0.15036299498947012</v>
      </c>
      <c r="AP81" s="195">
        <f t="shared" ca="1" si="21"/>
        <v>9.2940442848355974E-3</v>
      </c>
      <c r="AQ81" s="196">
        <f ca="1">$A81+AP81*Design!$B$19</f>
        <v>85.529760524235627</v>
      </c>
      <c r="AR81" s="196">
        <f ca="1">AO81*Design!$C$12+$A81</f>
        <v>90.112341829641991</v>
      </c>
      <c r="AS81" s="196">
        <f ca="1">Constants!$D$22+Constants!$D$22*Constants!$C$23/100*(AR81-25)</f>
        <v>177.08987346371359</v>
      </c>
      <c r="AT81" s="195">
        <f ca="1">(1-Constants!$D$20/1000000000*Design!$B$33*1000000) * ($B81+AH81-AG81*AS81/1000) - (AH81+AG81*(1+($A81-25)*Constants!$C$36/100)*IF(ISBLANK(Design!$B$42),Constants!$C$6/1000,Design!$B$42/1000))</f>
        <v>4.2332054802325203</v>
      </c>
      <c r="AU81" s="119">
        <f ca="1">IF(AT81&gt;Design!$C$29,Design!$C$29,AT81)</f>
        <v>4.2332054802325203</v>
      </c>
    </row>
    <row r="82" spans="1:47" ht="12.75" customHeight="1">
      <c r="A82" s="112">
        <f>Design!$D$13</f>
        <v>85</v>
      </c>
      <c r="B82" s="113">
        <f t="shared" si="12"/>
        <v>4.4749999999999996</v>
      </c>
      <c r="C82" s="114">
        <f>Design!$D$7</f>
        <v>2.5</v>
      </c>
      <c r="D82" s="114">
        <f ca="1">FORECAST(C82, OFFSET(Design!$C$15:$C$17,MATCH(C82,Design!$B$15:$B$17,1)-1,0,2), OFFSET(Design!$B$15:$B$17,MATCH(C82,Design!$B$15:$B$17,1)-1,0,2))+(M82-25)*Design!$B$18/1000</f>
        <v>0.41038740259905804</v>
      </c>
      <c r="E82" s="173">
        <f ca="1">IF(100*(Design!$C$29+D82+C82*IF(ISBLANK(Design!$B$42),Constants!$C$6,Design!$B$42)/1000*(1+Constants!$C$36/100*(N82-25)))/($B82+D82-C82*O82/1000)&gt;Design!$C$36,Design!$C$36,100*(Design!$C$29+D82+C82*IF(ISBLANK(Design!$B$42),Constants!$C$6,Design!$B$42)/1000*(1+Constants!$C$36/100*(N82-25)))/($B82+D82-C82*O82/1000))</f>
        <v>96.387500000000003</v>
      </c>
      <c r="F82" s="115">
        <f ca="1">IF(($B82-C82*IF(ISBLANK(Design!$B$42),Constants!$C$6,Design!$B$42)/1000*(1+Constants!$C$36/100*(N82-25))-Design!$C$29)/(IF(ISBLANK(Design!$B$41),Design!$B$39,Design!$B$41)/1000000)*E82/100/(IF(ISBLANK(Design!$B$33),Design!$B$32,Design!$B$33)*1000000)&lt;0,0,($B82-C82*IF(ISBLANK(Design!$B$42),Constants!$C$6,Design!$B$42)/1000*(1+Constants!$C$36/100*(N82-25))-Design!$C$29)/(IF(ISBLANK(Design!$B$41),Design!$B$39,Design!$B$41)/1000000)*E82/100/(IF(ISBLANK(Design!$B$33),Design!$B$32,Design!$B$33)*1000000))</f>
        <v>0</v>
      </c>
      <c r="G82" s="165">
        <f>B82*Constants!$C$21/1000+IF(ISBLANK(Design!$B$33),Design!$B$32,Design!$B$33)*1000000*Constants!$D$25/1000000000*(B82-Constants!$C$24)</f>
        <v>1.2309374999999999E-2</v>
      </c>
      <c r="H82" s="165">
        <f>B82*C82*(B82/(Constants!$C$26*1000000000)*IF(ISBLANK(Design!$B$33),Design!$B$32,Design!$B$33)*1000000/2+B82/(Constants!$C$27*1000000000)*IF(ISBLANK(Design!$B$33),Design!$B$32,Design!$B$33)*1000000/2)</f>
        <v>2.1277226562499998E-2</v>
      </c>
      <c r="I82" s="165">
        <f t="shared" ca="1" si="13"/>
        <v>1.255092128892731</v>
      </c>
      <c r="J82" s="165">
        <f>Constants!$D$25/1000000000*Constants!$C$24*IF(ISBLANK(Design!$B$33),Design!$B$32,Design!$B$33)*1000000</f>
        <v>1.0624999999999999E-2</v>
      </c>
      <c r="K82" s="165">
        <f t="shared" ca="1" si="22"/>
        <v>1.2993037304552311</v>
      </c>
      <c r="L82" s="165">
        <f t="shared" ca="1" si="17"/>
        <v>3.7063112297227391E-2</v>
      </c>
      <c r="M82" s="166">
        <f ca="1">$A82+L82*Design!$B$19</f>
        <v>87.112597400941965</v>
      </c>
      <c r="N82" s="166">
        <f ca="1">K82*Design!$C$12+A82</f>
        <v>129.17632683547785</v>
      </c>
      <c r="O82" s="166">
        <f ca="1">Constants!$D$22+Constants!$D$22*Constants!$C$23/100*(N82-25)</f>
        <v>208.34106146838229</v>
      </c>
      <c r="P82" s="165">
        <f ca="1">(1-Constants!$D$20/1000000000*Design!$B$33*1000000) * ($B82+D82-C82*O82/1000) - (D82+C82*(1+($A82-25)*Constants!$C$36/100)*IF(ISBLANK(Design!$B$42),Constants!$C$6/1000,Design!$B$42/1000))</f>
        <v>3.5894268014507662</v>
      </c>
      <c r="Q82" s="115">
        <f ca="1">IF(P82&gt;Design!$C$29,Design!$C$29,P82)</f>
        <v>3.5894268014507662</v>
      </c>
      <c r="R82" s="116">
        <f>2*Design!$D$7/3</f>
        <v>1.6666666666666667</v>
      </c>
      <c r="S82" s="116">
        <f ca="1">FORECAST(R82, OFFSET(Design!$C$15:$C$17,MATCH(R82,Design!$B$15:$B$17,1)-1,0,2), OFFSET(Design!$B$15:$B$17,MATCH(R82,Design!$B$15:$B$17,1)-1,0,2))+(AB82-25)*Design!$B$18/1000</f>
        <v>0.37279468929973358</v>
      </c>
      <c r="T82" s="182">
        <f ca="1">IF(100*(Design!$C$29+S82+R82*IF(ISBLANK(Design!$B$42),Constants!$C$6,Design!$B$42)/1000*(1+Constants!$C$36/100*(AC82-25)))/($B82+S82-R82*AD82/1000)&gt;Design!$C$36,Design!$C$36,100*(Design!$C$29+S82+R82*IF(ISBLANK(Design!$B$42),Constants!$C$6,Design!$B$42)/1000*(1+Constants!$C$36/100*(AC82-25)))/($B82+S82-R82*AD82/1000))</f>
        <v>96.387500000000003</v>
      </c>
      <c r="U82" s="117">
        <f ca="1">IF(($B82-R82*IF(ISBLANK(Design!$B$42),Constants!$C$6,Design!$B$42)/1000*(1+Constants!$C$36/100*(AC82-25))-Design!$C$29)/(IF(ISBLANK(Design!$B$41),Design!$B$39,Design!$B$41)/1000000)*T82/100/(IF(ISBLANK(Design!$B$33),Design!$B$32,Design!$B$33)*1000000)&lt;0,0,($B82-R82*IF(ISBLANK(Design!$B$42),Constants!$C$6,Design!$B$42)/1000*(1+Constants!$C$36/100*(AC82-25))-Design!$C$29)/(IF(ISBLANK(Design!$B$41),Design!$B$39,Design!$B$41)/1000000)*T82/100/(IF(ISBLANK(Design!$B$33),Design!$B$32,Design!$B$33)*1000000))</f>
        <v>0</v>
      </c>
      <c r="V82" s="183">
        <f>$B82*Constants!$C$21/1000+IF(ISBLANK(Design!$B$33),Design!$B$32,Design!$B$33)*1000000*Constants!$D$25/1000000000*($B82-Constants!$C$24)</f>
        <v>1.2309374999999999E-2</v>
      </c>
      <c r="W82" s="183">
        <f>$B82*R82*($B82/(Constants!$C$26*1000000000)*IF(ISBLANK(Design!$B$33),Design!$B$32,Design!$B$33)*1000000/2+$B82/(Constants!$C$27*1000000000)*IF(ISBLANK(Design!$B$33),Design!$B$32,Design!$B$33)*1000000/2)</f>
        <v>1.418481770833333E-2</v>
      </c>
      <c r="X82" s="183">
        <f t="shared" ca="1" si="14"/>
        <v>0.5024933706038347</v>
      </c>
      <c r="Y82" s="183">
        <f>Constants!$D$25/1000000000*Constants!$C$24*IF(ISBLANK(Design!$B$33),Design!$B$32,Design!$B$33)*1000000</f>
        <v>1.0624999999999999E-2</v>
      </c>
      <c r="Z82" s="183">
        <f t="shared" ca="1" si="23"/>
        <v>0.539612563312168</v>
      </c>
      <c r="AA82" s="183">
        <f t="shared" ca="1" si="19"/>
        <v>2.2445346918254772E-2</v>
      </c>
      <c r="AB82" s="184">
        <f ca="1">$A82+AA82*Design!$B$19</f>
        <v>86.279384774340528</v>
      </c>
      <c r="AC82" s="184">
        <f ca="1">Z82*Design!$C$12+$A82</f>
        <v>103.34682715261371</v>
      </c>
      <c r="AD82" s="184">
        <f ca="1">Constants!$D$22+Constants!$D$22*Constants!$C$23/100*(AC82-25)</f>
        <v>187.67746172209098</v>
      </c>
      <c r="AE82" s="183">
        <f ca="1">(1-Constants!$D$20/1000000000*Design!$B$33*1000000) * ($B82+S82-R82*AD82/1000) - (S82+R82*(1+($A82-25)*Constants!$C$36/100)*IF(ISBLANK(Design!$B$42),Constants!$C$6/1000,Design!$B$42/1000))</f>
        <v>3.8292588734796129</v>
      </c>
      <c r="AF82" s="117">
        <f ca="1">IF(AE82&gt;Design!$C$29,Design!$C$29,AE82)</f>
        <v>3.8292588734796129</v>
      </c>
      <c r="AG82" s="118">
        <f>Design!$D$7/3</f>
        <v>0.83333333333333337</v>
      </c>
      <c r="AH82" s="118">
        <f ca="1">FORECAST(AG82, OFFSET(Design!$C$15:$C$17,MATCH(AG82,Design!$B$15:$B$17,1)-1,0,2), OFFSET(Design!$B$15:$B$17,MATCH(AG82,Design!$B$15:$B$17,1)-1,0,2))+(AQ82-25)*Design!$B$18/1000</f>
        <v>0.30872949873502364</v>
      </c>
      <c r="AI82" s="194">
        <f ca="1">IF(100*(Design!$C$29+AH82+AG82*IF(ISBLANK(Design!$B$42),Constants!$C$6,Design!$B$42)/1000*(1+Constants!$C$36/100*(AR82-25)))/($B82+AH82-AG82*AS82/1000)&gt;Design!$C$36,Design!$C$36,100*(Design!$C$29+AH82+AG82*IF(ISBLANK(Design!$B$42),Constants!$C$6,Design!$B$42)/1000*(1+Constants!$C$36/100*(AR82-25)))/($B82+AH82-AG82*AS82/1000))</f>
        <v>96.387500000000003</v>
      </c>
      <c r="AJ82" s="119">
        <f ca="1">IF(($B82-AG82*IF(ISBLANK(Design!$B$42),Constants!$C$6,Design!$B$42)/1000*(1+Constants!$C$36/100*(AR82-25))-Design!$C$29)/(IF(ISBLANK(Design!$B$41),Design!$B$39,Design!$B$41)/1000000)*AI82/100/(IF(ISBLANK(Design!$B$33),Design!$B$32,Design!$B$33)*1000000)&lt;0,0,($B82-AG82*IF(ISBLANK(Design!$B$42),Constants!$C$6,Design!$B$42)/1000*(1+Constants!$C$36/100*(AR82-25))-Design!$C$29)/(IF(ISBLANK(Design!$B$41),Design!$B$39,Design!$B$41)/1000000)*AI82/100/(IF(ISBLANK(Design!$B$33),Design!$B$32,Design!$B$33)*1000000))</f>
        <v>0</v>
      </c>
      <c r="AK82" s="195">
        <f>$B82*Constants!$C$21/1000+IF(ISBLANK(Design!$B$33),Design!$B$32,Design!$B$33)*1000000*Constants!$D$25/1000000000*($B82-Constants!$C$24)</f>
        <v>1.2309374999999999E-2</v>
      </c>
      <c r="AL82" s="195">
        <f>$B82*AG82*($B82/(Constants!$C$26*1000000000)*IF(ISBLANK(Design!$B$33),Design!$B$32,Design!$B$33)*1000000/2+$B82/(Constants!$C$27*1000000000)*IF(ISBLANK(Design!$B$33),Design!$B$32,Design!$B$33)*1000000/2)</f>
        <v>7.092408854166665E-3</v>
      </c>
      <c r="AM82" s="195">
        <f t="shared" ca="1" si="15"/>
        <v>0.11850308470553976</v>
      </c>
      <c r="AN82" s="195">
        <f>Constants!$D$25/1000000000*Constants!$C$24*IF(ISBLANK(Design!$B$33),Design!$B$32,Design!$B$33)*1000000</f>
        <v>1.0624999999999999E-2</v>
      </c>
      <c r="AO82" s="195">
        <f t="shared" ca="1" si="24"/>
        <v>0.14852986855970643</v>
      </c>
      <c r="AP82" s="195">
        <f t="shared" ca="1" si="21"/>
        <v>9.2940442848355974E-3</v>
      </c>
      <c r="AQ82" s="196">
        <f ca="1">$A82+AP82*Design!$B$19</f>
        <v>85.529760524235627</v>
      </c>
      <c r="AR82" s="196">
        <f ca="1">AO82*Design!$C$12+$A82</f>
        <v>90.050015531030013</v>
      </c>
      <c r="AS82" s="196">
        <f ca="1">Constants!$D$22+Constants!$D$22*Constants!$C$23/100*(AR82-25)</f>
        <v>177.040012424824</v>
      </c>
      <c r="AT82" s="195">
        <f ca="1">(1-Constants!$D$20/1000000000*Design!$B$33*1000000) * ($B82+AH82-AG82*AS82/1000) - (AH82+AG82*(1+($A82-25)*Constants!$C$36/100)*IF(ISBLANK(Design!$B$42),Constants!$C$6/1000,Design!$B$42/1000))</f>
        <v>4.0301234854129291</v>
      </c>
      <c r="AU82" s="119">
        <f ca="1">IF(AT82&gt;Design!$C$29,Design!$C$29,AT82)</f>
        <v>4.0301234854129291</v>
      </c>
    </row>
    <row r="83" spans="1:47" ht="12.75" customHeight="1">
      <c r="A83" s="112">
        <f>Design!$D$13</f>
        <v>85</v>
      </c>
      <c r="B83" s="113">
        <f t="shared" si="12"/>
        <v>4.26</v>
      </c>
      <c r="C83" s="114">
        <f>Design!$D$7</f>
        <v>2.5</v>
      </c>
      <c r="D83" s="114">
        <f ca="1">FORECAST(C83, OFFSET(Design!$C$15:$C$17,MATCH(C83,Design!$B$15:$B$17,1)-1,0,2), OFFSET(Design!$B$15:$B$17,MATCH(C83,Design!$B$15:$B$17,1)-1,0,2))+(M83-25)*Design!$B$18/1000</f>
        <v>0.41038740259905804</v>
      </c>
      <c r="E83" s="173">
        <f ca="1">IF(100*(Design!$C$29+D83+C83*IF(ISBLANK(Design!$B$42),Constants!$C$6,Design!$B$42)/1000*(1+Constants!$C$36/100*(N83-25)))/($B83+D83-C83*O83/1000)&gt;Design!$C$36,Design!$C$36,100*(Design!$C$29+D83+C83*IF(ISBLANK(Design!$B$42),Constants!$C$6,Design!$B$42)/1000*(1+Constants!$C$36/100*(N83-25)))/($B83+D83-C83*O83/1000))</f>
        <v>96.387500000000003</v>
      </c>
      <c r="F83" s="115">
        <f ca="1">IF(($B83-C83*IF(ISBLANK(Design!$B$42),Constants!$C$6,Design!$B$42)/1000*(1+Constants!$C$36/100*(N83-25))-Design!$C$29)/(IF(ISBLANK(Design!$B$41),Design!$B$39,Design!$B$41)/1000000)*E83/100/(IF(ISBLANK(Design!$B$33),Design!$B$32,Design!$B$33)*1000000)&lt;0,0,($B83-C83*IF(ISBLANK(Design!$B$42),Constants!$C$6,Design!$B$42)/1000*(1+Constants!$C$36/100*(N83-25))-Design!$C$29)/(IF(ISBLANK(Design!$B$41),Design!$B$39,Design!$B$41)/1000000)*E83/100/(IF(ISBLANK(Design!$B$33),Design!$B$32,Design!$B$33)*1000000))</f>
        <v>0</v>
      </c>
      <c r="G83" s="165">
        <f>B83*Constants!$C$21/1000+IF(ISBLANK(Design!$B$33),Design!$B$32,Design!$B$33)*1000000*Constants!$D$25/1000000000*(B83-Constants!$C$24)</f>
        <v>1.1207499999999999E-2</v>
      </c>
      <c r="H83" s="165">
        <f>B83*C83*(B83/(Constants!$C$26*1000000000)*IF(ISBLANK(Design!$B$33),Design!$B$32,Design!$B$33)*1000000/2+B83/(Constants!$C$27*1000000000)*IF(ISBLANK(Design!$B$33),Design!$B$32,Design!$B$33)*1000000/2)</f>
        <v>1.9281824999999995E-2</v>
      </c>
      <c r="I83" s="165">
        <f t="shared" ca="1" si="13"/>
        <v>1.2544851550519649</v>
      </c>
      <c r="J83" s="165">
        <f>Constants!$D$25/1000000000*Constants!$C$24*IF(ISBLANK(Design!$B$33),Design!$B$32,Design!$B$33)*1000000</f>
        <v>1.0624999999999999E-2</v>
      </c>
      <c r="K83" s="165">
        <f ca="1">SUM(G83:J83)</f>
        <v>1.295599480051965</v>
      </c>
      <c r="L83" s="165">
        <f t="shared" ca="1" si="17"/>
        <v>3.7063112297227391E-2</v>
      </c>
      <c r="M83" s="166">
        <f ca="1">$A83+L83*Design!$B$19</f>
        <v>87.112597400941965</v>
      </c>
      <c r="N83" s="166">
        <f ca="1">K83*Design!$C$12+A83</f>
        <v>129.05038232176682</v>
      </c>
      <c r="O83" s="166">
        <f ca="1">Constants!$D$22+Constants!$D$22*Constants!$C$23/100*(N83-25)</f>
        <v>208.24030585741346</v>
      </c>
      <c r="P83" s="165">
        <f ca="1">(1-Constants!$D$20/1000000000*Design!$B$33*1000000) * ($B83+D83-C83*O83/1000) - (D83+C83*(1+($A83-25)*Constants!$C$36/100)*IF(ISBLANK(Design!$B$42),Constants!$C$6/1000,Design!$B$42/1000))</f>
        <v>3.3865435236094235</v>
      </c>
      <c r="Q83" s="115">
        <f ca="1">IF(P83&gt;Design!$C$29,Design!$C$29,P83)</f>
        <v>3.3865435236094235</v>
      </c>
      <c r="R83" s="116">
        <f>2*Design!$D$7/3</f>
        <v>1.6666666666666667</v>
      </c>
      <c r="S83" s="116">
        <f ca="1">FORECAST(R83, OFFSET(Design!$C$15:$C$17,MATCH(R83,Design!$B$15:$B$17,1)-1,0,2), OFFSET(Design!$B$15:$B$17,MATCH(R83,Design!$B$15:$B$17,1)-1,0,2))+(AB83-25)*Design!$B$18/1000</f>
        <v>0.37279468929973358</v>
      </c>
      <c r="T83" s="182">
        <f ca="1">IF(100*(Design!$C$29+S83+R83*IF(ISBLANK(Design!$B$42),Constants!$C$6,Design!$B$42)/1000*(1+Constants!$C$36/100*(AC83-25)))/($B83+S83-R83*AD83/1000)&gt;Design!$C$36,Design!$C$36,100*(Design!$C$29+S83+R83*IF(ISBLANK(Design!$B$42),Constants!$C$6,Design!$B$42)/1000*(1+Constants!$C$36/100*(AC83-25)))/($B83+S83-R83*AD83/1000))</f>
        <v>96.387500000000003</v>
      </c>
      <c r="U83" s="117">
        <f ca="1">IF(($B83-R83*IF(ISBLANK(Design!$B$42),Constants!$C$6,Design!$B$42)/1000*(1+Constants!$C$36/100*(AC83-25))-Design!$C$29)/(IF(ISBLANK(Design!$B$41),Design!$B$39,Design!$B$41)/1000000)*T83/100/(IF(ISBLANK(Design!$B$33),Design!$B$32,Design!$B$33)*1000000)&lt;0,0,($B83-R83*IF(ISBLANK(Design!$B$42),Constants!$C$6,Design!$B$42)/1000*(1+Constants!$C$36/100*(AC83-25))-Design!$C$29)/(IF(ISBLANK(Design!$B$41),Design!$B$39,Design!$B$41)/1000000)*T83/100/(IF(ISBLANK(Design!$B$33),Design!$B$32,Design!$B$33)*1000000))</f>
        <v>0</v>
      </c>
      <c r="V83" s="183">
        <f>$B83*Constants!$C$21/1000+IF(ISBLANK(Design!$B$33),Design!$B$32,Design!$B$33)*1000000*Constants!$D$25/1000000000*($B83-Constants!$C$24)</f>
        <v>1.1207499999999999E-2</v>
      </c>
      <c r="W83" s="183">
        <f>$B83*R83*($B83/(Constants!$C$26*1000000000)*IF(ISBLANK(Design!$B$33),Design!$B$32,Design!$B$33)*1000000/2+$B83/(Constants!$C$27*1000000000)*IF(ISBLANK(Design!$B$33),Design!$B$32,Design!$B$33)*1000000/2)</f>
        <v>1.2854549999999998E-2</v>
      </c>
      <c r="X83" s="183">
        <f t="shared" ca="1" si="14"/>
        <v>0.50230233470729158</v>
      </c>
      <c r="Y83" s="183">
        <f>Constants!$D$25/1000000000*Constants!$C$24*IF(ISBLANK(Design!$B$33),Design!$B$32,Design!$B$33)*1000000</f>
        <v>1.0624999999999999E-2</v>
      </c>
      <c r="Z83" s="183">
        <f t="shared" ca="1" si="23"/>
        <v>0.53698938470729152</v>
      </c>
      <c r="AA83" s="183">
        <f t="shared" ca="1" si="19"/>
        <v>2.2445346918254772E-2</v>
      </c>
      <c r="AB83" s="184">
        <f ca="1">$A83+AA83*Design!$B$19</f>
        <v>86.279384774340528</v>
      </c>
      <c r="AC83" s="184">
        <f ca="1">Z83*Design!$C$12+$A83</f>
        <v>103.25763908004791</v>
      </c>
      <c r="AD83" s="184">
        <f ca="1">Constants!$D$22+Constants!$D$22*Constants!$C$23/100*(AC83-25)</f>
        <v>187.60611126403833</v>
      </c>
      <c r="AE83" s="183">
        <f ca="1">(1-Constants!$D$20/1000000000*Design!$B$33*1000000) * ($B83+S83-R83*AD83/1000) - (S83+R83*(1+($A83-25)*Constants!$C$36/100)*IF(ISBLANK(Design!$B$42),Constants!$C$6/1000,Design!$B$42/1000))</f>
        <v>3.6262499707216889</v>
      </c>
      <c r="AF83" s="117">
        <f ca="1">IF(AE83&gt;Design!$C$29,Design!$C$29,AE83)</f>
        <v>3.6262499707216889</v>
      </c>
      <c r="AG83" s="118">
        <f>Design!$D$7/3</f>
        <v>0.83333333333333337</v>
      </c>
      <c r="AH83" s="118">
        <f ca="1">FORECAST(AG83, OFFSET(Design!$C$15:$C$17,MATCH(AG83,Design!$B$15:$B$17,1)-1,0,2), OFFSET(Design!$B$15:$B$17,MATCH(AG83,Design!$B$15:$B$17,1)-1,0,2))+(AQ83-25)*Design!$B$18/1000</f>
        <v>0.30872949873502364</v>
      </c>
      <c r="AI83" s="194">
        <f ca="1">IF(100*(Design!$C$29+AH83+AG83*IF(ISBLANK(Design!$B$42),Constants!$C$6,Design!$B$42)/1000*(1+Constants!$C$36/100*(AR83-25)))/($B83+AH83-AG83*AS83/1000)&gt;Design!$C$36,Design!$C$36,100*(Design!$C$29+AH83+AG83*IF(ISBLANK(Design!$B$42),Constants!$C$6,Design!$B$42)/1000*(1+Constants!$C$36/100*(AR83-25)))/($B83+AH83-AG83*AS83/1000))</f>
        <v>96.387500000000003</v>
      </c>
      <c r="AJ83" s="119">
        <f ca="1">IF(($B83-AG83*IF(ISBLANK(Design!$B$42),Constants!$C$6,Design!$B$42)/1000*(1+Constants!$C$36/100*(AR83-25))-Design!$C$29)/(IF(ISBLANK(Design!$B$41),Design!$B$39,Design!$B$41)/1000000)*AI83/100/(IF(ISBLANK(Design!$B$33),Design!$B$32,Design!$B$33)*1000000)&lt;0,0,($B83-AG83*IF(ISBLANK(Design!$B$42),Constants!$C$6,Design!$B$42)/1000*(1+Constants!$C$36/100*(AR83-25))-Design!$C$29)/(IF(ISBLANK(Design!$B$41),Design!$B$39,Design!$B$41)/1000000)*AI83/100/(IF(ISBLANK(Design!$B$33),Design!$B$32,Design!$B$33)*1000000))</f>
        <v>0</v>
      </c>
      <c r="AK83" s="195">
        <f>$B83*Constants!$C$21/1000+IF(ISBLANK(Design!$B$33),Design!$B$32,Design!$B$33)*1000000*Constants!$D$25/1000000000*($B83-Constants!$C$24)</f>
        <v>1.1207499999999999E-2</v>
      </c>
      <c r="AL83" s="195">
        <f>$B83*AG83*($B83/(Constants!$C$26*1000000000)*IF(ISBLANK(Design!$B$33),Design!$B$32,Design!$B$33)*1000000/2+$B83/(Constants!$C$27*1000000000)*IF(ISBLANK(Design!$B$33),Design!$B$32,Design!$B$33)*1000000/2)</f>
        <v>6.4272749999999988E-3</v>
      </c>
      <c r="AM83" s="195">
        <f t="shared" ca="1" si="15"/>
        <v>0.11847031702404955</v>
      </c>
      <c r="AN83" s="195">
        <f>Constants!$D$25/1000000000*Constants!$C$24*IF(ISBLANK(Design!$B$33),Design!$B$32,Design!$B$33)*1000000</f>
        <v>1.0624999999999999E-2</v>
      </c>
      <c r="AO83" s="195">
        <f t="shared" ca="1" si="24"/>
        <v>0.14673009202404955</v>
      </c>
      <c r="AP83" s="195">
        <f t="shared" ca="1" si="21"/>
        <v>9.2940442848355974E-3</v>
      </c>
      <c r="AQ83" s="196">
        <f ca="1">$A83+AP83*Design!$B$19</f>
        <v>85.529760524235627</v>
      </c>
      <c r="AR83" s="196">
        <f ca="1">AO83*Design!$C$12+$A83</f>
        <v>89.988823128817685</v>
      </c>
      <c r="AS83" s="196">
        <f ca="1">Constants!$D$22+Constants!$D$22*Constants!$C$23/100*(AR83-25)</f>
        <v>176.99105850305415</v>
      </c>
      <c r="AT83" s="195">
        <f ca="1">(1-Constants!$D$20/1000000000*Design!$B$33*1000000) * ($B83+AH83-AG83*AS83/1000) - (AH83+AG83*(1+($A83-25)*Constants!$C$36/100)*IF(ISBLANK(Design!$B$42),Constants!$C$6/1000,Design!$B$42/1000))</f>
        <v>3.8270407764275887</v>
      </c>
      <c r="AU83" s="119">
        <f ca="1">IF(AT83&gt;Design!$C$29,Design!$C$29,AT83)</f>
        <v>3.8270407764275887</v>
      </c>
    </row>
    <row r="84" spans="1:47" ht="12.75" customHeight="1">
      <c r="A84" s="112">
        <f>Design!$D$13</f>
        <v>85</v>
      </c>
      <c r="B84" s="113">
        <f t="shared" si="12"/>
        <v>4.0449999999999999</v>
      </c>
      <c r="C84" s="114">
        <f>Design!$D$7</f>
        <v>2.5</v>
      </c>
      <c r="D84" s="114">
        <f ca="1">FORECAST(C84, OFFSET(Design!$C$15:$C$17,MATCH(C84,Design!$B$15:$B$17,1)-1,0,2), OFFSET(Design!$B$15:$B$17,MATCH(C84,Design!$B$15:$B$17,1)-1,0,2))+(M84-25)*Design!$B$18/1000</f>
        <v>0.41038740259905804</v>
      </c>
      <c r="E84" s="173">
        <f ca="1">IF(100*(Design!$C$29+D84+C84*IF(ISBLANK(Design!$B$42),Constants!$C$6,Design!$B$42)/1000*(1+Constants!$C$36/100*(N84-25)))/($B84+D84-C84*O84/1000)&gt;Design!$C$36,Design!$C$36,100*(Design!$C$29+D84+C84*IF(ISBLANK(Design!$B$42),Constants!$C$6,Design!$B$42)/1000*(1+Constants!$C$36/100*(N84-25)))/($B84+D84-C84*O84/1000))</f>
        <v>96.387500000000003</v>
      </c>
      <c r="F84" s="115">
        <f ca="1">IF(($B84-C84*IF(ISBLANK(Design!$B$42),Constants!$C$6,Design!$B$42)/1000*(1+Constants!$C$36/100*(N84-25))-Design!$C$29)/(IF(ISBLANK(Design!$B$41),Design!$B$39,Design!$B$41)/1000000)*E84/100/(IF(ISBLANK(Design!$B$33),Design!$B$32,Design!$B$33)*1000000)&lt;0,0,($B84-C84*IF(ISBLANK(Design!$B$42),Constants!$C$6,Design!$B$42)/1000*(1+Constants!$C$36/100*(N84-25))-Design!$C$29)/(IF(ISBLANK(Design!$B$41),Design!$B$39,Design!$B$41)/1000000)*E84/100/(IF(ISBLANK(Design!$B$33),Design!$B$32,Design!$B$33)*1000000))</f>
        <v>0</v>
      </c>
      <c r="G84" s="165">
        <f>B84*Constants!$C$21/1000+IF(ISBLANK(Design!$B$33),Design!$B$32,Design!$B$33)*1000000*Constants!$D$25/1000000000*(B84-Constants!$C$24)</f>
        <v>1.0105625E-2</v>
      </c>
      <c r="H84" s="165">
        <f>B84*C84*(B84/(Constants!$C$26*1000000000)*IF(ISBLANK(Design!$B$33),Design!$B$32,Design!$B$33)*1000000/2+B84/(Constants!$C$27*1000000000)*IF(ISBLANK(Design!$B$33),Design!$B$32,Design!$B$33)*1000000/2)</f>
        <v>1.7384651562500002E-2</v>
      </c>
      <c r="I84" s="165">
        <f t="shared" ca="1" si="13"/>
        <v>1.2538974309943871</v>
      </c>
      <c r="J84" s="165">
        <f>Constants!$D$25/1000000000*Constants!$C$24*IF(ISBLANK(Design!$B$33),Design!$B$32,Design!$B$33)*1000000</f>
        <v>1.0624999999999999E-2</v>
      </c>
      <c r="K84" s="165">
        <f t="shared" ca="1" si="22"/>
        <v>1.2920127075568872</v>
      </c>
      <c r="L84" s="165">
        <f t="shared" ca="1" si="17"/>
        <v>3.7063112297227391E-2</v>
      </c>
      <c r="M84" s="166">
        <f ca="1">$A84+L84*Design!$B$19</f>
        <v>87.112597400941965</v>
      </c>
      <c r="N84" s="166">
        <f ca="1">K84*Design!$C$12+A84</f>
        <v>128.92843205693416</v>
      </c>
      <c r="O84" s="166">
        <f ca="1">Constants!$D$22+Constants!$D$22*Constants!$C$23/100*(N84-25)</f>
        <v>208.14274564554734</v>
      </c>
      <c r="P84" s="165">
        <f ca="1">(1-Constants!$D$20/1000000000*Design!$B$33*1000000) * ($B84+D84-C84*O84/1000) - (D84+C84*(1+($A84-25)*Constants!$C$36/100)*IF(ISBLANK(Design!$B$42),Constants!$C$6/1000,Design!$B$42/1000))</f>
        <v>3.1836526986348246</v>
      </c>
      <c r="Q84" s="115">
        <f ca="1">IF(P84&gt;Design!$C$29,Design!$C$29,P84)</f>
        <v>3.1836526986348246</v>
      </c>
      <c r="R84" s="116">
        <f>2*Design!$D$7/3</f>
        <v>1.6666666666666667</v>
      </c>
      <c r="S84" s="116">
        <f ca="1">FORECAST(R84, OFFSET(Design!$C$15:$C$17,MATCH(R84,Design!$B$15:$B$17,1)-1,0,2), OFFSET(Design!$B$15:$B$17,MATCH(R84,Design!$B$15:$B$17,1)-1,0,2))+(AB84-25)*Design!$B$18/1000</f>
        <v>0.37279468929973358</v>
      </c>
      <c r="T84" s="182">
        <f ca="1">IF(100*(Design!$C$29+S84+R84*IF(ISBLANK(Design!$B$42),Constants!$C$6,Design!$B$42)/1000*(1+Constants!$C$36/100*(AC84-25)))/($B84+S84-R84*AD84/1000)&gt;Design!$C$36,Design!$C$36,100*(Design!$C$29+S84+R84*IF(ISBLANK(Design!$B$42),Constants!$C$6,Design!$B$42)/1000*(1+Constants!$C$36/100*(AC84-25)))/($B84+S84-R84*AD84/1000))</f>
        <v>96.387500000000003</v>
      </c>
      <c r="U84" s="117">
        <f ca="1">IF(($B84-R84*IF(ISBLANK(Design!$B$42),Constants!$C$6,Design!$B$42)/1000*(1+Constants!$C$36/100*(AC84-25))-Design!$C$29)/(IF(ISBLANK(Design!$B$41),Design!$B$39,Design!$B$41)/1000000)*T84/100/(IF(ISBLANK(Design!$B$33),Design!$B$32,Design!$B$33)*1000000)&lt;0,0,($B84-R84*IF(ISBLANK(Design!$B$42),Constants!$C$6,Design!$B$42)/1000*(1+Constants!$C$36/100*(AC84-25))-Design!$C$29)/(IF(ISBLANK(Design!$B$41),Design!$B$39,Design!$B$41)/1000000)*T84/100/(IF(ISBLANK(Design!$B$33),Design!$B$32,Design!$B$33)*1000000))</f>
        <v>0</v>
      </c>
      <c r="V84" s="183">
        <f>$B84*Constants!$C$21/1000+IF(ISBLANK(Design!$B$33),Design!$B$32,Design!$B$33)*1000000*Constants!$D$25/1000000000*($B84-Constants!$C$24)</f>
        <v>1.0105625E-2</v>
      </c>
      <c r="W84" s="183">
        <f>$B84*R84*($B84/(Constants!$C$26*1000000000)*IF(ISBLANK(Design!$B$33),Design!$B$32,Design!$B$33)*1000000/2+$B84/(Constants!$C$27*1000000000)*IF(ISBLANK(Design!$B$33),Design!$B$32,Design!$B$33)*1000000/2)</f>
        <v>1.1589767708333334E-2</v>
      </c>
      <c r="X84" s="183">
        <f t="shared" ca="1" si="14"/>
        <v>0.50211644245024001</v>
      </c>
      <c r="Y84" s="183">
        <f>Constants!$D$25/1000000000*Constants!$C$24*IF(ISBLANK(Design!$B$33),Design!$B$32,Design!$B$33)*1000000</f>
        <v>1.0624999999999999E-2</v>
      </c>
      <c r="Z84" s="183">
        <f t="shared" ca="1" si="23"/>
        <v>0.53443683515857332</v>
      </c>
      <c r="AA84" s="183">
        <f t="shared" ca="1" si="19"/>
        <v>2.2445346918254772E-2</v>
      </c>
      <c r="AB84" s="184">
        <f ca="1">$A84+AA84*Design!$B$19</f>
        <v>86.279384774340528</v>
      </c>
      <c r="AC84" s="184">
        <f ca="1">Z84*Design!$C$12+$A84</f>
        <v>103.17085239539149</v>
      </c>
      <c r="AD84" s="184">
        <f ca="1">Constants!$D$22+Constants!$D$22*Constants!$C$23/100*(AC84-25)</f>
        <v>187.5366819163132</v>
      </c>
      <c r="AE84" s="183">
        <f ca="1">(1-Constants!$D$20/1000000000*Design!$B$33*1000000) * ($B84+S84-R84*AD84/1000) - (S84+R84*(1+($A84-25)*Constants!$C$36/100)*IF(ISBLANK(Design!$B$42),Constants!$C$6/1000,Design!$B$42/1000))</f>
        <v>3.4232380430154614</v>
      </c>
      <c r="AF84" s="117">
        <f ca="1">IF(AE84&gt;Design!$C$29,Design!$C$29,AE84)</f>
        <v>3.4232380430154614</v>
      </c>
      <c r="AG84" s="118">
        <f>Design!$D$7/3</f>
        <v>0.83333333333333337</v>
      </c>
      <c r="AH84" s="118">
        <f ca="1">FORECAST(AG84, OFFSET(Design!$C$15:$C$17,MATCH(AG84,Design!$B$15:$B$17,1)-1,0,2), OFFSET(Design!$B$15:$B$17,MATCH(AG84,Design!$B$15:$B$17,1)-1,0,2))+(AQ84-25)*Design!$B$18/1000</f>
        <v>0.30872949873502364</v>
      </c>
      <c r="AI84" s="194">
        <f ca="1">IF(100*(Design!$C$29+AH84+AG84*IF(ISBLANK(Design!$B$42),Constants!$C$6,Design!$B$42)/1000*(1+Constants!$C$36/100*(AR84-25)))/($B84+AH84-AG84*AS84/1000)&gt;Design!$C$36,Design!$C$36,100*(Design!$C$29+AH84+AG84*IF(ISBLANK(Design!$B$42),Constants!$C$6,Design!$B$42)/1000*(1+Constants!$C$36/100*(AR84-25)))/($B84+AH84-AG84*AS84/1000))</f>
        <v>96.387500000000003</v>
      </c>
      <c r="AJ84" s="119">
        <f ca="1">IF(($B84-AG84*IF(ISBLANK(Design!$B$42),Constants!$C$6,Design!$B$42)/1000*(1+Constants!$C$36/100*(AR84-25))-Design!$C$29)/(IF(ISBLANK(Design!$B$41),Design!$B$39,Design!$B$41)/1000000)*AI84/100/(IF(ISBLANK(Design!$B$33),Design!$B$32,Design!$B$33)*1000000)&lt;0,0,($B84-AG84*IF(ISBLANK(Design!$B$42),Constants!$C$6,Design!$B$42)/1000*(1+Constants!$C$36/100*(AR84-25))-Design!$C$29)/(IF(ISBLANK(Design!$B$41),Design!$B$39,Design!$B$41)/1000000)*AI84/100/(IF(ISBLANK(Design!$B$33),Design!$B$32,Design!$B$33)*1000000))</f>
        <v>0</v>
      </c>
      <c r="AK84" s="195">
        <f>$B84*Constants!$C$21/1000+IF(ISBLANK(Design!$B$33),Design!$B$32,Design!$B$33)*1000000*Constants!$D$25/1000000000*($B84-Constants!$C$24)</f>
        <v>1.0105625E-2</v>
      </c>
      <c r="AL84" s="195">
        <f>$B84*AG84*($B84/(Constants!$C$26*1000000000)*IF(ISBLANK(Design!$B$33),Design!$B$32,Design!$B$33)*1000000/2+$B84/(Constants!$C$27*1000000000)*IF(ISBLANK(Design!$B$33),Design!$B$32,Design!$B$33)*1000000/2)</f>
        <v>5.7948838541666669E-3</v>
      </c>
      <c r="AM84" s="195">
        <f t="shared" ca="1" si="15"/>
        <v>0.11843815652833276</v>
      </c>
      <c r="AN84" s="195">
        <f>Constants!$D$25/1000000000*Constants!$C$24*IF(ISBLANK(Design!$B$33),Design!$B$32,Design!$B$33)*1000000</f>
        <v>1.0624999999999999E-2</v>
      </c>
      <c r="AO84" s="195">
        <f t="shared" ca="1" si="24"/>
        <v>0.14496366538249941</v>
      </c>
      <c r="AP84" s="195">
        <f t="shared" ca="1" si="21"/>
        <v>9.2940442848355974E-3</v>
      </c>
      <c r="AQ84" s="196">
        <f ca="1">$A84+AP84*Design!$B$19</f>
        <v>85.529760524235627</v>
      </c>
      <c r="AR84" s="196">
        <f ca="1">AO84*Design!$C$12+$A84</f>
        <v>89.92876462300498</v>
      </c>
      <c r="AS84" s="196">
        <f ca="1">Constants!$D$22+Constants!$D$22*Constants!$C$23/100*(AR84-25)</f>
        <v>176.94301169840398</v>
      </c>
      <c r="AT84" s="195">
        <f ca="1">(1-Constants!$D$20/1000000000*Design!$B$33*1000000) * ($B84+AH84-AG84*AS84/1000) - (AH84+AG84*(1+($A84-25)*Constants!$C$36/100)*IF(ISBLANK(Design!$B$42),Constants!$C$6/1000,Design!$B$42/1000))</f>
        <v>3.6239573532764999</v>
      </c>
      <c r="AU84" s="119">
        <f ca="1">IF(AT84&gt;Design!$C$29,Design!$C$29,AT84)</f>
        <v>3.6239573532764999</v>
      </c>
    </row>
    <row r="85" spans="1:47" ht="12.75" customHeight="1">
      <c r="A85" s="112">
        <f>Design!$D$13</f>
        <v>85</v>
      </c>
      <c r="B85" s="113">
        <f t="shared" si="12"/>
        <v>3.8299999999999996</v>
      </c>
      <c r="C85" s="114">
        <f>Design!$D$7</f>
        <v>2.5</v>
      </c>
      <c r="D85" s="114">
        <f ca="1">FORECAST(C85, OFFSET(Design!$C$15:$C$17,MATCH(C85,Design!$B$15:$B$17,1)-1,0,2), OFFSET(Design!$B$15:$B$17,MATCH(C85,Design!$B$15:$B$17,1)-1,0,2))+(M85-25)*Design!$B$18/1000</f>
        <v>0.41038740259905804</v>
      </c>
      <c r="E85" s="173">
        <f ca="1">IF(100*(Design!$C$29+D85+C85*IF(ISBLANK(Design!$B$42),Constants!$C$6,Design!$B$42)/1000*(1+Constants!$C$36/100*(N85-25)))/($B85+D85-C85*O85/1000)&gt;Design!$C$36,Design!$C$36,100*(Design!$C$29+D85+C85*IF(ISBLANK(Design!$B$42),Constants!$C$6,Design!$B$42)/1000*(1+Constants!$C$36/100*(N85-25)))/($B85+D85-C85*O85/1000))</f>
        <v>96.387500000000003</v>
      </c>
      <c r="F85" s="115">
        <f ca="1">IF(($B85-C85*IF(ISBLANK(Design!$B$42),Constants!$C$6,Design!$B$42)/1000*(1+Constants!$C$36/100*(N85-25))-Design!$C$29)/(IF(ISBLANK(Design!$B$41),Design!$B$39,Design!$B$41)/1000000)*E85/100/(IF(ISBLANK(Design!$B$33),Design!$B$32,Design!$B$33)*1000000)&lt;0,0,($B85-C85*IF(ISBLANK(Design!$B$42),Constants!$C$6,Design!$B$42)/1000*(1+Constants!$C$36/100*(N85-25))-Design!$C$29)/(IF(ISBLANK(Design!$B$41),Design!$B$39,Design!$B$41)/1000000)*E85/100/(IF(ISBLANK(Design!$B$33),Design!$B$32,Design!$B$33)*1000000))</f>
        <v>0</v>
      </c>
      <c r="G85" s="165">
        <f>B85*Constants!$C$21/1000+IF(ISBLANK(Design!$B$33),Design!$B$32,Design!$B$33)*1000000*Constants!$D$25/1000000000*(B85-Constants!$C$24)</f>
        <v>9.0037499999999979E-3</v>
      </c>
      <c r="H85" s="165">
        <f>B85*C85*(B85/(Constants!$C$26*1000000000)*IF(ISBLANK(Design!$B$33),Design!$B$32,Design!$B$33)*1000000/2+B85/(Constants!$C$27*1000000000)*IF(ISBLANK(Design!$B$33),Design!$B$32,Design!$B$33)*1000000/2)</f>
        <v>1.5585706249999996E-2</v>
      </c>
      <c r="I85" s="165">
        <f t="shared" ca="1" si="13"/>
        <v>1.2533289567199977</v>
      </c>
      <c r="J85" s="165">
        <f>Constants!$D$25/1000000000*Constants!$C$24*IF(ISBLANK(Design!$B$33),Design!$B$32,Design!$B$33)*1000000</f>
        <v>1.0624999999999999E-2</v>
      </c>
      <c r="K85" s="165">
        <f t="shared" ca="1" si="22"/>
        <v>1.2885434129699977</v>
      </c>
      <c r="L85" s="165">
        <f t="shared" ca="1" si="17"/>
        <v>3.7063112297227391E-2</v>
      </c>
      <c r="M85" s="166">
        <f ca="1">$A85+L85*Design!$B$19</f>
        <v>87.112597400941965</v>
      </c>
      <c r="N85" s="166">
        <f ca="1">K85*Design!$C$12+A85</f>
        <v>128.81047604097992</v>
      </c>
      <c r="O85" s="166">
        <f ca="1">Constants!$D$22+Constants!$D$22*Constants!$C$23/100*(N85-25)</f>
        <v>208.04838083278395</v>
      </c>
      <c r="P85" s="165">
        <f ca="1">(1-Constants!$D$20/1000000000*Design!$B$33*1000000) * ($B85+D85-C85*O85/1000) - (D85+C85*(1+($A85-25)*Constants!$C$36/100)*IF(ISBLANK(Design!$B$42),Constants!$C$6/1000,Design!$B$42/1000))</f>
        <v>2.9807543265269696</v>
      </c>
      <c r="Q85" s="115">
        <f ca="1">IF(P85&gt;Design!$C$29,Design!$C$29,P85)</f>
        <v>2.9807543265269696</v>
      </c>
      <c r="R85" s="116">
        <f>2*Design!$D$7/3</f>
        <v>1.6666666666666667</v>
      </c>
      <c r="S85" s="116">
        <f ca="1">FORECAST(R85, OFFSET(Design!$C$15:$C$17,MATCH(R85,Design!$B$15:$B$17,1)-1,0,2), OFFSET(Design!$B$15:$B$17,MATCH(R85,Design!$B$15:$B$17,1)-1,0,2))+(AB85-25)*Design!$B$18/1000</f>
        <v>0.37279468929973358</v>
      </c>
      <c r="T85" s="182">
        <f ca="1">IF(100*(Design!$C$29+S85+R85*IF(ISBLANK(Design!$B$42),Constants!$C$6,Design!$B$42)/1000*(1+Constants!$C$36/100*(AC85-25)))/($B85+S85-R85*AD85/1000)&gt;Design!$C$36,Design!$C$36,100*(Design!$C$29+S85+R85*IF(ISBLANK(Design!$B$42),Constants!$C$6,Design!$B$42)/1000*(1+Constants!$C$36/100*(AC85-25)))/($B85+S85-R85*AD85/1000))</f>
        <v>96.387500000000003</v>
      </c>
      <c r="U85" s="117">
        <f ca="1">IF(($B85-R85*IF(ISBLANK(Design!$B$42),Constants!$C$6,Design!$B$42)/1000*(1+Constants!$C$36/100*(AC85-25))-Design!$C$29)/(IF(ISBLANK(Design!$B$41),Design!$B$39,Design!$B$41)/1000000)*T85/100/(IF(ISBLANK(Design!$B$33),Design!$B$32,Design!$B$33)*1000000)&lt;0,0,($B85-R85*IF(ISBLANK(Design!$B$42),Constants!$C$6,Design!$B$42)/1000*(1+Constants!$C$36/100*(AC85-25))-Design!$C$29)/(IF(ISBLANK(Design!$B$41),Design!$B$39,Design!$B$41)/1000000)*T85/100/(IF(ISBLANK(Design!$B$33),Design!$B$32,Design!$B$33)*1000000))</f>
        <v>0</v>
      </c>
      <c r="V85" s="183">
        <f>$B85*Constants!$C$21/1000+IF(ISBLANK(Design!$B$33),Design!$B$32,Design!$B$33)*1000000*Constants!$D$25/1000000000*($B85-Constants!$C$24)</f>
        <v>9.0037499999999979E-3</v>
      </c>
      <c r="W85" s="183">
        <f>$B85*R85*($B85/(Constants!$C$26*1000000000)*IF(ISBLANK(Design!$B$33),Design!$B$32,Design!$B$33)*1000000/2+$B85/(Constants!$C$27*1000000000)*IF(ISBLANK(Design!$B$33),Design!$B$32,Design!$B$33)*1000000/2)</f>
        <v>1.039047083333333E-2</v>
      </c>
      <c r="X85" s="183">
        <f t="shared" ca="1" si="14"/>
        <v>0.50193569383267989</v>
      </c>
      <c r="Y85" s="183">
        <f>Constants!$D$25/1000000000*Constants!$C$24*IF(ISBLANK(Design!$B$33),Design!$B$32,Design!$B$33)*1000000</f>
        <v>1.0624999999999999E-2</v>
      </c>
      <c r="Z85" s="183">
        <f t="shared" ca="1" si="23"/>
        <v>0.53195491466601319</v>
      </c>
      <c r="AA85" s="183">
        <f t="shared" ca="1" si="19"/>
        <v>2.2445346918254772E-2</v>
      </c>
      <c r="AB85" s="184">
        <f ca="1">$A85+AA85*Design!$B$19</f>
        <v>86.279384774340528</v>
      </c>
      <c r="AC85" s="184">
        <f ca="1">Z85*Design!$C$12+$A85</f>
        <v>103.08646709864445</v>
      </c>
      <c r="AD85" s="184">
        <f ca="1">Constants!$D$22+Constants!$D$22*Constants!$C$23/100*(AC85-25)</f>
        <v>187.46917367891555</v>
      </c>
      <c r="AE85" s="183">
        <f ca="1">(1-Constants!$D$20/1000000000*Design!$B$33*1000000) * ($B85+S85-R85*AD85/1000) - (S85+R85*(1+($A85-25)*Constants!$C$36/100)*IF(ISBLANK(Design!$B$42),Constants!$C$6/1000,Design!$B$42/1000))</f>
        <v>3.2202230903609297</v>
      </c>
      <c r="AF85" s="117">
        <f ca="1">IF(AE85&gt;Design!$C$29,Design!$C$29,AE85)</f>
        <v>3.2202230903609297</v>
      </c>
      <c r="AG85" s="118">
        <f>Design!$D$7/3</f>
        <v>0.83333333333333337</v>
      </c>
      <c r="AH85" s="118">
        <f ca="1">FORECAST(AG85, OFFSET(Design!$C$15:$C$17,MATCH(AG85,Design!$B$15:$B$17,1)-1,0,2), OFFSET(Design!$B$15:$B$17,MATCH(AG85,Design!$B$15:$B$17,1)-1,0,2))+(AQ85-25)*Design!$B$18/1000</f>
        <v>0.30872949873502364</v>
      </c>
      <c r="AI85" s="194">
        <f ca="1">IF(100*(Design!$C$29+AH85+AG85*IF(ISBLANK(Design!$B$42),Constants!$C$6,Design!$B$42)/1000*(1+Constants!$C$36/100*(AR85-25)))/($B85+AH85-AG85*AS85/1000)&gt;Design!$C$36,Design!$C$36,100*(Design!$C$29+AH85+AG85*IF(ISBLANK(Design!$B$42),Constants!$C$6,Design!$B$42)/1000*(1+Constants!$C$36/100*(AR85-25)))/($B85+AH85-AG85*AS85/1000))</f>
        <v>96.387500000000003</v>
      </c>
      <c r="AJ85" s="119">
        <f ca="1">IF(($B85-AG85*IF(ISBLANK(Design!$B$42),Constants!$C$6,Design!$B$42)/1000*(1+Constants!$C$36/100*(AR85-25))-Design!$C$29)/(IF(ISBLANK(Design!$B$41),Design!$B$39,Design!$B$41)/1000000)*AI85/100/(IF(ISBLANK(Design!$B$33),Design!$B$32,Design!$B$33)*1000000)&lt;0,0,($B85-AG85*IF(ISBLANK(Design!$B$42),Constants!$C$6,Design!$B$42)/1000*(1+Constants!$C$36/100*(AR85-25))-Design!$C$29)/(IF(ISBLANK(Design!$B$41),Design!$B$39,Design!$B$41)/1000000)*AI85/100/(IF(ISBLANK(Design!$B$33),Design!$B$32,Design!$B$33)*1000000))</f>
        <v>0</v>
      </c>
      <c r="AK85" s="195">
        <f>$B85*Constants!$C$21/1000+IF(ISBLANK(Design!$B$33),Design!$B$32,Design!$B$33)*1000000*Constants!$D$25/1000000000*($B85-Constants!$C$24)</f>
        <v>9.0037499999999979E-3</v>
      </c>
      <c r="AL85" s="195">
        <f>$B85*AG85*($B85/(Constants!$C$26*1000000000)*IF(ISBLANK(Design!$B$33),Design!$B$32,Design!$B$33)*1000000/2+$B85/(Constants!$C$27*1000000000)*IF(ISBLANK(Design!$B$33),Design!$B$32,Design!$B$33)*1000000/2)</f>
        <v>5.195235416666665E-3</v>
      </c>
      <c r="AM85" s="195">
        <f t="shared" ca="1" si="15"/>
        <v>0.1184066032183894</v>
      </c>
      <c r="AN85" s="195">
        <f>Constants!$D$25/1000000000*Constants!$C$24*IF(ISBLANK(Design!$B$33),Design!$B$32,Design!$B$33)*1000000</f>
        <v>1.0624999999999999E-2</v>
      </c>
      <c r="AO85" s="195">
        <f t="shared" ca="1" si="24"/>
        <v>0.14323058863505606</v>
      </c>
      <c r="AP85" s="195">
        <f t="shared" ca="1" si="21"/>
        <v>9.2940442848355974E-3</v>
      </c>
      <c r="AQ85" s="196">
        <f ca="1">$A85+AP85*Design!$B$19</f>
        <v>85.529760524235627</v>
      </c>
      <c r="AR85" s="196">
        <f ca="1">AO85*Design!$C$12+$A85</f>
        <v>89.869840013591912</v>
      </c>
      <c r="AS85" s="196">
        <f ca="1">Constants!$D$22+Constants!$D$22*Constants!$C$23/100*(AR85-25)</f>
        <v>176.89587201087352</v>
      </c>
      <c r="AT85" s="195">
        <f ca="1">(1-Constants!$D$20/1000000000*Design!$B$33*1000000) * ($B85+AH85-AG85*AS85/1000) - (AH85+AG85*(1+($A85-25)*Constants!$C$36/100)*IF(ISBLANK(Design!$B$42),Constants!$C$6/1000,Design!$B$42/1000))</f>
        <v>3.4208732159596624</v>
      </c>
      <c r="AU85" s="119">
        <f ca="1">IF(AT85&gt;Design!$C$29,Design!$C$29,AT85)</f>
        <v>3.4208732159596624</v>
      </c>
    </row>
    <row r="86" spans="1:47" ht="12.75" customHeight="1">
      <c r="A86" s="112">
        <f>Design!$D$13</f>
        <v>85</v>
      </c>
      <c r="B86" s="113">
        <f t="shared" si="12"/>
        <v>3.6149999999999998</v>
      </c>
      <c r="C86" s="114">
        <f>Design!$D$7</f>
        <v>2.5</v>
      </c>
      <c r="D86" s="114">
        <f ca="1">FORECAST(C86, OFFSET(Design!$C$15:$C$17,MATCH(C86,Design!$B$15:$B$17,1)-1,0,2), OFFSET(Design!$B$15:$B$17,MATCH(C86,Design!$B$15:$B$17,1)-1,0,2))+(M86-25)*Design!$B$18/1000</f>
        <v>0.41038740259905804</v>
      </c>
      <c r="E86" s="173">
        <f ca="1">IF(100*(Design!$C$29+D86+C86*IF(ISBLANK(Design!$B$42),Constants!$C$6,Design!$B$42)/1000*(1+Constants!$C$36/100*(N86-25)))/($B86+D86-C86*O86/1000)&gt;Design!$C$36,Design!$C$36,100*(Design!$C$29+D86+C86*IF(ISBLANK(Design!$B$42),Constants!$C$6,Design!$B$42)/1000*(1+Constants!$C$36/100*(N86-25)))/($B86+D86-C86*O86/1000))</f>
        <v>96.387500000000003</v>
      </c>
      <c r="F86" s="115">
        <f ca="1">IF(($B86-C86*IF(ISBLANK(Design!$B$42),Constants!$C$6,Design!$B$42)/1000*(1+Constants!$C$36/100*(N86-25))-Design!$C$29)/(IF(ISBLANK(Design!$B$41),Design!$B$39,Design!$B$41)/1000000)*E86/100/(IF(ISBLANK(Design!$B$33),Design!$B$32,Design!$B$33)*1000000)&lt;0,0,($B86-C86*IF(ISBLANK(Design!$B$42),Constants!$C$6,Design!$B$42)/1000*(1+Constants!$C$36/100*(N86-25))-Design!$C$29)/(IF(ISBLANK(Design!$B$41),Design!$B$39,Design!$B$41)/1000000)*E86/100/(IF(ISBLANK(Design!$B$33),Design!$B$32,Design!$B$33)*1000000))</f>
        <v>0</v>
      </c>
      <c r="G86" s="165">
        <f>B86*Constants!$C$21/1000+IF(ISBLANK(Design!$B$33),Design!$B$32,Design!$B$33)*1000000*Constants!$D$25/1000000000*(B86-Constants!$C$24)</f>
        <v>7.9018749999999974E-3</v>
      </c>
      <c r="H86" s="165">
        <f>B86*C86*(B86/(Constants!$C$26*1000000000)*IF(ISBLANK(Design!$B$33),Design!$B$32,Design!$B$33)*1000000/2+B86/(Constants!$C$27*1000000000)*IF(ISBLANK(Design!$B$33),Design!$B$32,Design!$B$33)*1000000/2)</f>
        <v>1.3884989062499999E-2</v>
      </c>
      <c r="I86" s="165">
        <f t="shared" ca="1" si="13"/>
        <v>1.2527797322287966</v>
      </c>
      <c r="J86" s="165">
        <f>Constants!$D$25/1000000000*Constants!$C$24*IF(ISBLANK(Design!$B$33),Design!$B$32,Design!$B$33)*1000000</f>
        <v>1.0624999999999999E-2</v>
      </c>
      <c r="K86" s="165">
        <f t="shared" ca="1" si="22"/>
        <v>1.2851915962912968</v>
      </c>
      <c r="L86" s="165">
        <f t="shared" ca="1" si="17"/>
        <v>3.7063112297227391E-2</v>
      </c>
      <c r="M86" s="166">
        <f ca="1">$A86+L86*Design!$B$19</f>
        <v>87.112597400941965</v>
      </c>
      <c r="N86" s="166">
        <f ca="1">K86*Design!$C$12+A86</f>
        <v>128.69651427390409</v>
      </c>
      <c r="O86" s="166">
        <f ca="1">Constants!$D$22+Constants!$D$22*Constants!$C$23/100*(N86-25)</f>
        <v>207.95721141912327</v>
      </c>
      <c r="P86" s="165">
        <f ca="1">(1-Constants!$D$20/1000000000*Design!$B$33*1000000) * ($B86+D86-C86*O86/1000) - (D86+C86*(1+($A86-25)*Constants!$C$36/100)*IF(ISBLANK(Design!$B$42),Constants!$C$6/1000,Design!$B$42/1000))</f>
        <v>2.7778484072858594</v>
      </c>
      <c r="Q86" s="115">
        <f ca="1">IF(P86&gt;Design!$C$29,Design!$C$29,P86)</f>
        <v>2.7778484072858594</v>
      </c>
      <c r="R86" s="116">
        <f>2*Design!$D$7/3</f>
        <v>1.6666666666666667</v>
      </c>
      <c r="S86" s="116">
        <f ca="1">FORECAST(R86, OFFSET(Design!$C$15:$C$17,MATCH(R86,Design!$B$15:$B$17,1)-1,0,2), OFFSET(Design!$B$15:$B$17,MATCH(R86,Design!$B$15:$B$17,1)-1,0,2))+(AB86-25)*Design!$B$18/1000</f>
        <v>0.37279468929973358</v>
      </c>
      <c r="T86" s="182">
        <f ca="1">IF(100*(Design!$C$29+S86+R86*IF(ISBLANK(Design!$B$42),Constants!$C$6,Design!$B$42)/1000*(1+Constants!$C$36/100*(AC86-25)))/($B86+S86-R86*AD86/1000)&gt;Design!$C$36,Design!$C$36,100*(Design!$C$29+S86+R86*IF(ISBLANK(Design!$B$42),Constants!$C$6,Design!$B$42)/1000*(1+Constants!$C$36/100*(AC86-25)))/($B86+S86-R86*AD86/1000))</f>
        <v>96.387500000000003</v>
      </c>
      <c r="U86" s="117">
        <f ca="1">IF(($B86-R86*IF(ISBLANK(Design!$B$42),Constants!$C$6,Design!$B$42)/1000*(1+Constants!$C$36/100*(AC86-25))-Design!$C$29)/(IF(ISBLANK(Design!$B$41),Design!$B$39,Design!$B$41)/1000000)*T86/100/(IF(ISBLANK(Design!$B$33),Design!$B$32,Design!$B$33)*1000000)&lt;0,0,($B86-R86*IF(ISBLANK(Design!$B$42),Constants!$C$6,Design!$B$42)/1000*(1+Constants!$C$36/100*(AC86-25))-Design!$C$29)/(IF(ISBLANK(Design!$B$41),Design!$B$39,Design!$B$41)/1000000)*T86/100/(IF(ISBLANK(Design!$B$33),Design!$B$32,Design!$B$33)*1000000))</f>
        <v>0</v>
      </c>
      <c r="V86" s="183">
        <f>$B86*Constants!$C$21/1000+IF(ISBLANK(Design!$B$33),Design!$B$32,Design!$B$33)*1000000*Constants!$D$25/1000000000*($B86-Constants!$C$24)</f>
        <v>7.9018749999999974E-3</v>
      </c>
      <c r="W86" s="183">
        <f>$B86*R86*($B86/(Constants!$C$26*1000000000)*IF(ISBLANK(Design!$B$33),Design!$B$32,Design!$B$33)*1000000/2+$B86/(Constants!$C$27*1000000000)*IF(ISBLANK(Design!$B$33),Design!$B$32,Design!$B$33)*1000000/2)</f>
        <v>9.2566593749999985E-3</v>
      </c>
      <c r="X86" s="183">
        <f t="shared" ca="1" si="14"/>
        <v>0.50176008885461121</v>
      </c>
      <c r="Y86" s="183">
        <f>Constants!$D$25/1000000000*Constants!$C$24*IF(ISBLANK(Design!$B$33),Design!$B$32,Design!$B$33)*1000000</f>
        <v>1.0624999999999999E-2</v>
      </c>
      <c r="Z86" s="183">
        <f t="shared" ca="1" si="23"/>
        <v>0.52954362322961124</v>
      </c>
      <c r="AA86" s="183">
        <f t="shared" ca="1" si="19"/>
        <v>2.2445346918254772E-2</v>
      </c>
      <c r="AB86" s="184">
        <f ca="1">$A86+AA86*Design!$B$19</f>
        <v>86.279384774340528</v>
      </c>
      <c r="AC86" s="184">
        <f ca="1">Z86*Design!$C$12+$A86</f>
        <v>103.00448318980678</v>
      </c>
      <c r="AD86" s="184">
        <f ca="1">Constants!$D$22+Constants!$D$22*Constants!$C$23/100*(AC86-25)</f>
        <v>187.40358655184542</v>
      </c>
      <c r="AE86" s="183">
        <f ca="1">(1-Constants!$D$20/1000000000*Design!$B$33*1000000) * ($B86+S86-R86*AD86/1000) - (S86+R86*(1+($A86-25)*Constants!$C$36/100)*IF(ISBLANK(Design!$B$42),Constants!$C$6/1000,Design!$B$42/1000))</f>
        <v>3.0172051127580959</v>
      </c>
      <c r="AF86" s="117">
        <f ca="1">IF(AE86&gt;Design!$C$29,Design!$C$29,AE86)</f>
        <v>3.0172051127580959</v>
      </c>
      <c r="AG86" s="118">
        <f>Design!$D$7/3</f>
        <v>0.83333333333333337</v>
      </c>
      <c r="AH86" s="118">
        <f ca="1">FORECAST(AG86, OFFSET(Design!$C$15:$C$17,MATCH(AG86,Design!$B$15:$B$17,1)-1,0,2), OFFSET(Design!$B$15:$B$17,MATCH(AG86,Design!$B$15:$B$17,1)-1,0,2))+(AQ86-25)*Design!$B$18/1000</f>
        <v>0.30872949873502364</v>
      </c>
      <c r="AI86" s="194">
        <f ca="1">IF(100*(Design!$C$29+AH86+AG86*IF(ISBLANK(Design!$B$42),Constants!$C$6,Design!$B$42)/1000*(1+Constants!$C$36/100*(AR86-25)))/($B86+AH86-AG86*AS86/1000)&gt;Design!$C$36,Design!$C$36,100*(Design!$C$29+AH86+AG86*IF(ISBLANK(Design!$B$42),Constants!$C$6,Design!$B$42)/1000*(1+Constants!$C$36/100*(AR86-25)))/($B86+AH86-AG86*AS86/1000))</f>
        <v>96.387500000000003</v>
      </c>
      <c r="AJ86" s="119">
        <f ca="1">IF(($B86-AG86*IF(ISBLANK(Design!$B$42),Constants!$C$6,Design!$B$42)/1000*(1+Constants!$C$36/100*(AR86-25))-Design!$C$29)/(IF(ISBLANK(Design!$B$41),Design!$B$39,Design!$B$41)/1000000)*AI86/100/(IF(ISBLANK(Design!$B$33),Design!$B$32,Design!$B$33)*1000000)&lt;0,0,($B86-AG86*IF(ISBLANK(Design!$B$42),Constants!$C$6,Design!$B$42)/1000*(1+Constants!$C$36/100*(AR86-25))-Design!$C$29)/(IF(ISBLANK(Design!$B$41),Design!$B$39,Design!$B$41)/1000000)*AI86/100/(IF(ISBLANK(Design!$B$33),Design!$B$32,Design!$B$33)*1000000))</f>
        <v>0</v>
      </c>
      <c r="AK86" s="195">
        <f>$B86*Constants!$C$21/1000+IF(ISBLANK(Design!$B$33),Design!$B$32,Design!$B$33)*1000000*Constants!$D$25/1000000000*($B86-Constants!$C$24)</f>
        <v>7.9018749999999974E-3</v>
      </c>
      <c r="AL86" s="195">
        <f>$B86*AG86*($B86/(Constants!$C$26*1000000000)*IF(ISBLANK(Design!$B$33),Design!$B$32,Design!$B$33)*1000000/2+$B86/(Constants!$C$27*1000000000)*IF(ISBLANK(Design!$B$33),Design!$B$32,Design!$B$33)*1000000/2)</f>
        <v>4.6283296874999992E-3</v>
      </c>
      <c r="AM86" s="195">
        <f t="shared" ca="1" si="15"/>
        <v>0.11837565709421949</v>
      </c>
      <c r="AN86" s="195">
        <f>Constants!$D$25/1000000000*Constants!$C$24*IF(ISBLANK(Design!$B$33),Design!$B$32,Design!$B$33)*1000000</f>
        <v>1.0624999999999999E-2</v>
      </c>
      <c r="AO86" s="195">
        <f t="shared" ca="1" si="24"/>
        <v>0.14153086178171947</v>
      </c>
      <c r="AP86" s="195">
        <f t="shared" ca="1" si="21"/>
        <v>9.2940442848355974E-3</v>
      </c>
      <c r="AQ86" s="196">
        <f ca="1">$A86+AP86*Design!$B$19</f>
        <v>85.529760524235627</v>
      </c>
      <c r="AR86" s="196">
        <f ca="1">AO86*Design!$C$12+$A86</f>
        <v>89.812049300578465</v>
      </c>
      <c r="AS86" s="196">
        <f ca="1">Constants!$D$22+Constants!$D$22*Constants!$C$23/100*(AR86-25)</f>
        <v>176.84963944046277</v>
      </c>
      <c r="AT86" s="195">
        <f ca="1">(1-Constants!$D$20/1000000000*Design!$B$33*1000000) * ($B86+AH86-AG86*AS86/1000) - (AH86+AG86*(1+($A86-25)*Constants!$C$36/100)*IF(ISBLANK(Design!$B$42),Constants!$C$6/1000,Design!$B$42/1000))</f>
        <v>3.2177883644770748</v>
      </c>
      <c r="AU86" s="119">
        <f ca="1">IF(AT86&gt;Design!$C$29,Design!$C$29,AT86)</f>
        <v>3.2177883644770748</v>
      </c>
    </row>
    <row r="87" spans="1:47" ht="12.75" customHeight="1" thickBot="1">
      <c r="A87" s="121">
        <f>Design!$D$13</f>
        <v>85</v>
      </c>
      <c r="B87" s="122">
        <f>Constants!$C$7</f>
        <v>3.4</v>
      </c>
      <c r="C87" s="123">
        <f>Design!$D$7</f>
        <v>2.5</v>
      </c>
      <c r="D87" s="123">
        <f ca="1">FORECAST(C87, OFFSET(Design!$C$15:$C$17,MATCH(C87,Design!$B$15:$B$17,1)-1,0,2), OFFSET(Design!$B$15:$B$17,MATCH(C87,Design!$B$15:$B$17,1)-1,0,2))+(M87-25)*Design!$B$18/1000</f>
        <v>0.41038740259905804</v>
      </c>
      <c r="E87" s="174">
        <f ca="1">IF(100*(Design!$C$29+D87+C87*IF(ISBLANK(Design!$B$42),Constants!$C$6,Design!$B$42)/1000*(1+Constants!$C$36/100*(N87-25)))/($B87+D87-C87*O87/1000)&gt;Design!$C$36,Design!$C$36,100*(Design!$C$29+D87+C87*IF(ISBLANK(Design!$B$42),Constants!$C$6,Design!$B$42)/1000*(1+Constants!$C$36/100*(N87-25)))/($B87+D87-C87*O87/1000))</f>
        <v>96.387500000000003</v>
      </c>
      <c r="F87" s="124">
        <f ca="1">IF(($B87-C87*IF(ISBLANK(Design!$B$42),Constants!$C$6,Design!$B$42)/1000*(1+Constants!$C$36/100*(N87-25))-Design!$C$29)/(IF(ISBLANK(Design!$B$41),Design!$B$39,Design!$B$41)/1000000)*E87/100/(IF(ISBLANK(Design!$B$33),Design!$B$32,Design!$B$33)*1000000)&lt;0,0,($B87-C87*IF(ISBLANK(Design!$B$42),Constants!$C$6,Design!$B$42)/1000*(1+Constants!$C$36/100*(N87-25))-Design!$C$29)/(IF(ISBLANK(Design!$B$41),Design!$B$39,Design!$B$41)/1000000)*E87/100/(IF(ISBLANK(Design!$B$33),Design!$B$32,Design!$B$33)*1000000))</f>
        <v>0</v>
      </c>
      <c r="G87" s="167">
        <f>B87*Constants!$C$21/1000+IF(ISBLANK(Design!$B$33),Design!$B$32,Design!$B$33)*1000000*Constants!$D$25/1000000000*(B87-Constants!$C$24)</f>
        <v>6.7999999999999988E-3</v>
      </c>
      <c r="H87" s="167">
        <f>B87*C87*(B87/(Constants!$C$26*1000000000)*IF(ISBLANK(Design!$B$33),Design!$B$32,Design!$B$33)*1000000/2+B87/(Constants!$C$27*1000000000)*IF(ISBLANK(Design!$B$33),Design!$B$32,Design!$B$33)*1000000/2)</f>
        <v>1.2282499999999998E-2</v>
      </c>
      <c r="I87" s="167">
        <f t="shared" ca="1" si="13"/>
        <v>1.2522497575207838</v>
      </c>
      <c r="J87" s="167">
        <f>Constants!$D$25/1000000000*Constants!$C$24*IF(ISBLANK(Design!$B$33),Design!$B$32,Design!$B$33)*1000000</f>
        <v>1.0624999999999999E-2</v>
      </c>
      <c r="K87" s="167">
        <f t="shared" ca="1" si="22"/>
        <v>1.2819572575207838</v>
      </c>
      <c r="L87" s="167">
        <f t="shared" ca="1" si="17"/>
        <v>3.7063112297227391E-2</v>
      </c>
      <c r="M87" s="168">
        <f ca="1">$A87+L87*Design!$B$19</f>
        <v>87.112597400941965</v>
      </c>
      <c r="N87" s="168">
        <f ca="1">K87*Design!$C$12+A87</f>
        <v>128.58654675570665</v>
      </c>
      <c r="O87" s="168">
        <f ca="1">Constants!$D$22+Constants!$D$22*Constants!$C$23/100*(N87-25)</f>
        <v>207.86923740456533</v>
      </c>
      <c r="P87" s="167">
        <f ca="1">(1-Constants!$D$20/1000000000*Design!$B$33*1000000) * ($B87+D87-C87*O87/1000) - (D87+C87*(1+($A87-25)*Constants!$C$36/100)*IF(ISBLANK(Design!$B$42),Constants!$C$6/1000,Design!$B$42/1000))</f>
        <v>2.5749349409114943</v>
      </c>
      <c r="Q87" s="124">
        <f ca="1">IF(P87&gt;Design!$C$29,Design!$C$29,P87)</f>
        <v>2.5749349409114943</v>
      </c>
      <c r="R87" s="125">
        <f>2*Design!$D$7/3</f>
        <v>1.6666666666666667</v>
      </c>
      <c r="S87" s="125">
        <f ca="1">FORECAST(R87, OFFSET(Design!$C$15:$C$17,MATCH(R87,Design!$B$15:$B$17,1)-1,0,2), OFFSET(Design!$B$15:$B$17,MATCH(R87,Design!$B$15:$B$17,1)-1,0,2))+(AB87-25)*Design!$B$18/1000</f>
        <v>0.37279468929973358</v>
      </c>
      <c r="T87" s="186">
        <f ca="1">IF(100*(Design!$C$29+S87+R87*IF(ISBLANK(Design!$B$42),Constants!$C$6,Design!$B$42)/1000*(1+Constants!$C$36/100*(AC87-25)))/($B87+S87-R87*AD87/1000)&gt;Design!$C$36,Design!$C$36,100*(Design!$C$29+S87+R87*IF(ISBLANK(Design!$B$42),Constants!$C$6,Design!$B$42)/1000*(1+Constants!$C$36/100*(AC87-25)))/($B87+S87-R87*AD87/1000))</f>
        <v>96.387500000000003</v>
      </c>
      <c r="U87" s="126">
        <f ca="1">IF(($B87-R87*IF(ISBLANK(Design!$B$42),Constants!$C$6,Design!$B$42)/1000*(1+Constants!$C$36/100*(AC87-25))-Design!$C$29)/(IF(ISBLANK(Design!$B$41),Design!$B$39,Design!$B$41)/1000000)*T87/100/(IF(ISBLANK(Design!$B$33),Design!$B$32,Design!$B$33)*1000000)&lt;0,0,($B87-R87*IF(ISBLANK(Design!$B$42),Constants!$C$6,Design!$B$42)/1000*(1+Constants!$C$36/100*(AC87-25))-Design!$C$29)/(IF(ISBLANK(Design!$B$41),Design!$B$39,Design!$B$41)/1000000)*T87/100/(IF(ISBLANK(Design!$B$33),Design!$B$32,Design!$B$33)*1000000))</f>
        <v>0</v>
      </c>
      <c r="V87" s="187">
        <f>$B87*Constants!$C$21/1000+IF(ISBLANK(Design!$B$33),Design!$B$32,Design!$B$33)*1000000*Constants!$D$25/1000000000*($B87-Constants!$C$24)</f>
        <v>6.7999999999999988E-3</v>
      </c>
      <c r="W87" s="187">
        <f>$B87*R87*($B87/(Constants!$C$26*1000000000)*IF(ISBLANK(Design!$B$33),Design!$B$32,Design!$B$33)*1000000/2+$B87/(Constants!$C$27*1000000000)*IF(ISBLANK(Design!$B$33),Design!$B$32,Design!$B$33)*1000000/2)</f>
        <v>8.1883333333333339E-3</v>
      </c>
      <c r="X87" s="187">
        <f t="shared" ca="1" si="14"/>
        <v>0.50158962751603398</v>
      </c>
      <c r="Y87" s="187">
        <f>Constants!$D$25/1000000000*Constants!$C$24*IF(ISBLANK(Design!$B$33),Design!$B$32,Design!$B$33)*1000000</f>
        <v>1.0624999999999999E-2</v>
      </c>
      <c r="Z87" s="187">
        <f t="shared" ca="1" si="23"/>
        <v>0.52720296084936735</v>
      </c>
      <c r="AA87" s="187">
        <f t="shared" ca="1" si="19"/>
        <v>2.2445346918254772E-2</v>
      </c>
      <c r="AB87" s="188">
        <f ca="1">$A87+AA87*Design!$B$19</f>
        <v>86.279384774340528</v>
      </c>
      <c r="AC87" s="188">
        <f ca="1">Z87*Design!$C$12+$A87</f>
        <v>102.92490066887849</v>
      </c>
      <c r="AD87" s="188">
        <f ca="1">Constants!$D$22+Constants!$D$22*Constants!$C$23/100*(AC87-25)</f>
        <v>187.33992053510281</v>
      </c>
      <c r="AE87" s="187">
        <f ca="1">(1-Constants!$D$20/1000000000*Design!$B$33*1000000) * ($B87+S87-R87*AD87/1000) - (S87+R87*(1+($A87-25)*Constants!$C$36/100)*IF(ISBLANK(Design!$B$42),Constants!$C$6/1000,Design!$B$42/1000))</f>
        <v>2.8141841102069591</v>
      </c>
      <c r="AF87" s="126">
        <f ca="1">IF(AE87&gt;Design!$C$29,Design!$C$29,AE87)</f>
        <v>2.8141841102069591</v>
      </c>
      <c r="AG87" s="127">
        <f>Design!$D$7/3</f>
        <v>0.83333333333333337</v>
      </c>
      <c r="AH87" s="127">
        <f ca="1">FORECAST(AG87, OFFSET(Design!$C$15:$C$17,MATCH(AG87,Design!$B$15:$B$17,1)-1,0,2), OFFSET(Design!$B$15:$B$17,MATCH(AG87,Design!$B$15:$B$17,1)-1,0,2))+(AQ87-25)*Design!$B$18/1000</f>
        <v>0.30872949873502364</v>
      </c>
      <c r="AI87" s="197">
        <f ca="1">IF(100*(Design!$C$29+AH87+AG87*IF(ISBLANK(Design!$B$42),Constants!$C$6,Design!$B$42)/1000*(1+Constants!$C$36/100*(AR87-25)))/($B87+AH87-AG87*AS87/1000)&gt;Design!$C$36,Design!$C$36,100*(Design!$C$29+AH87+AG87*IF(ISBLANK(Design!$B$42),Constants!$C$6,Design!$B$42)/1000*(1+Constants!$C$36/100*(AR87-25)))/($B87+AH87-AG87*AS87/1000))</f>
        <v>96.387500000000003</v>
      </c>
      <c r="AJ87" s="128">
        <f ca="1">IF(($B87-AG87*IF(ISBLANK(Design!$B$42),Constants!$C$6,Design!$B$42)/1000*(1+Constants!$C$36/100*(AR87-25))-Design!$C$29)/(IF(ISBLANK(Design!$B$41),Design!$B$39,Design!$B$41)/1000000)*AI87/100/(IF(ISBLANK(Design!$B$33),Design!$B$32,Design!$B$33)*1000000)&lt;0,0,($B87-AG87*IF(ISBLANK(Design!$B$42),Constants!$C$6,Design!$B$42)/1000*(1+Constants!$C$36/100*(AR87-25))-Design!$C$29)/(IF(ISBLANK(Design!$B$41),Design!$B$39,Design!$B$41)/1000000)*AI87/100/(IF(ISBLANK(Design!$B$33),Design!$B$32,Design!$B$33)*1000000))</f>
        <v>0</v>
      </c>
      <c r="AK87" s="198">
        <f>$B87*Constants!$C$21/1000+IF(ISBLANK(Design!$B$33),Design!$B$32,Design!$B$33)*1000000*Constants!$D$25/1000000000*($B87-Constants!$C$24)</f>
        <v>6.7999999999999988E-3</v>
      </c>
      <c r="AL87" s="198">
        <f>$B87*AG87*($B87/(Constants!$C$26*1000000000)*IF(ISBLANK(Design!$B$33),Design!$B$32,Design!$B$33)*1000000/2+$B87/(Constants!$C$27*1000000000)*IF(ISBLANK(Design!$B$33),Design!$B$32,Design!$B$33)*1000000/2)</f>
        <v>4.094166666666667E-3</v>
      </c>
      <c r="AM87" s="198">
        <f t="shared" ca="1" si="15"/>
        <v>0.11834531815582304</v>
      </c>
      <c r="AN87" s="198">
        <f>Constants!$D$25/1000000000*Constants!$C$24*IF(ISBLANK(Design!$B$33),Design!$B$32,Design!$B$33)*1000000</f>
        <v>1.0624999999999999E-2</v>
      </c>
      <c r="AO87" s="198">
        <f t="shared" ca="1" si="24"/>
        <v>0.1398644848224897</v>
      </c>
      <c r="AP87" s="198">
        <f t="shared" ca="1" si="21"/>
        <v>9.2940442848355974E-3</v>
      </c>
      <c r="AQ87" s="199">
        <f ca="1">$A87+AP87*Design!$B$19</f>
        <v>85.529760524235627</v>
      </c>
      <c r="AR87" s="199">
        <f ca="1">AO87*Design!$C$12+$A87</f>
        <v>89.755392483964656</v>
      </c>
      <c r="AS87" s="199">
        <f ca="1">Constants!$D$22+Constants!$D$22*Constants!$C$23/100*(AR87-25)</f>
        <v>176.80431398717172</v>
      </c>
      <c r="AT87" s="198">
        <f ca="1">(1-Constants!$D$20/1000000000*Design!$B$33*1000000) * ($B87+AH87-AG87*AS87/1000) - (AH87+AG87*(1+($A87-25)*Constants!$C$36/100)*IF(ISBLANK(Design!$B$42),Constants!$C$6/1000,Design!$B$42/1000))</f>
        <v>3.0147027988287389</v>
      </c>
      <c r="AU87" s="128">
        <f ca="1">IF(AT87&gt;Design!$C$29,Design!$C$29,AT87)</f>
        <v>3.0147027988287389</v>
      </c>
    </row>
    <row r="88" spans="1:47">
      <c r="AT88" s="130" t="s">
        <v>197</v>
      </c>
      <c r="AU88" s="130">
        <f>(Design!C4-Constants!C7)/40</f>
        <v>0.215</v>
      </c>
    </row>
    <row r="112" ht="15.75" thickBot="1"/>
    <row r="113" spans="2:9">
      <c r="B113" s="203" t="s">
        <v>199</v>
      </c>
      <c r="C113" s="153"/>
      <c r="D113" s="153"/>
      <c r="E113" s="148"/>
      <c r="F113" s="148"/>
      <c r="H113" s="239">
        <f>Design!B4</f>
        <v>8</v>
      </c>
      <c r="I113" s="240">
        <v>1</v>
      </c>
    </row>
    <row r="114" spans="2:9" ht="15.75" thickBot="1">
      <c r="B114" s="201" t="s">
        <v>224</v>
      </c>
      <c r="C114" s="154"/>
      <c r="D114" s="154"/>
      <c r="E114" s="149"/>
      <c r="F114" s="152"/>
      <c r="H114" s="241">
        <f>Design!B4</f>
        <v>8</v>
      </c>
      <c r="I114" s="242">
        <v>8</v>
      </c>
    </row>
    <row r="115" spans="2:9">
      <c r="B115" s="431" t="s">
        <v>200</v>
      </c>
      <c r="C115" s="431"/>
      <c r="D115" s="129">
        <v>0</v>
      </c>
      <c r="F115" s="11"/>
    </row>
  </sheetData>
  <sheetProtection password="83AF" sheet="1" objects="1" scenarios="1"/>
  <mergeCells count="2">
    <mergeCell ref="A1:AU1"/>
    <mergeCell ref="B115:C115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Q68"/>
  <sheetViews>
    <sheetView zoomScaleNormal="100" workbookViewId="0">
      <selection sqref="A1:I1"/>
    </sheetView>
  </sheetViews>
  <sheetFormatPr defaultRowHeight="15"/>
  <cols>
    <col min="1" max="1" width="20.7109375" style="1" customWidth="1"/>
    <col min="2" max="5" width="9.140625" style="1"/>
    <col min="6" max="6" width="18.7109375" customWidth="1"/>
  </cols>
  <sheetData>
    <row r="1" spans="1:9" ht="24" customHeight="1" thickBot="1">
      <c r="A1" s="430" t="s">
        <v>171</v>
      </c>
      <c r="B1" s="430"/>
      <c r="C1" s="430"/>
      <c r="D1" s="430"/>
      <c r="E1" s="430"/>
      <c r="F1" s="430"/>
      <c r="G1" s="430"/>
      <c r="H1" s="430"/>
      <c r="I1" s="430"/>
    </row>
    <row r="2" spans="1:9" s="2" customFormat="1" ht="18" customHeight="1">
      <c r="A2" s="25" t="s">
        <v>1</v>
      </c>
      <c r="B2" s="26" t="s">
        <v>32</v>
      </c>
      <c r="C2" s="26" t="s">
        <v>33</v>
      </c>
      <c r="D2" s="26" t="s">
        <v>34</v>
      </c>
      <c r="E2" s="26" t="s">
        <v>35</v>
      </c>
      <c r="F2" s="433" t="s">
        <v>37</v>
      </c>
      <c r="G2" s="433"/>
      <c r="H2" s="433"/>
      <c r="I2" s="434"/>
    </row>
    <row r="3" spans="1:9" ht="18" customHeight="1">
      <c r="A3" s="267" t="s">
        <v>21</v>
      </c>
      <c r="B3" s="268">
        <v>0.79200000000000004</v>
      </c>
      <c r="C3" s="268">
        <v>0.8</v>
      </c>
      <c r="D3" s="268">
        <v>0.80800000000000005</v>
      </c>
      <c r="E3" s="269" t="s">
        <v>2</v>
      </c>
      <c r="F3" s="280" t="s">
        <v>282</v>
      </c>
      <c r="G3" s="28"/>
      <c r="H3" s="28"/>
      <c r="I3" s="29"/>
    </row>
    <row r="4" spans="1:9" ht="18" customHeight="1">
      <c r="A4" s="267" t="s">
        <v>26</v>
      </c>
      <c r="B4" s="270">
        <f>100*(B3-C3)/C3</f>
        <v>-1.0000000000000009</v>
      </c>
      <c r="C4" s="65" t="s">
        <v>23</v>
      </c>
      <c r="D4" s="270">
        <f>100*(D3-C3)/C3</f>
        <v>1.0000000000000009</v>
      </c>
      <c r="E4" s="271" t="s">
        <v>25</v>
      </c>
      <c r="F4" s="280" t="s">
        <v>49</v>
      </c>
      <c r="G4" s="28"/>
      <c r="H4" s="28"/>
      <c r="I4" s="29"/>
    </row>
    <row r="5" spans="1:9" ht="18" customHeight="1">
      <c r="A5" s="267" t="s">
        <v>77</v>
      </c>
      <c r="B5" s="65" t="s">
        <v>23</v>
      </c>
      <c r="C5" s="65">
        <v>35.6</v>
      </c>
      <c r="D5" s="65" t="s">
        <v>23</v>
      </c>
      <c r="E5" s="271" t="s">
        <v>66</v>
      </c>
      <c r="F5" s="280" t="s">
        <v>99</v>
      </c>
      <c r="G5" s="28"/>
      <c r="H5" s="28"/>
      <c r="I5" s="29"/>
    </row>
    <row r="6" spans="1:9" ht="18" customHeight="1">
      <c r="A6" s="267" t="s">
        <v>195</v>
      </c>
      <c r="B6" s="65" t="s">
        <v>23</v>
      </c>
      <c r="C6" s="65">
        <v>35</v>
      </c>
      <c r="D6" s="65" t="s">
        <v>23</v>
      </c>
      <c r="E6" s="271" t="s">
        <v>117</v>
      </c>
      <c r="F6" s="280" t="s">
        <v>196</v>
      </c>
      <c r="G6" s="28"/>
      <c r="H6" s="28"/>
      <c r="I6" s="29"/>
    </row>
    <row r="7" spans="1:9" ht="18" customHeight="1">
      <c r="A7" s="267" t="s">
        <v>190</v>
      </c>
      <c r="B7" s="65" t="s">
        <v>23</v>
      </c>
      <c r="C7" s="65">
        <v>3.4</v>
      </c>
      <c r="D7" s="272">
        <v>3.6</v>
      </c>
      <c r="E7" s="271" t="s">
        <v>2</v>
      </c>
      <c r="F7" s="280" t="s">
        <v>57</v>
      </c>
      <c r="G7" s="28"/>
      <c r="H7" s="28"/>
      <c r="I7" s="29"/>
    </row>
    <row r="8" spans="1:9" ht="18" customHeight="1">
      <c r="A8" s="267" t="s">
        <v>36</v>
      </c>
      <c r="B8" s="273">
        <v>400</v>
      </c>
      <c r="C8" s="65" t="s">
        <v>23</v>
      </c>
      <c r="D8" s="65" t="s">
        <v>23</v>
      </c>
      <c r="E8" s="271" t="s">
        <v>20</v>
      </c>
      <c r="F8" s="280" t="s">
        <v>57</v>
      </c>
      <c r="G8" s="28"/>
      <c r="H8" s="28"/>
      <c r="I8" s="29"/>
    </row>
    <row r="9" spans="1:9" ht="18" customHeight="1">
      <c r="A9" s="267" t="s">
        <v>152</v>
      </c>
      <c r="B9" s="65" t="s">
        <v>23</v>
      </c>
      <c r="C9" s="65">
        <v>0.5</v>
      </c>
      <c r="D9" s="65" t="s">
        <v>23</v>
      </c>
      <c r="E9" s="65" t="s">
        <v>23</v>
      </c>
      <c r="F9" s="280" t="s">
        <v>153</v>
      </c>
      <c r="G9" s="28"/>
      <c r="H9" s="28"/>
      <c r="I9" s="29"/>
    </row>
    <row r="10" spans="1:9" ht="18" customHeight="1">
      <c r="A10" s="267" t="s">
        <v>10</v>
      </c>
      <c r="B10" s="65" t="s">
        <v>23</v>
      </c>
      <c r="C10" s="269">
        <v>65</v>
      </c>
      <c r="D10" s="65" t="s">
        <v>23</v>
      </c>
      <c r="E10" s="271" t="s">
        <v>11</v>
      </c>
      <c r="F10" s="280" t="s">
        <v>57</v>
      </c>
      <c r="G10" s="28"/>
      <c r="H10" s="28"/>
      <c r="I10" s="29"/>
    </row>
    <row r="11" spans="1:9" ht="18" customHeight="1">
      <c r="A11" s="267" t="s">
        <v>12</v>
      </c>
      <c r="B11" s="269">
        <v>550</v>
      </c>
      <c r="C11" s="269">
        <v>750</v>
      </c>
      <c r="D11" s="269">
        <v>1000</v>
      </c>
      <c r="E11" s="271" t="s">
        <v>111</v>
      </c>
      <c r="F11" s="280" t="s">
        <v>57</v>
      </c>
      <c r="G11" s="28"/>
      <c r="H11" s="28"/>
      <c r="I11" s="29"/>
    </row>
    <row r="12" spans="1:9" ht="18" customHeight="1">
      <c r="A12" s="267" t="s">
        <v>83</v>
      </c>
      <c r="B12" s="270">
        <f>POWER(10,$C$10/20)/(D11/1000000)/1000000</f>
        <v>1.7782794100389243</v>
      </c>
      <c r="C12" s="270">
        <f>POWER(10,$C$10/20)/(C11/1000000)/1000000</f>
        <v>2.3710392133852327</v>
      </c>
      <c r="D12" s="270">
        <f>POWER(10,$C$10/20)/(B11/1000000)/1000000</f>
        <v>3.2332352909798621</v>
      </c>
      <c r="E12" s="271" t="s">
        <v>84</v>
      </c>
      <c r="F12" s="280" t="s">
        <v>49</v>
      </c>
      <c r="G12" s="28"/>
      <c r="H12" s="28"/>
      <c r="I12" s="29"/>
    </row>
    <row r="13" spans="1:9" ht="18" customHeight="1">
      <c r="A13" s="267" t="s">
        <v>0</v>
      </c>
      <c r="B13" s="65" t="s">
        <v>23</v>
      </c>
      <c r="C13" s="274">
        <v>2.85</v>
      </c>
      <c r="D13" s="65" t="s">
        <v>23</v>
      </c>
      <c r="E13" s="271" t="s">
        <v>3</v>
      </c>
      <c r="F13" s="280" t="s">
        <v>57</v>
      </c>
      <c r="G13" s="28"/>
      <c r="H13" s="28"/>
      <c r="I13" s="29"/>
    </row>
    <row r="14" spans="1:9" ht="18" customHeight="1">
      <c r="A14" s="439" t="s">
        <v>303</v>
      </c>
      <c r="B14" s="289">
        <v>0.15</v>
      </c>
      <c r="C14" s="274">
        <v>0.2</v>
      </c>
      <c r="D14" s="289">
        <v>0.25</v>
      </c>
      <c r="E14" s="441" t="s">
        <v>336</v>
      </c>
      <c r="F14" s="280" t="s">
        <v>304</v>
      </c>
      <c r="G14" s="294">
        <v>0.249</v>
      </c>
      <c r="H14" s="68" t="s">
        <v>16</v>
      </c>
      <c r="I14" s="29"/>
    </row>
    <row r="15" spans="1:9" ht="18" customHeight="1">
      <c r="A15" s="444"/>
      <c r="B15" s="289">
        <v>0.68</v>
      </c>
      <c r="C15" s="274">
        <v>0.91</v>
      </c>
      <c r="D15" s="289">
        <v>1.1299999999999999</v>
      </c>
      <c r="E15" s="442"/>
      <c r="F15" s="280" t="s">
        <v>304</v>
      </c>
      <c r="G15" s="294">
        <v>1</v>
      </c>
      <c r="H15" s="68" t="s">
        <v>16</v>
      </c>
      <c r="I15" s="29"/>
    </row>
    <row r="16" spans="1:9" ht="18" customHeight="1">
      <c r="A16" s="440"/>
      <c r="B16" s="289">
        <v>2.2400000000000002</v>
      </c>
      <c r="C16" s="274">
        <v>2.99</v>
      </c>
      <c r="D16" s="289">
        <v>3.73</v>
      </c>
      <c r="E16" s="443"/>
      <c r="F16" s="280" t="s">
        <v>304</v>
      </c>
      <c r="G16" s="294">
        <v>2.46</v>
      </c>
      <c r="H16" s="68" t="s">
        <v>16</v>
      </c>
      <c r="I16" s="29"/>
    </row>
    <row r="17" spans="1:9" ht="18" customHeight="1">
      <c r="A17" s="267" t="s">
        <v>188</v>
      </c>
      <c r="B17" s="275">
        <v>0.25</v>
      </c>
      <c r="C17" s="65" t="s">
        <v>23</v>
      </c>
      <c r="D17" s="275">
        <v>2.4500000000000002</v>
      </c>
      <c r="E17" s="271" t="s">
        <v>16</v>
      </c>
      <c r="F17" s="280" t="s">
        <v>55</v>
      </c>
      <c r="G17" s="28"/>
      <c r="H17" s="28"/>
      <c r="I17" s="29"/>
    </row>
    <row r="18" spans="1:9" ht="18" customHeight="1">
      <c r="A18" s="267" t="s">
        <v>40</v>
      </c>
      <c r="B18" s="65">
        <v>-10</v>
      </c>
      <c r="C18" s="65" t="s">
        <v>23</v>
      </c>
      <c r="D18" s="65">
        <v>10</v>
      </c>
      <c r="E18" s="271" t="s">
        <v>25</v>
      </c>
      <c r="F18" s="280" t="s">
        <v>55</v>
      </c>
      <c r="G18" s="28"/>
      <c r="H18" s="28"/>
      <c r="I18" s="29"/>
    </row>
    <row r="19" spans="1:9" ht="18" customHeight="1">
      <c r="A19" s="267" t="s">
        <v>106</v>
      </c>
      <c r="B19" s="65" t="s">
        <v>23</v>
      </c>
      <c r="C19" s="65">
        <v>85</v>
      </c>
      <c r="D19" s="269">
        <v>120</v>
      </c>
      <c r="E19" s="271" t="s">
        <v>4</v>
      </c>
      <c r="F19" s="280" t="s">
        <v>104</v>
      </c>
      <c r="G19" s="28"/>
      <c r="H19" s="28"/>
      <c r="I19" s="29"/>
    </row>
    <row r="20" spans="1:9" ht="18" customHeight="1">
      <c r="A20" s="267" t="s">
        <v>107</v>
      </c>
      <c r="B20" s="65" t="s">
        <v>23</v>
      </c>
      <c r="C20" s="65">
        <v>85</v>
      </c>
      <c r="D20" s="269">
        <v>130</v>
      </c>
      <c r="E20" s="271" t="s">
        <v>4</v>
      </c>
      <c r="F20" s="280" t="s">
        <v>105</v>
      </c>
      <c r="G20" s="28"/>
      <c r="H20" s="28"/>
      <c r="I20" s="29"/>
    </row>
    <row r="21" spans="1:9" ht="18" customHeight="1">
      <c r="A21" s="267" t="s">
        <v>185</v>
      </c>
      <c r="B21" s="65" t="s">
        <v>23</v>
      </c>
      <c r="C21" s="276">
        <v>3</v>
      </c>
      <c r="D21" s="65" t="s">
        <v>23</v>
      </c>
      <c r="E21" s="271" t="s">
        <v>5</v>
      </c>
      <c r="F21" s="280" t="s">
        <v>57</v>
      </c>
      <c r="G21" s="28"/>
      <c r="H21" s="28"/>
      <c r="I21" s="29"/>
    </row>
    <row r="22" spans="1:9" ht="18" customHeight="1">
      <c r="A22" s="267" t="s">
        <v>101</v>
      </c>
      <c r="B22" s="65" t="s">
        <v>23</v>
      </c>
      <c r="C22" s="65" t="s">
        <v>23</v>
      </c>
      <c r="D22" s="65">
        <v>125</v>
      </c>
      <c r="E22" s="271" t="s">
        <v>100</v>
      </c>
      <c r="F22" s="280" t="s">
        <v>56</v>
      </c>
      <c r="G22" s="28"/>
      <c r="H22" s="28"/>
      <c r="I22" s="29"/>
    </row>
    <row r="23" spans="1:9" ht="18" customHeight="1">
      <c r="A23" s="267" t="s">
        <v>109</v>
      </c>
      <c r="B23" s="65" t="s">
        <v>23</v>
      </c>
      <c r="C23" s="65">
        <v>0.64</v>
      </c>
      <c r="D23" s="65" t="s">
        <v>23</v>
      </c>
      <c r="E23" s="271" t="s">
        <v>110</v>
      </c>
      <c r="F23" s="280" t="s">
        <v>56</v>
      </c>
      <c r="G23" s="28"/>
      <c r="H23" s="28"/>
      <c r="I23" s="29"/>
    </row>
    <row r="24" spans="1:9" ht="18" customHeight="1">
      <c r="A24" s="267" t="s">
        <v>172</v>
      </c>
      <c r="B24" s="65" t="s">
        <v>23</v>
      </c>
      <c r="C24" s="271">
        <v>5</v>
      </c>
      <c r="D24" s="65" t="s">
        <v>23</v>
      </c>
      <c r="E24" s="271" t="s">
        <v>2</v>
      </c>
      <c r="F24" s="280" t="s">
        <v>56</v>
      </c>
      <c r="G24" s="28"/>
      <c r="H24" s="28"/>
      <c r="I24" s="29"/>
    </row>
    <row r="25" spans="1:9" ht="18" customHeight="1">
      <c r="A25" s="267" t="s">
        <v>22</v>
      </c>
      <c r="B25" s="65" t="s">
        <v>23</v>
      </c>
      <c r="C25" s="65" t="s">
        <v>23</v>
      </c>
      <c r="D25" s="271">
        <v>5</v>
      </c>
      <c r="E25" s="271" t="s">
        <v>9</v>
      </c>
      <c r="F25" s="280" t="s">
        <v>56</v>
      </c>
      <c r="G25" s="28"/>
      <c r="H25" s="28"/>
      <c r="I25" s="29"/>
    </row>
    <row r="26" spans="1:9" ht="18" customHeight="1">
      <c r="A26" s="267" t="s">
        <v>7</v>
      </c>
      <c r="B26" s="65" t="s">
        <v>23</v>
      </c>
      <c r="C26" s="277">
        <v>1</v>
      </c>
      <c r="D26" s="65" t="s">
        <v>23</v>
      </c>
      <c r="E26" s="271" t="s">
        <v>6</v>
      </c>
      <c r="F26" s="280" t="s">
        <v>173</v>
      </c>
      <c r="G26" s="28"/>
      <c r="H26" s="28"/>
      <c r="I26" s="29"/>
    </row>
    <row r="27" spans="1:9" ht="18" customHeight="1">
      <c r="A27" s="267" t="s">
        <v>8</v>
      </c>
      <c r="B27" s="65" t="s">
        <v>23</v>
      </c>
      <c r="C27" s="277">
        <v>1</v>
      </c>
      <c r="D27" s="65" t="s">
        <v>23</v>
      </c>
      <c r="E27" s="271" t="s">
        <v>6</v>
      </c>
      <c r="F27" s="280" t="s">
        <v>173</v>
      </c>
      <c r="G27" s="28"/>
      <c r="H27" s="28"/>
      <c r="I27" s="29"/>
    </row>
    <row r="28" spans="1:9" ht="18" customHeight="1">
      <c r="A28" s="267" t="s">
        <v>39</v>
      </c>
      <c r="B28" s="65" t="s">
        <v>23</v>
      </c>
      <c r="C28" s="271">
        <v>20</v>
      </c>
      <c r="D28" s="65" t="s">
        <v>23</v>
      </c>
      <c r="E28" s="271" t="s">
        <v>112</v>
      </c>
      <c r="F28" s="280" t="s">
        <v>57</v>
      </c>
      <c r="G28" s="28"/>
      <c r="H28" s="28"/>
      <c r="I28" s="29"/>
    </row>
    <row r="29" spans="1:9" ht="18" customHeight="1">
      <c r="A29" s="267" t="s">
        <v>60</v>
      </c>
      <c r="B29" s="65" t="s">
        <v>23</v>
      </c>
      <c r="C29" s="271">
        <v>330</v>
      </c>
      <c r="D29" s="65" t="s">
        <v>23</v>
      </c>
      <c r="E29" s="271" t="s">
        <v>20</v>
      </c>
      <c r="F29" s="280" t="s">
        <v>57</v>
      </c>
      <c r="G29" s="28"/>
      <c r="H29" s="28"/>
      <c r="I29" s="29"/>
    </row>
    <row r="30" spans="1:9" ht="18" customHeight="1">
      <c r="A30" s="439" t="s">
        <v>288</v>
      </c>
      <c r="B30" s="65" t="s">
        <v>23</v>
      </c>
      <c r="C30" s="271">
        <v>750</v>
      </c>
      <c r="D30" s="65">
        <v>850</v>
      </c>
      <c r="E30" s="271" t="s">
        <v>5</v>
      </c>
      <c r="F30" s="280" t="s">
        <v>332</v>
      </c>
      <c r="G30" s="28"/>
      <c r="H30" s="28"/>
      <c r="I30" s="29"/>
    </row>
    <row r="31" spans="1:9" ht="18" customHeight="1">
      <c r="A31" s="440"/>
      <c r="B31" s="65" t="s">
        <v>23</v>
      </c>
      <c r="C31" s="271">
        <v>850</v>
      </c>
      <c r="D31" s="65">
        <v>950</v>
      </c>
      <c r="E31" s="271" t="s">
        <v>5</v>
      </c>
      <c r="F31" s="280" t="s">
        <v>333</v>
      </c>
      <c r="G31" s="28"/>
      <c r="H31" s="28"/>
      <c r="I31" s="29"/>
    </row>
    <row r="32" spans="1:9" ht="18" customHeight="1">
      <c r="A32" s="331" t="s">
        <v>331</v>
      </c>
      <c r="B32" s="65" t="s">
        <v>23</v>
      </c>
      <c r="C32" s="271">
        <v>750</v>
      </c>
      <c r="D32" s="65" t="s">
        <v>23</v>
      </c>
      <c r="E32" s="271" t="s">
        <v>19</v>
      </c>
      <c r="F32" s="280" t="s">
        <v>56</v>
      </c>
      <c r="G32" s="28"/>
      <c r="H32" s="28"/>
      <c r="I32" s="29"/>
    </row>
    <row r="33" spans="1:17" ht="18" customHeight="1">
      <c r="A33" s="282" t="s">
        <v>289</v>
      </c>
      <c r="B33" s="65" t="s">
        <v>23</v>
      </c>
      <c r="C33" s="271">
        <v>4.0999999999999996</v>
      </c>
      <c r="D33" s="65" t="s">
        <v>23</v>
      </c>
      <c r="E33" s="65" t="s">
        <v>290</v>
      </c>
      <c r="F33" s="280" t="s">
        <v>56</v>
      </c>
      <c r="G33" s="28"/>
      <c r="H33" s="28"/>
      <c r="I33" s="29"/>
    </row>
    <row r="34" spans="1:17" ht="18" customHeight="1">
      <c r="A34" s="267">
        <v>5</v>
      </c>
      <c r="B34" s="277">
        <v>3.8</v>
      </c>
      <c r="C34" s="65" t="s">
        <v>23</v>
      </c>
      <c r="D34" s="65" t="s">
        <v>23</v>
      </c>
      <c r="E34" s="271" t="s">
        <v>13</v>
      </c>
      <c r="F34" s="280" t="s">
        <v>344</v>
      </c>
      <c r="G34" s="28"/>
      <c r="H34" s="28"/>
      <c r="I34" s="29"/>
    </row>
    <row r="35" spans="1:17" ht="18" customHeight="1">
      <c r="A35" s="267">
        <v>90</v>
      </c>
      <c r="B35" s="277">
        <f ca="1">B34-I60*(A35-A34)/100/(IF(ISBLANK(Design!B33),Design!B32,Design!B33))</f>
        <v>2.8875366178428759</v>
      </c>
      <c r="C35" s="65" t="s">
        <v>23</v>
      </c>
      <c r="D35" s="65" t="s">
        <v>23</v>
      </c>
      <c r="E35" s="271" t="s">
        <v>13</v>
      </c>
      <c r="F35" s="280" t="s">
        <v>343</v>
      </c>
      <c r="G35" s="28"/>
      <c r="H35" s="28"/>
      <c r="I35" s="29"/>
    </row>
    <row r="36" spans="1:17" ht="18" customHeight="1" thickBot="1">
      <c r="A36" s="70" t="s">
        <v>219</v>
      </c>
      <c r="B36" s="71" t="s">
        <v>23</v>
      </c>
      <c r="C36" s="278">
        <v>0.39300000000000002</v>
      </c>
      <c r="D36" s="71" t="s">
        <v>23</v>
      </c>
      <c r="E36" s="279" t="s">
        <v>220</v>
      </c>
      <c r="F36" s="281" t="s">
        <v>227</v>
      </c>
      <c r="G36" s="34"/>
      <c r="H36" s="34"/>
      <c r="I36" s="35"/>
    </row>
    <row r="37" spans="1:17" ht="15.75" thickBot="1"/>
    <row r="38" spans="1:17" s="12" customFormat="1" ht="18" customHeight="1">
      <c r="A38" s="436" t="s">
        <v>127</v>
      </c>
      <c r="B38" s="437"/>
      <c r="C38" s="437"/>
      <c r="D38" s="437"/>
      <c r="E38" s="437"/>
      <c r="F38" s="437"/>
      <c r="G38" s="438"/>
    </row>
    <row r="39" spans="1:17">
      <c r="A39" s="27" t="s">
        <v>114</v>
      </c>
      <c r="B39" s="31">
        <v>3.3</v>
      </c>
      <c r="C39" s="31" t="s">
        <v>2</v>
      </c>
      <c r="D39" s="36" t="s">
        <v>128</v>
      </c>
      <c r="E39" s="31"/>
      <c r="F39" s="28"/>
      <c r="G39" s="29"/>
    </row>
    <row r="40" spans="1:17" ht="18">
      <c r="A40" s="27" t="s">
        <v>154</v>
      </c>
      <c r="B40" s="31">
        <v>2</v>
      </c>
      <c r="C40" s="31" t="s">
        <v>13</v>
      </c>
      <c r="D40" s="36" t="s">
        <v>155</v>
      </c>
      <c r="E40" s="31"/>
      <c r="F40" s="28"/>
      <c r="G40" s="29"/>
      <c r="Q40" s="155"/>
    </row>
    <row r="41" spans="1:17">
      <c r="A41" s="27" t="s">
        <v>119</v>
      </c>
      <c r="B41" s="31">
        <v>1.1000000000000001</v>
      </c>
      <c r="C41" s="31" t="s">
        <v>13</v>
      </c>
      <c r="D41" s="36" t="s">
        <v>148</v>
      </c>
      <c r="E41" s="31"/>
      <c r="F41" s="28"/>
      <c r="G41" s="29"/>
    </row>
    <row r="42" spans="1:17" ht="18">
      <c r="A42" s="27" t="s">
        <v>156</v>
      </c>
      <c r="B42" s="89">
        <f>100*B41/B40</f>
        <v>55.000000000000007</v>
      </c>
      <c r="C42" s="31" t="s">
        <v>25</v>
      </c>
      <c r="D42" s="36" t="s">
        <v>159</v>
      </c>
      <c r="E42" s="31"/>
      <c r="F42" s="28"/>
      <c r="G42" s="29"/>
    </row>
    <row r="43" spans="1:17">
      <c r="A43" s="27" t="s">
        <v>115</v>
      </c>
      <c r="B43" s="31">
        <v>1</v>
      </c>
      <c r="C43" s="30" t="s">
        <v>23</v>
      </c>
      <c r="D43" s="36" t="s">
        <v>160</v>
      </c>
      <c r="E43" s="31"/>
      <c r="F43" s="28"/>
      <c r="G43" s="29"/>
    </row>
    <row r="44" spans="1:17" ht="18">
      <c r="A44" s="27" t="s">
        <v>130</v>
      </c>
      <c r="B44" s="31">
        <v>2</v>
      </c>
      <c r="C44" s="31" t="s">
        <v>16</v>
      </c>
      <c r="D44" s="36" t="s">
        <v>131</v>
      </c>
      <c r="E44" s="31"/>
      <c r="F44" s="28"/>
      <c r="G44" s="29"/>
    </row>
    <row r="45" spans="1:17">
      <c r="A45" s="27" t="s">
        <v>120</v>
      </c>
      <c r="B45" s="31">
        <v>128</v>
      </c>
      <c r="C45" s="31" t="s">
        <v>20</v>
      </c>
      <c r="D45" s="36" t="s">
        <v>280</v>
      </c>
      <c r="E45" s="31"/>
      <c r="F45" s="28"/>
      <c r="G45" s="29"/>
    </row>
    <row r="46" spans="1:17">
      <c r="A46" s="27" t="s">
        <v>116</v>
      </c>
      <c r="B46" s="31">
        <v>10</v>
      </c>
      <c r="C46" s="31" t="s">
        <v>25</v>
      </c>
      <c r="D46" s="36" t="s">
        <v>129</v>
      </c>
      <c r="E46" s="31"/>
      <c r="F46" s="28"/>
      <c r="G46" s="29"/>
    </row>
    <row r="47" spans="1:17">
      <c r="A47" s="27" t="s">
        <v>27</v>
      </c>
      <c r="B47" s="89">
        <v>6</v>
      </c>
      <c r="C47" s="31" t="s">
        <v>117</v>
      </c>
      <c r="D47" s="36" t="s">
        <v>121</v>
      </c>
      <c r="E47" s="31"/>
      <c r="F47" s="28"/>
      <c r="G47" s="29"/>
    </row>
    <row r="48" spans="1:17">
      <c r="A48" s="27" t="s">
        <v>28</v>
      </c>
      <c r="B48" s="31">
        <v>1.8</v>
      </c>
      <c r="C48" s="31" t="s">
        <v>29</v>
      </c>
      <c r="D48" s="36" t="s">
        <v>121</v>
      </c>
      <c r="E48" s="31"/>
      <c r="F48" s="28"/>
      <c r="G48" s="29"/>
    </row>
    <row r="49" spans="1:12">
      <c r="A49" s="27" t="s">
        <v>124</v>
      </c>
      <c r="B49" s="89">
        <v>0.8</v>
      </c>
      <c r="C49" s="32">
        <v>9.9600000000000009</v>
      </c>
      <c r="D49" s="30" t="s">
        <v>162</v>
      </c>
      <c r="E49" s="36" t="s">
        <v>122</v>
      </c>
      <c r="F49" s="28"/>
      <c r="G49" s="29"/>
    </row>
    <row r="50" spans="1:12">
      <c r="A50" s="27" t="s">
        <v>124</v>
      </c>
      <c r="B50" s="89">
        <v>2</v>
      </c>
      <c r="C50" s="32">
        <v>9.8000000000000007</v>
      </c>
      <c r="D50" s="30" t="s">
        <v>162</v>
      </c>
      <c r="E50" s="36" t="s">
        <v>122</v>
      </c>
      <c r="F50" s="28"/>
      <c r="G50" s="29"/>
    </row>
    <row r="51" spans="1:12">
      <c r="A51" s="27" t="s">
        <v>124</v>
      </c>
      <c r="B51" s="89">
        <v>3.3</v>
      </c>
      <c r="C51" s="32">
        <v>9.5</v>
      </c>
      <c r="D51" s="30" t="s">
        <v>162</v>
      </c>
      <c r="E51" s="36" t="s">
        <v>122</v>
      </c>
      <c r="F51" s="28"/>
      <c r="G51" s="29"/>
    </row>
    <row r="52" spans="1:12">
      <c r="A52" s="27" t="s">
        <v>124</v>
      </c>
      <c r="B52" s="89">
        <v>5</v>
      </c>
      <c r="C52" s="32">
        <v>8.85</v>
      </c>
      <c r="D52" s="30" t="s">
        <v>162</v>
      </c>
      <c r="E52" s="36" t="s">
        <v>122</v>
      </c>
      <c r="F52" s="28"/>
      <c r="G52" s="29"/>
    </row>
    <row r="53" spans="1:12">
      <c r="A53" s="27" t="s">
        <v>124</v>
      </c>
      <c r="B53" s="89">
        <v>8</v>
      </c>
      <c r="C53" s="32">
        <v>7.48</v>
      </c>
      <c r="D53" s="30" t="s">
        <v>162</v>
      </c>
      <c r="E53" s="36" t="s">
        <v>122</v>
      </c>
      <c r="F53" s="28"/>
      <c r="G53" s="29"/>
    </row>
    <row r="54" spans="1:12" ht="17.25">
      <c r="A54" s="64" t="s">
        <v>125</v>
      </c>
      <c r="B54" s="65" t="s">
        <v>23</v>
      </c>
      <c r="C54" s="66">
        <v>3.3999999999999998E-3</v>
      </c>
      <c r="D54" s="65" t="s">
        <v>163</v>
      </c>
      <c r="E54" s="67" t="s">
        <v>145</v>
      </c>
      <c r="F54" s="68"/>
      <c r="G54" s="69"/>
    </row>
    <row r="55" spans="1:12" ht="17.25">
      <c r="A55" s="64" t="s">
        <v>125</v>
      </c>
      <c r="B55" s="65" t="s">
        <v>23</v>
      </c>
      <c r="C55" s="66">
        <v>-7.4300000000000005E-2</v>
      </c>
      <c r="D55" s="65" t="s">
        <v>165</v>
      </c>
      <c r="E55" s="67" t="s">
        <v>146</v>
      </c>
      <c r="F55" s="68"/>
      <c r="G55" s="69"/>
    </row>
    <row r="56" spans="1:12">
      <c r="A56" s="64" t="s">
        <v>125</v>
      </c>
      <c r="B56" s="65" t="s">
        <v>23</v>
      </c>
      <c r="C56" s="66">
        <v>6.83E-2</v>
      </c>
      <c r="D56" s="65" t="s">
        <v>164</v>
      </c>
      <c r="E56" s="67" t="s">
        <v>147</v>
      </c>
      <c r="F56" s="68"/>
      <c r="G56" s="69"/>
    </row>
    <row r="57" spans="1:12" ht="15.75" thickBot="1">
      <c r="A57" s="70" t="s">
        <v>125</v>
      </c>
      <c r="B57" s="71" t="s">
        <v>23</v>
      </c>
      <c r="C57" s="72">
        <v>9.9469999999999992</v>
      </c>
      <c r="D57" s="71" t="s">
        <v>118</v>
      </c>
      <c r="E57" s="73" t="s">
        <v>166</v>
      </c>
      <c r="F57" s="74"/>
      <c r="G57" s="75"/>
    </row>
    <row r="58" spans="1:12" ht="15.75" thickBot="1"/>
    <row r="59" spans="1:12" ht="18" customHeight="1">
      <c r="A59" s="432" t="s">
        <v>319</v>
      </c>
      <c r="B59" s="433"/>
      <c r="C59" s="434"/>
      <c r="F59" s="291" t="s">
        <v>326</v>
      </c>
    </row>
    <row r="60" spans="1:12" ht="18">
      <c r="A60" s="264" t="s">
        <v>283</v>
      </c>
      <c r="B60" s="31">
        <v>15</v>
      </c>
      <c r="C60" s="265" t="s">
        <v>18</v>
      </c>
      <c r="F60" s="290" t="s">
        <v>327</v>
      </c>
      <c r="G60" s="293">
        <f ca="1">FORECAST((IF(ISBLANK(Design!B33),Design!B32,Design!B33)), OFFSET(B14:B16,MATCH((IF(ISBLANK(Design!B33),Design!B32,Design!B33)),G14:G16,1)-1,0,2), OFFSET(G14:G16,MATCH((IF(ISBLANK(Design!B33),Design!B32,Design!B33)),G14:G16,1)-1,0,2))</f>
        <v>0.27420772303595203</v>
      </c>
      <c r="H60" s="293">
        <f ca="1">FORECAST((IF(ISBLANK(Design!B33),Design!B32,Design!B33)), OFFSET(C14:C16,MATCH((IF(ISBLANK(Design!B33),Design!B32,Design!B33)),G14:G16,1)-1,0,2), OFFSET(G14:G16,MATCH((IF(ISBLANK(Design!B33),Design!B32,Design!B33)),G14:G16,1)-1,0,2))</f>
        <v>0.36639147802929428</v>
      </c>
      <c r="I60" s="293">
        <f ca="1">FORECAST((IF(ISBLANK(Design!B33),Design!B32,Design!B33)), OFFSET(D14:D16,MATCH((IF(ISBLANK(Design!B33),Design!B32,Design!B33)),G14:G16,1)-1,0,2), OFFSET(G14:G16,MATCH((IF(ISBLANK(Design!B33),Design!B32,Design!B33)),G14:G16,1)-1,0,2))</f>
        <v>0.45623169107856187</v>
      </c>
      <c r="J60" s="292" t="s">
        <v>336</v>
      </c>
      <c r="L60" s="155"/>
    </row>
    <row r="61" spans="1:12" ht="15.75" thickBot="1">
      <c r="A61" s="147" t="s">
        <v>284</v>
      </c>
      <c r="B61" s="33">
        <v>25</v>
      </c>
      <c r="C61" s="266" t="s">
        <v>18</v>
      </c>
      <c r="F61" t="s">
        <v>329</v>
      </c>
      <c r="G61" s="1" t="str">
        <f>IF(1000*Design!B33&lt;Constants!C32,"YES","NO")</f>
        <v>YES</v>
      </c>
    </row>
    <row r="62" spans="1:12" ht="15.75" thickBot="1"/>
    <row r="63" spans="1:12" ht="20.25">
      <c r="A63" s="432" t="s">
        <v>291</v>
      </c>
      <c r="B63" s="433"/>
      <c r="C63" s="433"/>
      <c r="D63" s="434"/>
      <c r="F63" s="291" t="s">
        <v>325</v>
      </c>
    </row>
    <row r="64" spans="1:12" ht="18" customHeight="1">
      <c r="A64" s="284" t="s">
        <v>293</v>
      </c>
      <c r="B64" s="435">
        <v>65</v>
      </c>
      <c r="C64" s="435"/>
      <c r="D64" s="285" t="s">
        <v>294</v>
      </c>
      <c r="F64" s="292" t="s">
        <v>296</v>
      </c>
      <c r="H64" s="293">
        <f ca="1">FORECAST(C30/1000, OFFSET(Design!$C$15:$C$17,MATCH(C30/1000,Design!$B$15:$B$17,1)-1,0,2), OFFSET(Design!$B$15:$B$17,MATCH(C30/1000,Design!$B$15:$B$17,1)-1,0,2))+(B64-25)*Design!$B$18/1000</f>
        <v>0.32277777777777783</v>
      </c>
      <c r="I64" s="290" t="s">
        <v>2</v>
      </c>
    </row>
    <row r="65" spans="1:9" ht="18" customHeight="1">
      <c r="A65" s="332" t="s">
        <v>334</v>
      </c>
      <c r="B65" s="269">
        <f>IF(G61="YES",C30,C31)</f>
        <v>750</v>
      </c>
      <c r="C65" s="269">
        <f>IF(G61="YES",D30,D31)</f>
        <v>850</v>
      </c>
      <c r="D65" s="333" t="s">
        <v>5</v>
      </c>
      <c r="F65" s="292" t="s">
        <v>297</v>
      </c>
      <c r="H65" s="312">
        <f>1000*D22/1000*(1+(B64-25)*C23/100)</f>
        <v>157</v>
      </c>
      <c r="I65" s="290" t="s">
        <v>117</v>
      </c>
    </row>
    <row r="66" spans="1:9" ht="18" customHeight="1">
      <c r="A66" s="264" t="s">
        <v>299</v>
      </c>
      <c r="B66" s="32">
        <f>IF(B65/1000*(IF(ISBLANK(Design!B41),Design!B39,Design!B41))/(Design!C4-Design!C6-B65/1000*(H65+H66)/1000)&lt;C33,B65/1000*(IF(ISBLANK(Design!B41),Design!B39,Design!B41))/(Design!C4-Design!C6-B65/1000*(H65+H66)/1000),C33)</f>
        <v>1.0952848134817585</v>
      </c>
      <c r="C66" s="32">
        <f>IF(C65/1000*(1+Design!D10/100)*(IF(ISBLANK(Design!B41),Design!B39,Design!B41))/(Design!B5-Design!C6-C65/1000*(H65+H66)/1000)&lt;C33,C65/1000*(1+Design!D10/100)*(IF(ISBLANK(Design!B41),Design!B39,Design!B41))/(Design!B5-Design!C6-C65/1000*(H65+H66)/1000),C33)</f>
        <v>3.8824527296154865</v>
      </c>
      <c r="D66" s="265" t="s">
        <v>292</v>
      </c>
      <c r="F66" s="290" t="s">
        <v>298</v>
      </c>
      <c r="H66" s="313">
        <f>(IF(ISBLANK(Design!B42),C6,Design!B42))*(1+(B64-25)*C36/100)</f>
        <v>46.287999999999997</v>
      </c>
      <c r="I66" s="290" t="s">
        <v>117</v>
      </c>
    </row>
    <row r="67" spans="1:9" ht="18">
      <c r="A67" s="264" t="s">
        <v>300</v>
      </c>
      <c r="B67" s="32">
        <f ca="1">B65/1000*(IF(ISBLANK(Design!B41),Design!B39,Design!B41))/(Design!C6+H64)</f>
        <v>1.4090387224715584</v>
      </c>
      <c r="C67" s="32">
        <f ca="1">C65/1000*(1+Design!D10/100)*(IF(ISBLANK(Design!B41),Design!B39,Design!B41))/(Design!C6+H64)</f>
        <v>1.9162926625613192</v>
      </c>
      <c r="D67" s="265" t="s">
        <v>292</v>
      </c>
      <c r="F67" s="311" t="s">
        <v>330</v>
      </c>
      <c r="G67" s="228"/>
      <c r="H67" s="312" t="str">
        <f>IF((D30/1000*(1+Design!D10/100)*(IF(ISBLANK(Design!B41),Design!B39,Design!B41))/(Design!B5-Design!C6-D30/1000*(H65+H66)/1000)&lt;C33) * (D30/1000*(1+Design!D10/100)*(IF(ISBLANK(Design!B41),Design!B39,Design!B41))/(Design!B5-Design!C6-D30/1000*(H65+H66)/1000))&gt;0,"NO","YES")</f>
        <v>NO</v>
      </c>
      <c r="I67" s="311"/>
    </row>
    <row r="68" spans="1:9" s="228" customFormat="1" ht="18" customHeight="1" thickBot="1">
      <c r="A68" s="33" t="s">
        <v>295</v>
      </c>
      <c r="B68" s="283">
        <f ca="1">B66+B67</f>
        <v>2.5043235359533167</v>
      </c>
      <c r="C68" s="283">
        <f ca="1">C66+C67</f>
        <v>5.798745392176806</v>
      </c>
      <c r="D68" s="266" t="s">
        <v>290</v>
      </c>
      <c r="E68" s="286"/>
    </row>
  </sheetData>
  <sheetProtection password="83AF" sheet="1" objects="1" scenarios="1"/>
  <mergeCells count="9">
    <mergeCell ref="A63:D63"/>
    <mergeCell ref="B64:C64"/>
    <mergeCell ref="F2:I2"/>
    <mergeCell ref="A1:I1"/>
    <mergeCell ref="A59:C59"/>
    <mergeCell ref="A38:G38"/>
    <mergeCell ref="A30:A31"/>
    <mergeCell ref="E14:E16"/>
    <mergeCell ref="A14:A16"/>
  </mergeCells>
  <pageMargins left="0.7" right="0.7" top="0.75" bottom="0.75" header="0.3" footer="0.3"/>
  <ignoredErrors>
    <ignoredError sqref="G60:I6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Design</vt:lpstr>
      <vt:lpstr>Snubber</vt:lpstr>
      <vt:lpstr>Efficiency</vt:lpstr>
      <vt:lpstr>Dropout</vt:lpstr>
      <vt:lpstr>Constants</vt:lpstr>
      <vt:lpstr>Design!Print_Area</vt:lpstr>
      <vt:lpstr>Snubber!Print_Area</vt:lpstr>
    </vt:vector>
  </TitlesOfParts>
  <Company>Allegro MicroSystems,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J. Reicher</dc:creator>
  <cp:lastModifiedBy>Eric J. Reicher</cp:lastModifiedBy>
  <cp:lastPrinted>2012-10-05T17:44:37Z</cp:lastPrinted>
  <dcterms:created xsi:type="dcterms:W3CDTF">2012-01-10T15:56:57Z</dcterms:created>
  <dcterms:modified xsi:type="dcterms:W3CDTF">2013-09-05T13:53:13Z</dcterms:modified>
</cp:coreProperties>
</file>