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eicher\Documents\A8584\Design Tool\"/>
    </mc:Choice>
  </mc:AlternateContent>
  <bookViews>
    <workbookView xWindow="36" yWindow="5172" windowWidth="19152" windowHeight="6720"/>
  </bookViews>
  <sheets>
    <sheet name="Design" sheetId="1" r:id="rId1"/>
    <sheet name="Snubber" sheetId="8" r:id="rId2"/>
    <sheet name="Efficiency" sheetId="12" r:id="rId3"/>
    <sheet name="Dropout" sheetId="7" r:id="rId4"/>
    <sheet name="Constants" sheetId="2" r:id="rId5"/>
  </sheets>
  <definedNames>
    <definedName name="_xlnm.Print_Area" localSheetId="0">Design!$A$1:$I$88</definedName>
    <definedName name="_xlnm.Print_Area" localSheetId="1">Snubber!$A$1:$I$34</definedName>
  </definedNames>
  <calcPr calcId="152511" iterate="1"/>
</workbook>
</file>

<file path=xl/calcChain.xml><?xml version="1.0" encoding="utf-8"?>
<calcChain xmlns="http://schemas.openxmlformats.org/spreadsheetml/2006/main">
  <c r="AP22" i="12" l="1"/>
  <c r="AT22" i="12"/>
  <c r="AW22" i="12"/>
  <c r="BA22" i="12"/>
  <c r="AP23" i="12"/>
  <c r="AT23" i="12"/>
  <c r="AW23" i="12"/>
  <c r="BA23" i="12"/>
  <c r="AP24" i="12"/>
  <c r="AT24" i="12"/>
  <c r="AW24" i="12"/>
  <c r="BA24" i="12"/>
  <c r="AP11" i="12"/>
  <c r="AT11" i="12"/>
  <c r="AW11" i="12"/>
  <c r="BA11" i="12"/>
  <c r="AP12" i="12"/>
  <c r="AT12" i="12"/>
  <c r="AW12" i="12"/>
  <c r="BA12" i="12"/>
  <c r="AP13" i="12"/>
  <c r="AT13" i="12"/>
  <c r="AW13" i="12"/>
  <c r="BA13" i="12"/>
  <c r="V22" i="12"/>
  <c r="Z22" i="12"/>
  <c r="AC22" i="12"/>
  <c r="AG22" i="12"/>
  <c r="V23" i="12"/>
  <c r="Z23" i="12"/>
  <c r="AC23" i="12"/>
  <c r="AG23" i="12"/>
  <c r="V24" i="12"/>
  <c r="Z24" i="12"/>
  <c r="AC24" i="12"/>
  <c r="AG24" i="12"/>
  <c r="V11" i="12"/>
  <c r="Z11" i="12"/>
  <c r="AC11" i="12"/>
  <c r="AG11" i="12"/>
  <c r="V12" i="12"/>
  <c r="Z12" i="12"/>
  <c r="AC12" i="12"/>
  <c r="AG12" i="12"/>
  <c r="V13" i="12"/>
  <c r="Z13" i="12"/>
  <c r="AC13" i="12"/>
  <c r="AG13" i="12"/>
  <c r="B22" i="12"/>
  <c r="F22" i="12"/>
  <c r="G22" i="12"/>
  <c r="I22" i="12"/>
  <c r="M22" i="12"/>
  <c r="B23" i="12"/>
  <c r="F23" i="12"/>
  <c r="G23" i="12"/>
  <c r="I23" i="12"/>
  <c r="M23" i="12"/>
  <c r="B24" i="12"/>
  <c r="F24" i="12"/>
  <c r="G24" i="12"/>
  <c r="I24" i="12"/>
  <c r="M24" i="12"/>
  <c r="B11" i="12"/>
  <c r="F11" i="12"/>
  <c r="I11" i="12"/>
  <c r="M11" i="12"/>
  <c r="B12" i="12"/>
  <c r="F12" i="12"/>
  <c r="I12" i="12"/>
  <c r="M12" i="12"/>
  <c r="B13" i="12"/>
  <c r="F13" i="12"/>
  <c r="I13" i="12"/>
  <c r="M13" i="12"/>
  <c r="A22" i="12"/>
  <c r="A23" i="12"/>
  <c r="AU24" i="12" l="1"/>
  <c r="AU23" i="12"/>
  <c r="AU22" i="12"/>
  <c r="AU13" i="12"/>
  <c r="AU12" i="12"/>
  <c r="AU11" i="12"/>
  <c r="AA24" i="12"/>
  <c r="AA23" i="12"/>
  <c r="AA22" i="12"/>
  <c r="AA13" i="12"/>
  <c r="AA12" i="12"/>
  <c r="AA11" i="12"/>
  <c r="G13" i="12"/>
  <c r="G12" i="12"/>
  <c r="G11" i="12"/>
  <c r="B62" i="1"/>
  <c r="F4" i="1"/>
  <c r="H114" i="7"/>
  <c r="H113" i="7"/>
  <c r="B49" i="1"/>
  <c r="B66" i="1" s="1"/>
  <c r="B70" i="1" s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" i="7"/>
  <c r="A47" i="7"/>
  <c r="AU88" i="7"/>
  <c r="AQ2" i="12"/>
  <c r="W2" i="12"/>
  <c r="AG16" i="12" s="1"/>
  <c r="C2" i="12"/>
  <c r="AP16" i="12"/>
  <c r="AP17" i="12" s="1"/>
  <c r="V16" i="12"/>
  <c r="V17" i="12" s="1"/>
  <c r="B16" i="12"/>
  <c r="B17" i="12" s="1"/>
  <c r="AP5" i="12"/>
  <c r="AP6" i="12" s="1"/>
  <c r="V5" i="12"/>
  <c r="V6" i="12" s="1"/>
  <c r="V7" i="12" s="1"/>
  <c r="B5" i="12"/>
  <c r="B6" i="12" s="1"/>
  <c r="A24" i="12"/>
  <c r="A21" i="12"/>
  <c r="A20" i="12"/>
  <c r="A19" i="12"/>
  <c r="A18" i="12"/>
  <c r="A17" i="12"/>
  <c r="A16" i="12"/>
  <c r="A15" i="12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G87" i="7"/>
  <c r="R87" i="7"/>
  <c r="C87" i="7"/>
  <c r="B87" i="7"/>
  <c r="AG86" i="7"/>
  <c r="R86" i="7"/>
  <c r="C86" i="7"/>
  <c r="AG85" i="7"/>
  <c r="R85" i="7"/>
  <c r="C85" i="7"/>
  <c r="AG84" i="7"/>
  <c r="R84" i="7"/>
  <c r="C84" i="7"/>
  <c r="AG83" i="7"/>
  <c r="R83" i="7"/>
  <c r="C83" i="7"/>
  <c r="AG82" i="7"/>
  <c r="R82" i="7"/>
  <c r="C82" i="7"/>
  <c r="AG81" i="7"/>
  <c r="R81" i="7"/>
  <c r="C81" i="7"/>
  <c r="AG80" i="7"/>
  <c r="R80" i="7"/>
  <c r="C80" i="7"/>
  <c r="AG79" i="7"/>
  <c r="R79" i="7"/>
  <c r="C79" i="7"/>
  <c r="AG78" i="7"/>
  <c r="R78" i="7"/>
  <c r="C78" i="7"/>
  <c r="AG77" i="7"/>
  <c r="R77" i="7"/>
  <c r="C77" i="7"/>
  <c r="AG76" i="7"/>
  <c r="R76" i="7"/>
  <c r="C76" i="7"/>
  <c r="AG75" i="7"/>
  <c r="R75" i="7"/>
  <c r="C75" i="7"/>
  <c r="AG74" i="7"/>
  <c r="R74" i="7"/>
  <c r="C74" i="7"/>
  <c r="AG73" i="7"/>
  <c r="R73" i="7"/>
  <c r="C73" i="7"/>
  <c r="AG72" i="7"/>
  <c r="R72" i="7"/>
  <c r="C72" i="7"/>
  <c r="AG71" i="7"/>
  <c r="R71" i="7"/>
  <c r="C71" i="7"/>
  <c r="AG70" i="7"/>
  <c r="R70" i="7"/>
  <c r="C70" i="7"/>
  <c r="AG69" i="7"/>
  <c r="R69" i="7"/>
  <c r="C69" i="7"/>
  <c r="AG68" i="7"/>
  <c r="R68" i="7"/>
  <c r="C68" i="7"/>
  <c r="AG67" i="7"/>
  <c r="R67" i="7"/>
  <c r="C67" i="7"/>
  <c r="AG66" i="7"/>
  <c r="R66" i="7"/>
  <c r="C66" i="7"/>
  <c r="AG65" i="7"/>
  <c r="R65" i="7"/>
  <c r="C65" i="7"/>
  <c r="AG64" i="7"/>
  <c r="R64" i="7"/>
  <c r="C64" i="7"/>
  <c r="AG63" i="7"/>
  <c r="R63" i="7"/>
  <c r="C63" i="7"/>
  <c r="AG62" i="7"/>
  <c r="R62" i="7"/>
  <c r="C62" i="7"/>
  <c r="AG61" i="7"/>
  <c r="R61" i="7"/>
  <c r="C61" i="7"/>
  <c r="AG60" i="7"/>
  <c r="R60" i="7"/>
  <c r="C60" i="7"/>
  <c r="AG59" i="7"/>
  <c r="R59" i="7"/>
  <c r="C59" i="7"/>
  <c r="AG58" i="7"/>
  <c r="R58" i="7"/>
  <c r="C58" i="7"/>
  <c r="AG57" i="7"/>
  <c r="R57" i="7"/>
  <c r="C57" i="7"/>
  <c r="AG56" i="7"/>
  <c r="R56" i="7"/>
  <c r="C56" i="7"/>
  <c r="AG55" i="7"/>
  <c r="R55" i="7"/>
  <c r="C55" i="7"/>
  <c r="AG54" i="7"/>
  <c r="R54" i="7"/>
  <c r="C54" i="7"/>
  <c r="AG53" i="7"/>
  <c r="R53" i="7"/>
  <c r="C53" i="7"/>
  <c r="AG52" i="7"/>
  <c r="R52" i="7"/>
  <c r="C52" i="7"/>
  <c r="AG51" i="7"/>
  <c r="R51" i="7"/>
  <c r="C51" i="7"/>
  <c r="AG50" i="7"/>
  <c r="R50" i="7"/>
  <c r="C50" i="7"/>
  <c r="AG49" i="7"/>
  <c r="R49" i="7"/>
  <c r="C49" i="7"/>
  <c r="AG48" i="7"/>
  <c r="R48" i="7"/>
  <c r="C48" i="7"/>
  <c r="AG47" i="7"/>
  <c r="R47" i="7"/>
  <c r="C47" i="7"/>
  <c r="AG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42" i="7"/>
  <c r="AG43" i="7"/>
  <c r="AG44" i="7"/>
  <c r="AG4" i="7"/>
  <c r="B4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" i="7"/>
  <c r="B12" i="8"/>
  <c r="B13" i="8" s="1"/>
  <c r="C5" i="8"/>
  <c r="B15" i="8" s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" i="7"/>
  <c r="B67" i="1" l="1"/>
  <c r="AG21" i="12"/>
  <c r="AG5" i="12"/>
  <c r="AG9" i="12"/>
  <c r="AG17" i="12"/>
  <c r="AG6" i="12"/>
  <c r="AG4" i="12"/>
  <c r="AG10" i="12"/>
  <c r="AG18" i="12"/>
  <c r="AG7" i="12"/>
  <c r="AG19" i="12"/>
  <c r="AG15" i="12"/>
  <c r="B86" i="7"/>
  <c r="B85" i="7" s="1"/>
  <c r="B84" i="7" s="1"/>
  <c r="AG8" i="12"/>
  <c r="AG20" i="12"/>
  <c r="BA6" i="12"/>
  <c r="BA10" i="12"/>
  <c r="BA19" i="12"/>
  <c r="BA4" i="12"/>
  <c r="M20" i="12"/>
  <c r="BA7" i="12"/>
  <c r="BA20" i="12"/>
  <c r="BA16" i="12"/>
  <c r="BA8" i="12"/>
  <c r="BA15" i="12"/>
  <c r="BA21" i="12"/>
  <c r="BA17" i="12"/>
  <c r="BA9" i="12"/>
  <c r="BA5" i="12"/>
  <c r="BA18" i="12"/>
  <c r="M7" i="12"/>
  <c r="M16" i="12"/>
  <c r="M15" i="12"/>
  <c r="M9" i="12"/>
  <c r="M5" i="12"/>
  <c r="M18" i="12"/>
  <c r="M8" i="12"/>
  <c r="M21" i="12"/>
  <c r="M17" i="12"/>
  <c r="M4" i="12"/>
  <c r="M10" i="12"/>
  <c r="M6" i="12"/>
  <c r="M19" i="12"/>
  <c r="V18" i="12"/>
  <c r="B18" i="12"/>
  <c r="B7" i="12"/>
  <c r="B8" i="12" s="1"/>
  <c r="B9" i="12" s="1"/>
  <c r="B10" i="12" s="1"/>
  <c r="AP18" i="12"/>
  <c r="AP19" i="12" s="1"/>
  <c r="V19" i="12"/>
  <c r="AP7" i="12"/>
  <c r="AP8" i="12" s="1"/>
  <c r="V8" i="12"/>
  <c r="B43" i="7"/>
  <c r="B19" i="12" l="1"/>
  <c r="AP20" i="12"/>
  <c r="V20" i="12"/>
  <c r="AP9" i="12"/>
  <c r="V9" i="12"/>
  <c r="B83" i="7"/>
  <c r="B42" i="7"/>
  <c r="B37" i="2"/>
  <c r="B47" i="1" s="1"/>
  <c r="B20" i="12" l="1"/>
  <c r="B21" i="12" s="1"/>
  <c r="AP21" i="12"/>
  <c r="V21" i="12"/>
  <c r="AP10" i="12"/>
  <c r="V10" i="12"/>
  <c r="B82" i="7"/>
  <c r="B41" i="7"/>
  <c r="B12" i="2"/>
  <c r="D12" i="2"/>
  <c r="C12" i="2"/>
  <c r="B23" i="1"/>
  <c r="B25" i="1" s="1"/>
  <c r="B57" i="1"/>
  <c r="B59" i="1" s="1"/>
  <c r="D4" i="2"/>
  <c r="B4" i="2"/>
  <c r="B81" i="7" l="1"/>
  <c r="B40" i="7"/>
  <c r="C28" i="1"/>
  <c r="B60" i="1"/>
  <c r="B28" i="1"/>
  <c r="D28" i="1"/>
  <c r="B80" i="7" l="1"/>
  <c r="B79" i="7" s="1"/>
  <c r="B39" i="7"/>
  <c r="B78" i="7" l="1"/>
  <c r="B38" i="7"/>
  <c r="B77" i="7" l="1"/>
  <c r="B37" i="7"/>
  <c r="B76" i="7" l="1"/>
  <c r="B36" i="7"/>
  <c r="B75" i="7" l="1"/>
  <c r="B35" i="7"/>
  <c r="B74" i="7" l="1"/>
  <c r="B34" i="7"/>
  <c r="B73" i="7" l="1"/>
  <c r="B33" i="7"/>
  <c r="B72" i="7" l="1"/>
  <c r="B32" i="7"/>
  <c r="B71" i="7" l="1"/>
  <c r="B31" i="7"/>
  <c r="B70" i="7" l="1"/>
  <c r="B30" i="7"/>
  <c r="B69" i="7" l="1"/>
  <c r="B29" i="7"/>
  <c r="B68" i="7" l="1"/>
  <c r="B28" i="7"/>
  <c r="B67" i="7" l="1"/>
  <c r="B27" i="7"/>
  <c r="B66" i="7" l="1"/>
  <c r="B26" i="7"/>
  <c r="B65" i="7" l="1"/>
  <c r="B25" i="7"/>
  <c r="B64" i="7" l="1"/>
  <c r="B24" i="7"/>
  <c r="B63" i="7" l="1"/>
  <c r="B23" i="7"/>
  <c r="B62" i="7" l="1"/>
  <c r="B22" i="7"/>
  <c r="B61" i="7" l="1"/>
  <c r="B21" i="7"/>
  <c r="B60" i="7" l="1"/>
  <c r="B20" i="7"/>
  <c r="B59" i="7" l="1"/>
  <c r="B19" i="7"/>
  <c r="B58" i="7" l="1"/>
  <c r="B18" i="7"/>
  <c r="B57" i="7" l="1"/>
  <c r="B17" i="7"/>
  <c r="B56" i="7" l="1"/>
  <c r="B16" i="7"/>
  <c r="B55" i="7" l="1"/>
  <c r="B15" i="7"/>
  <c r="B54" i="7" l="1"/>
  <c r="B14" i="7"/>
  <c r="B53" i="7" l="1"/>
  <c r="B13" i="7"/>
  <c r="B52" i="7" l="1"/>
  <c r="B12" i="7"/>
  <c r="B51" i="7" l="1"/>
  <c r="B11" i="7"/>
  <c r="B50" i="7" l="1"/>
  <c r="B10" i="7"/>
  <c r="B49" i="7" l="1"/>
  <c r="B9" i="7"/>
  <c r="B48" i="7" l="1"/>
  <c r="B8" i="7"/>
  <c r="B47" i="7" l="1"/>
  <c r="B7" i="7"/>
  <c r="B6" i="7" l="1"/>
  <c r="B5" i="7" l="1"/>
  <c r="B4" i="7" l="1"/>
  <c r="B33" i="1" l="1"/>
  <c r="B34" i="1"/>
  <c r="C34" i="1"/>
  <c r="B35" i="1"/>
  <c r="C35" i="1"/>
  <c r="G4" i="7"/>
  <c r="H4" i="7"/>
  <c r="J4" i="7"/>
  <c r="V4" i="7"/>
  <c r="W4" i="7"/>
  <c r="Y4" i="7"/>
  <c r="AK4" i="7"/>
  <c r="AL4" i="7"/>
  <c r="AN4" i="7"/>
  <c r="G5" i="7"/>
  <c r="H5" i="7"/>
  <c r="J5" i="7"/>
  <c r="V5" i="7"/>
  <c r="W5" i="7"/>
  <c r="Y5" i="7"/>
  <c r="AK5" i="7"/>
  <c r="AL5" i="7"/>
  <c r="AN5" i="7"/>
  <c r="G6" i="7"/>
  <c r="H6" i="7"/>
  <c r="J6" i="7"/>
  <c r="V6" i="7"/>
  <c r="W6" i="7"/>
  <c r="Y6" i="7"/>
  <c r="AK6" i="7"/>
  <c r="AL6" i="7"/>
  <c r="AN6" i="7"/>
  <c r="G7" i="7"/>
  <c r="H7" i="7"/>
  <c r="J7" i="7"/>
  <c r="V7" i="7"/>
  <c r="W7" i="7"/>
  <c r="Y7" i="7"/>
  <c r="AK7" i="7"/>
  <c r="AL7" i="7"/>
  <c r="AN7" i="7"/>
  <c r="G8" i="7"/>
  <c r="H8" i="7"/>
  <c r="J8" i="7"/>
  <c r="V8" i="7"/>
  <c r="W8" i="7"/>
  <c r="Y8" i="7"/>
  <c r="AK8" i="7"/>
  <c r="AL8" i="7"/>
  <c r="AN8" i="7"/>
  <c r="G9" i="7"/>
  <c r="H9" i="7"/>
  <c r="J9" i="7"/>
  <c r="V9" i="7"/>
  <c r="W9" i="7"/>
  <c r="Y9" i="7"/>
  <c r="AK9" i="7"/>
  <c r="AL9" i="7"/>
  <c r="AN9" i="7"/>
  <c r="G10" i="7"/>
  <c r="H10" i="7"/>
  <c r="J10" i="7"/>
  <c r="V10" i="7"/>
  <c r="W10" i="7"/>
  <c r="Y10" i="7"/>
  <c r="AK10" i="7"/>
  <c r="AL10" i="7"/>
  <c r="AN10" i="7"/>
  <c r="G11" i="7"/>
  <c r="H11" i="7"/>
  <c r="J11" i="7"/>
  <c r="V11" i="7"/>
  <c r="W11" i="7"/>
  <c r="Y11" i="7"/>
  <c r="AK11" i="7"/>
  <c r="AL11" i="7"/>
  <c r="AN11" i="7"/>
  <c r="G12" i="7"/>
  <c r="H12" i="7"/>
  <c r="J12" i="7"/>
  <c r="V12" i="7"/>
  <c r="W12" i="7"/>
  <c r="Y12" i="7"/>
  <c r="AK12" i="7"/>
  <c r="AL12" i="7"/>
  <c r="AN12" i="7"/>
  <c r="G13" i="7"/>
  <c r="H13" i="7"/>
  <c r="J13" i="7"/>
  <c r="V13" i="7"/>
  <c r="W13" i="7"/>
  <c r="Y13" i="7"/>
  <c r="AK13" i="7"/>
  <c r="AL13" i="7"/>
  <c r="AN13" i="7"/>
  <c r="G14" i="7"/>
  <c r="H14" i="7"/>
  <c r="J14" i="7"/>
  <c r="V14" i="7"/>
  <c r="W14" i="7"/>
  <c r="Y14" i="7"/>
  <c r="AK14" i="7"/>
  <c r="AL14" i="7"/>
  <c r="AN14" i="7"/>
  <c r="G15" i="7"/>
  <c r="H15" i="7"/>
  <c r="J15" i="7"/>
  <c r="V15" i="7"/>
  <c r="W15" i="7"/>
  <c r="Y15" i="7"/>
  <c r="AK15" i="7"/>
  <c r="AL15" i="7"/>
  <c r="AN15" i="7"/>
  <c r="G16" i="7"/>
  <c r="H16" i="7"/>
  <c r="J16" i="7"/>
  <c r="V16" i="7"/>
  <c r="W16" i="7"/>
  <c r="Y16" i="7"/>
  <c r="AK16" i="7"/>
  <c r="AL16" i="7"/>
  <c r="AN16" i="7"/>
  <c r="G17" i="7"/>
  <c r="H17" i="7"/>
  <c r="J17" i="7"/>
  <c r="V17" i="7"/>
  <c r="W17" i="7"/>
  <c r="Y17" i="7"/>
  <c r="AK17" i="7"/>
  <c r="AL17" i="7"/>
  <c r="AN17" i="7"/>
  <c r="G18" i="7"/>
  <c r="H18" i="7"/>
  <c r="J18" i="7"/>
  <c r="V18" i="7"/>
  <c r="W18" i="7"/>
  <c r="Y18" i="7"/>
  <c r="AK18" i="7"/>
  <c r="AL18" i="7"/>
  <c r="AN18" i="7"/>
  <c r="G19" i="7"/>
  <c r="H19" i="7"/>
  <c r="J19" i="7"/>
  <c r="V19" i="7"/>
  <c r="W19" i="7"/>
  <c r="Y19" i="7"/>
  <c r="AK19" i="7"/>
  <c r="AL19" i="7"/>
  <c r="AN19" i="7"/>
  <c r="G20" i="7"/>
  <c r="H20" i="7"/>
  <c r="J20" i="7"/>
  <c r="V20" i="7"/>
  <c r="W20" i="7"/>
  <c r="Y20" i="7"/>
  <c r="AK20" i="7"/>
  <c r="AL20" i="7"/>
  <c r="AN20" i="7"/>
  <c r="G21" i="7"/>
  <c r="H21" i="7"/>
  <c r="J21" i="7"/>
  <c r="V21" i="7"/>
  <c r="W21" i="7"/>
  <c r="Y21" i="7"/>
  <c r="AK21" i="7"/>
  <c r="AL21" i="7"/>
  <c r="AN21" i="7"/>
  <c r="G22" i="7"/>
  <c r="H22" i="7"/>
  <c r="J22" i="7"/>
  <c r="V22" i="7"/>
  <c r="W22" i="7"/>
  <c r="Y22" i="7"/>
  <c r="AK22" i="7"/>
  <c r="AL22" i="7"/>
  <c r="AN22" i="7"/>
  <c r="G23" i="7"/>
  <c r="H23" i="7"/>
  <c r="J23" i="7"/>
  <c r="V23" i="7"/>
  <c r="W23" i="7"/>
  <c r="Y23" i="7"/>
  <c r="AK23" i="7"/>
  <c r="AL23" i="7"/>
  <c r="AN23" i="7"/>
  <c r="G24" i="7"/>
  <c r="H24" i="7"/>
  <c r="J24" i="7"/>
  <c r="V24" i="7"/>
  <c r="W24" i="7"/>
  <c r="Y24" i="7"/>
  <c r="AK24" i="7"/>
  <c r="AL24" i="7"/>
  <c r="AN24" i="7"/>
  <c r="G25" i="7"/>
  <c r="H25" i="7"/>
  <c r="J25" i="7"/>
  <c r="V25" i="7"/>
  <c r="W25" i="7"/>
  <c r="Y25" i="7"/>
  <c r="AK25" i="7"/>
  <c r="AL25" i="7"/>
  <c r="AN25" i="7"/>
  <c r="G26" i="7"/>
  <c r="H26" i="7"/>
  <c r="J26" i="7"/>
  <c r="V26" i="7"/>
  <c r="W26" i="7"/>
  <c r="Y26" i="7"/>
  <c r="AK26" i="7"/>
  <c r="AL26" i="7"/>
  <c r="AN26" i="7"/>
  <c r="G27" i="7"/>
  <c r="H27" i="7"/>
  <c r="J27" i="7"/>
  <c r="V27" i="7"/>
  <c r="W27" i="7"/>
  <c r="Y27" i="7"/>
  <c r="AK27" i="7"/>
  <c r="AL27" i="7"/>
  <c r="AN27" i="7"/>
  <c r="G28" i="7"/>
  <c r="H28" i="7"/>
  <c r="J28" i="7"/>
  <c r="V28" i="7"/>
  <c r="W28" i="7"/>
  <c r="Y28" i="7"/>
  <c r="AK28" i="7"/>
  <c r="AL28" i="7"/>
  <c r="AN28" i="7"/>
  <c r="G29" i="7"/>
  <c r="H29" i="7"/>
  <c r="J29" i="7"/>
  <c r="V29" i="7"/>
  <c r="W29" i="7"/>
  <c r="Y29" i="7"/>
  <c r="AK29" i="7"/>
  <c r="AL29" i="7"/>
  <c r="AN29" i="7"/>
  <c r="G30" i="7"/>
  <c r="H30" i="7"/>
  <c r="J30" i="7"/>
  <c r="V30" i="7"/>
  <c r="W30" i="7"/>
  <c r="Y30" i="7"/>
  <c r="AK30" i="7"/>
  <c r="AL30" i="7"/>
  <c r="AN30" i="7"/>
  <c r="G31" i="7"/>
  <c r="H31" i="7"/>
  <c r="J31" i="7"/>
  <c r="V31" i="7"/>
  <c r="W31" i="7"/>
  <c r="Y31" i="7"/>
  <c r="AK31" i="7"/>
  <c r="AL31" i="7"/>
  <c r="AN31" i="7"/>
  <c r="G32" i="7"/>
  <c r="H32" i="7"/>
  <c r="J32" i="7"/>
  <c r="V32" i="7"/>
  <c r="W32" i="7"/>
  <c r="Y32" i="7"/>
  <c r="AK32" i="7"/>
  <c r="AL32" i="7"/>
  <c r="AN32" i="7"/>
  <c r="G33" i="7"/>
  <c r="H33" i="7"/>
  <c r="J33" i="7"/>
  <c r="V33" i="7"/>
  <c r="W33" i="7"/>
  <c r="Y33" i="7"/>
  <c r="AK33" i="7"/>
  <c r="AL33" i="7"/>
  <c r="AN33" i="7"/>
  <c r="G34" i="7"/>
  <c r="H34" i="7"/>
  <c r="J34" i="7"/>
  <c r="V34" i="7"/>
  <c r="W34" i="7"/>
  <c r="Y34" i="7"/>
  <c r="AK34" i="7"/>
  <c r="AL34" i="7"/>
  <c r="AN34" i="7"/>
  <c r="G35" i="7"/>
  <c r="H35" i="7"/>
  <c r="J35" i="7"/>
  <c r="V35" i="7"/>
  <c r="W35" i="7"/>
  <c r="Y35" i="7"/>
  <c r="AK35" i="7"/>
  <c r="AL35" i="7"/>
  <c r="AN35" i="7"/>
  <c r="G36" i="7"/>
  <c r="H36" i="7"/>
  <c r="J36" i="7"/>
  <c r="V36" i="7"/>
  <c r="W36" i="7"/>
  <c r="Y36" i="7"/>
  <c r="AK36" i="7"/>
  <c r="AL36" i="7"/>
  <c r="AN36" i="7"/>
  <c r="G37" i="7"/>
  <c r="H37" i="7"/>
  <c r="J37" i="7"/>
  <c r="V37" i="7"/>
  <c r="W37" i="7"/>
  <c r="Y37" i="7"/>
  <c r="AK37" i="7"/>
  <c r="AL37" i="7"/>
  <c r="AN37" i="7"/>
  <c r="G38" i="7"/>
  <c r="H38" i="7"/>
  <c r="J38" i="7"/>
  <c r="V38" i="7"/>
  <c r="W38" i="7"/>
  <c r="Y38" i="7"/>
  <c r="AK38" i="7"/>
  <c r="AL38" i="7"/>
  <c r="AN38" i="7"/>
  <c r="G39" i="7"/>
  <c r="H39" i="7"/>
  <c r="J39" i="7"/>
  <c r="V39" i="7"/>
  <c r="W39" i="7"/>
  <c r="Y39" i="7"/>
  <c r="AK39" i="7"/>
  <c r="AL39" i="7"/>
  <c r="AN39" i="7"/>
  <c r="G40" i="7"/>
  <c r="H40" i="7"/>
  <c r="J40" i="7"/>
  <c r="V40" i="7"/>
  <c r="W40" i="7"/>
  <c r="Y40" i="7"/>
  <c r="AK40" i="7"/>
  <c r="AL40" i="7"/>
  <c r="AN40" i="7"/>
  <c r="G41" i="7"/>
  <c r="H41" i="7"/>
  <c r="J41" i="7"/>
  <c r="V41" i="7"/>
  <c r="W41" i="7"/>
  <c r="Y41" i="7"/>
  <c r="AK41" i="7"/>
  <c r="AL41" i="7"/>
  <c r="AN41" i="7"/>
  <c r="G42" i="7"/>
  <c r="H42" i="7"/>
  <c r="J42" i="7"/>
  <c r="V42" i="7"/>
  <c r="W42" i="7"/>
  <c r="Y42" i="7"/>
  <c r="AK42" i="7"/>
  <c r="AL42" i="7"/>
  <c r="AN42" i="7"/>
  <c r="G43" i="7"/>
  <c r="H43" i="7"/>
  <c r="J43" i="7"/>
  <c r="V43" i="7"/>
  <c r="W43" i="7"/>
  <c r="Y43" i="7"/>
  <c r="AK43" i="7"/>
  <c r="AL43" i="7"/>
  <c r="AN43" i="7"/>
  <c r="G44" i="7"/>
  <c r="H44" i="7"/>
  <c r="J44" i="7"/>
  <c r="V44" i="7"/>
  <c r="W44" i="7"/>
  <c r="Y44" i="7"/>
  <c r="AK44" i="7"/>
  <c r="AL44" i="7"/>
  <c r="AN44" i="7"/>
  <c r="G47" i="7"/>
  <c r="H47" i="7"/>
  <c r="J47" i="7"/>
  <c r="V47" i="7"/>
  <c r="W47" i="7"/>
  <c r="Y47" i="7"/>
  <c r="AK47" i="7"/>
  <c r="AL47" i="7"/>
  <c r="AN47" i="7"/>
  <c r="G48" i="7"/>
  <c r="H48" i="7"/>
  <c r="J48" i="7"/>
  <c r="V48" i="7"/>
  <c r="W48" i="7"/>
  <c r="Y48" i="7"/>
  <c r="AK48" i="7"/>
  <c r="AL48" i="7"/>
  <c r="AN48" i="7"/>
  <c r="G49" i="7"/>
  <c r="H49" i="7"/>
  <c r="J49" i="7"/>
  <c r="V49" i="7"/>
  <c r="W49" i="7"/>
  <c r="Y49" i="7"/>
  <c r="AK49" i="7"/>
  <c r="AL49" i="7"/>
  <c r="AN49" i="7"/>
  <c r="G50" i="7"/>
  <c r="H50" i="7"/>
  <c r="J50" i="7"/>
  <c r="V50" i="7"/>
  <c r="W50" i="7"/>
  <c r="Y50" i="7"/>
  <c r="AK50" i="7"/>
  <c r="AL50" i="7"/>
  <c r="AN50" i="7"/>
  <c r="G51" i="7"/>
  <c r="H51" i="7"/>
  <c r="J51" i="7"/>
  <c r="V51" i="7"/>
  <c r="W51" i="7"/>
  <c r="Y51" i="7"/>
  <c r="AK51" i="7"/>
  <c r="AL51" i="7"/>
  <c r="AN51" i="7"/>
  <c r="G52" i="7"/>
  <c r="H52" i="7"/>
  <c r="J52" i="7"/>
  <c r="V52" i="7"/>
  <c r="W52" i="7"/>
  <c r="Y52" i="7"/>
  <c r="AK52" i="7"/>
  <c r="AL52" i="7"/>
  <c r="AN52" i="7"/>
  <c r="G53" i="7"/>
  <c r="H53" i="7"/>
  <c r="J53" i="7"/>
  <c r="V53" i="7"/>
  <c r="W53" i="7"/>
  <c r="Y53" i="7"/>
  <c r="AK53" i="7"/>
  <c r="AL53" i="7"/>
  <c r="AN53" i="7"/>
  <c r="G54" i="7"/>
  <c r="H54" i="7"/>
  <c r="J54" i="7"/>
  <c r="V54" i="7"/>
  <c r="W54" i="7"/>
  <c r="Y54" i="7"/>
  <c r="AK54" i="7"/>
  <c r="AL54" i="7"/>
  <c r="AN54" i="7"/>
  <c r="G55" i="7"/>
  <c r="H55" i="7"/>
  <c r="J55" i="7"/>
  <c r="V55" i="7"/>
  <c r="W55" i="7"/>
  <c r="Y55" i="7"/>
  <c r="AK55" i="7"/>
  <c r="AL55" i="7"/>
  <c r="AN55" i="7"/>
  <c r="G56" i="7"/>
  <c r="H56" i="7"/>
  <c r="J56" i="7"/>
  <c r="V56" i="7"/>
  <c r="W56" i="7"/>
  <c r="Y56" i="7"/>
  <c r="AK56" i="7"/>
  <c r="AL56" i="7"/>
  <c r="AN56" i="7"/>
  <c r="G57" i="7"/>
  <c r="H57" i="7"/>
  <c r="J57" i="7"/>
  <c r="V57" i="7"/>
  <c r="W57" i="7"/>
  <c r="Y57" i="7"/>
  <c r="AK57" i="7"/>
  <c r="AL57" i="7"/>
  <c r="AN57" i="7"/>
  <c r="G58" i="7"/>
  <c r="H58" i="7"/>
  <c r="J58" i="7"/>
  <c r="V58" i="7"/>
  <c r="W58" i="7"/>
  <c r="Y58" i="7"/>
  <c r="AK58" i="7"/>
  <c r="AL58" i="7"/>
  <c r="AN58" i="7"/>
  <c r="G59" i="7"/>
  <c r="H59" i="7"/>
  <c r="J59" i="7"/>
  <c r="V59" i="7"/>
  <c r="W59" i="7"/>
  <c r="Y59" i="7"/>
  <c r="AK59" i="7"/>
  <c r="AL59" i="7"/>
  <c r="AN59" i="7"/>
  <c r="G60" i="7"/>
  <c r="H60" i="7"/>
  <c r="J60" i="7"/>
  <c r="V60" i="7"/>
  <c r="W60" i="7"/>
  <c r="Y60" i="7"/>
  <c r="AK60" i="7"/>
  <c r="AL60" i="7"/>
  <c r="AN60" i="7"/>
  <c r="G61" i="7"/>
  <c r="H61" i="7"/>
  <c r="J61" i="7"/>
  <c r="V61" i="7"/>
  <c r="W61" i="7"/>
  <c r="Y61" i="7"/>
  <c r="AK61" i="7"/>
  <c r="AL61" i="7"/>
  <c r="AN61" i="7"/>
  <c r="G62" i="7"/>
  <c r="H62" i="7"/>
  <c r="J62" i="7"/>
  <c r="V62" i="7"/>
  <c r="W62" i="7"/>
  <c r="Y62" i="7"/>
  <c r="AK62" i="7"/>
  <c r="AL62" i="7"/>
  <c r="AN62" i="7"/>
  <c r="G63" i="7"/>
  <c r="H63" i="7"/>
  <c r="J63" i="7"/>
  <c r="V63" i="7"/>
  <c r="W63" i="7"/>
  <c r="Y63" i="7"/>
  <c r="AK63" i="7"/>
  <c r="AL63" i="7"/>
  <c r="AN63" i="7"/>
  <c r="G64" i="7"/>
  <c r="H64" i="7"/>
  <c r="J64" i="7"/>
  <c r="V64" i="7"/>
  <c r="W64" i="7"/>
  <c r="Y64" i="7"/>
  <c r="AK64" i="7"/>
  <c r="AL64" i="7"/>
  <c r="AN64" i="7"/>
  <c r="G65" i="7"/>
  <c r="H65" i="7"/>
  <c r="J65" i="7"/>
  <c r="V65" i="7"/>
  <c r="W65" i="7"/>
  <c r="Y65" i="7"/>
  <c r="AK65" i="7"/>
  <c r="AL65" i="7"/>
  <c r="AN65" i="7"/>
  <c r="G66" i="7"/>
  <c r="H66" i="7"/>
  <c r="J66" i="7"/>
  <c r="V66" i="7"/>
  <c r="W66" i="7"/>
  <c r="Y66" i="7"/>
  <c r="AK66" i="7"/>
  <c r="AL66" i="7"/>
  <c r="AN66" i="7"/>
  <c r="G67" i="7"/>
  <c r="H67" i="7"/>
  <c r="J67" i="7"/>
  <c r="V67" i="7"/>
  <c r="W67" i="7"/>
  <c r="Y67" i="7"/>
  <c r="AK67" i="7"/>
  <c r="AL67" i="7"/>
  <c r="AN67" i="7"/>
  <c r="G68" i="7"/>
  <c r="H68" i="7"/>
  <c r="J68" i="7"/>
  <c r="V68" i="7"/>
  <c r="W68" i="7"/>
  <c r="Y68" i="7"/>
  <c r="AK68" i="7"/>
  <c r="AL68" i="7"/>
  <c r="AN68" i="7"/>
  <c r="G69" i="7"/>
  <c r="H69" i="7"/>
  <c r="J69" i="7"/>
  <c r="V69" i="7"/>
  <c r="W69" i="7"/>
  <c r="Y69" i="7"/>
  <c r="AK69" i="7"/>
  <c r="AL69" i="7"/>
  <c r="AN69" i="7"/>
  <c r="G70" i="7"/>
  <c r="H70" i="7"/>
  <c r="J70" i="7"/>
  <c r="V70" i="7"/>
  <c r="W70" i="7"/>
  <c r="Y70" i="7"/>
  <c r="AK70" i="7"/>
  <c r="AL70" i="7"/>
  <c r="AN70" i="7"/>
  <c r="G71" i="7"/>
  <c r="H71" i="7"/>
  <c r="J71" i="7"/>
  <c r="V71" i="7"/>
  <c r="W71" i="7"/>
  <c r="Y71" i="7"/>
  <c r="AK71" i="7"/>
  <c r="AL71" i="7"/>
  <c r="AN71" i="7"/>
  <c r="G72" i="7"/>
  <c r="H72" i="7"/>
  <c r="J72" i="7"/>
  <c r="V72" i="7"/>
  <c r="W72" i="7"/>
  <c r="Y72" i="7"/>
  <c r="AK72" i="7"/>
  <c r="AL72" i="7"/>
  <c r="AN72" i="7"/>
  <c r="G73" i="7"/>
  <c r="H73" i="7"/>
  <c r="J73" i="7"/>
  <c r="V73" i="7"/>
  <c r="W73" i="7"/>
  <c r="Y73" i="7"/>
  <c r="AK73" i="7"/>
  <c r="AL73" i="7"/>
  <c r="AN73" i="7"/>
  <c r="G74" i="7"/>
  <c r="H74" i="7"/>
  <c r="J74" i="7"/>
  <c r="V74" i="7"/>
  <c r="W74" i="7"/>
  <c r="Y74" i="7"/>
  <c r="AK74" i="7"/>
  <c r="AL74" i="7"/>
  <c r="AN74" i="7"/>
  <c r="G75" i="7"/>
  <c r="H75" i="7"/>
  <c r="J75" i="7"/>
  <c r="V75" i="7"/>
  <c r="W75" i="7"/>
  <c r="Y75" i="7"/>
  <c r="AK75" i="7"/>
  <c r="AL75" i="7"/>
  <c r="AN75" i="7"/>
  <c r="G76" i="7"/>
  <c r="H76" i="7"/>
  <c r="J76" i="7"/>
  <c r="V76" i="7"/>
  <c r="W76" i="7"/>
  <c r="Y76" i="7"/>
  <c r="AK76" i="7"/>
  <c r="AL76" i="7"/>
  <c r="AN76" i="7"/>
  <c r="G77" i="7"/>
  <c r="H77" i="7"/>
  <c r="J77" i="7"/>
  <c r="V77" i="7"/>
  <c r="W77" i="7"/>
  <c r="Y77" i="7"/>
  <c r="AK77" i="7"/>
  <c r="AL77" i="7"/>
  <c r="AN77" i="7"/>
  <c r="G78" i="7"/>
  <c r="H78" i="7"/>
  <c r="J78" i="7"/>
  <c r="V78" i="7"/>
  <c r="W78" i="7"/>
  <c r="Y78" i="7"/>
  <c r="AK78" i="7"/>
  <c r="AL78" i="7"/>
  <c r="AN78" i="7"/>
  <c r="G79" i="7"/>
  <c r="H79" i="7"/>
  <c r="J79" i="7"/>
  <c r="V79" i="7"/>
  <c r="W79" i="7"/>
  <c r="Y79" i="7"/>
  <c r="AK79" i="7"/>
  <c r="AL79" i="7"/>
  <c r="AN79" i="7"/>
  <c r="G80" i="7"/>
  <c r="H80" i="7"/>
  <c r="J80" i="7"/>
  <c r="V80" i="7"/>
  <c r="W80" i="7"/>
  <c r="Y80" i="7"/>
  <c r="AK80" i="7"/>
  <c r="AL80" i="7"/>
  <c r="AN80" i="7"/>
  <c r="G81" i="7"/>
  <c r="H81" i="7"/>
  <c r="J81" i="7"/>
  <c r="V81" i="7"/>
  <c r="W81" i="7"/>
  <c r="Y81" i="7"/>
  <c r="AK81" i="7"/>
  <c r="AL81" i="7"/>
  <c r="AN81" i="7"/>
  <c r="G82" i="7"/>
  <c r="H82" i="7"/>
  <c r="J82" i="7"/>
  <c r="V82" i="7"/>
  <c r="W82" i="7"/>
  <c r="Y82" i="7"/>
  <c r="AK82" i="7"/>
  <c r="AL82" i="7"/>
  <c r="AN82" i="7"/>
  <c r="G83" i="7"/>
  <c r="H83" i="7"/>
  <c r="J83" i="7"/>
  <c r="V83" i="7"/>
  <c r="W83" i="7"/>
  <c r="Y83" i="7"/>
  <c r="AK83" i="7"/>
  <c r="AL83" i="7"/>
  <c r="AN83" i="7"/>
  <c r="G84" i="7"/>
  <c r="H84" i="7"/>
  <c r="J84" i="7"/>
  <c r="V84" i="7"/>
  <c r="W84" i="7"/>
  <c r="Y84" i="7"/>
  <c r="AK84" i="7"/>
  <c r="AL84" i="7"/>
  <c r="AN84" i="7"/>
  <c r="G85" i="7"/>
  <c r="H85" i="7"/>
  <c r="J85" i="7"/>
  <c r="V85" i="7"/>
  <c r="W85" i="7"/>
  <c r="Y85" i="7"/>
  <c r="AK85" i="7"/>
  <c r="AL85" i="7"/>
  <c r="AN85" i="7"/>
  <c r="G86" i="7"/>
  <c r="H86" i="7"/>
  <c r="J86" i="7"/>
  <c r="V86" i="7"/>
  <c r="W86" i="7"/>
  <c r="Y86" i="7"/>
  <c r="AK86" i="7"/>
  <c r="AL86" i="7"/>
  <c r="AN86" i="7"/>
  <c r="G87" i="7"/>
  <c r="H87" i="7"/>
  <c r="J87" i="7"/>
  <c r="V87" i="7"/>
  <c r="W87" i="7"/>
  <c r="Y87" i="7"/>
  <c r="AK87" i="7"/>
  <c r="AL87" i="7"/>
  <c r="AN87" i="7"/>
  <c r="F4" i="12"/>
  <c r="G4" i="12"/>
  <c r="I4" i="12"/>
  <c r="Z4" i="12"/>
  <c r="AA4" i="12"/>
  <c r="AC4" i="12"/>
  <c r="AT4" i="12"/>
  <c r="AU4" i="12"/>
  <c r="AW4" i="12"/>
  <c r="F5" i="12"/>
  <c r="G5" i="12"/>
  <c r="I5" i="12"/>
  <c r="Z5" i="12"/>
  <c r="AA5" i="12"/>
  <c r="AC5" i="12"/>
  <c r="AT5" i="12"/>
  <c r="AU5" i="12"/>
  <c r="AW5" i="12"/>
  <c r="F6" i="12"/>
  <c r="G6" i="12"/>
  <c r="I6" i="12"/>
  <c r="Z6" i="12"/>
  <c r="AA6" i="12"/>
  <c r="AC6" i="12"/>
  <c r="AT6" i="12"/>
  <c r="AU6" i="12"/>
  <c r="AW6" i="12"/>
  <c r="F7" i="12"/>
  <c r="G7" i="12"/>
  <c r="I7" i="12"/>
  <c r="Z7" i="12"/>
  <c r="AA7" i="12"/>
  <c r="AC7" i="12"/>
  <c r="AT7" i="12"/>
  <c r="AU7" i="12"/>
  <c r="AW7" i="12"/>
  <c r="F8" i="12"/>
  <c r="G8" i="12"/>
  <c r="I8" i="12"/>
  <c r="Z8" i="12"/>
  <c r="AA8" i="12"/>
  <c r="AC8" i="12"/>
  <c r="AT8" i="12"/>
  <c r="AU8" i="12"/>
  <c r="AW8" i="12"/>
  <c r="F9" i="12"/>
  <c r="G9" i="12"/>
  <c r="I9" i="12"/>
  <c r="Z9" i="12"/>
  <c r="AA9" i="12"/>
  <c r="AC9" i="12"/>
  <c r="AT9" i="12"/>
  <c r="AU9" i="12"/>
  <c r="AW9" i="12"/>
  <c r="F10" i="12"/>
  <c r="G10" i="12"/>
  <c r="I10" i="12"/>
  <c r="Z10" i="12"/>
  <c r="AA10" i="12"/>
  <c r="AC10" i="12"/>
  <c r="AT10" i="12"/>
  <c r="AU10" i="12"/>
  <c r="AW10" i="12"/>
  <c r="F15" i="12"/>
  <c r="G15" i="12"/>
  <c r="I15" i="12"/>
  <c r="Z15" i="12"/>
  <c r="AA15" i="12"/>
  <c r="AC15" i="12"/>
  <c r="AT15" i="12"/>
  <c r="AU15" i="12"/>
  <c r="AW15" i="12"/>
  <c r="F16" i="12"/>
  <c r="G16" i="12"/>
  <c r="I16" i="12"/>
  <c r="Z16" i="12"/>
  <c r="AA16" i="12"/>
  <c r="AC16" i="12"/>
  <c r="AT16" i="12"/>
  <c r="AU16" i="12"/>
  <c r="AW16" i="12"/>
  <c r="F17" i="12"/>
  <c r="G17" i="12"/>
  <c r="I17" i="12"/>
  <c r="Z17" i="12"/>
  <c r="AA17" i="12"/>
  <c r="AC17" i="12"/>
  <c r="AT17" i="12"/>
  <c r="AU17" i="12"/>
  <c r="AW17" i="12"/>
  <c r="F18" i="12"/>
  <c r="G18" i="12"/>
  <c r="I18" i="12"/>
  <c r="Z18" i="12"/>
  <c r="AA18" i="12"/>
  <c r="AC18" i="12"/>
  <c r="AT18" i="12"/>
  <c r="AU18" i="12"/>
  <c r="AW18" i="12"/>
  <c r="F19" i="12"/>
  <c r="G19" i="12"/>
  <c r="I19" i="12"/>
  <c r="Z19" i="12"/>
  <c r="AA19" i="12"/>
  <c r="AC19" i="12"/>
  <c r="AT19" i="12"/>
  <c r="AU19" i="12"/>
  <c r="AW19" i="12"/>
  <c r="F20" i="12"/>
  <c r="G20" i="12"/>
  <c r="I20" i="12"/>
  <c r="Z20" i="12"/>
  <c r="AA20" i="12"/>
  <c r="AC20" i="12"/>
  <c r="AT20" i="12"/>
  <c r="AU20" i="12"/>
  <c r="AW20" i="12"/>
  <c r="F21" i="12"/>
  <c r="G21" i="12"/>
  <c r="I21" i="12"/>
  <c r="Z21" i="12"/>
  <c r="AA21" i="12"/>
  <c r="AC21" i="12"/>
  <c r="AT21" i="12"/>
  <c r="AU21" i="12"/>
  <c r="AW21" i="12"/>
  <c r="B17" i="8"/>
  <c r="B29" i="1" l="1"/>
  <c r="C29" i="1"/>
  <c r="D29" i="1"/>
  <c r="B31" i="1"/>
  <c r="E32" i="1"/>
  <c r="B36" i="1"/>
  <c r="B38" i="1"/>
  <c r="B41" i="1"/>
  <c r="B42" i="1"/>
  <c r="B43" i="1"/>
  <c r="B44" i="1"/>
  <c r="B50" i="1"/>
  <c r="B52" i="1"/>
  <c r="B54" i="1"/>
  <c r="B55" i="1"/>
  <c r="B64" i="1"/>
  <c r="B65" i="1"/>
  <c r="B69" i="1"/>
  <c r="D4" i="7"/>
  <c r="E4" i="7"/>
  <c r="F4" i="7"/>
  <c r="I4" i="7"/>
  <c r="K4" i="7"/>
  <c r="L4" i="7"/>
  <c r="M4" i="7"/>
  <c r="N4" i="7"/>
  <c r="O4" i="7"/>
  <c r="P4" i="7"/>
  <c r="Q4" i="7"/>
  <c r="S4" i="7"/>
  <c r="T4" i="7"/>
  <c r="U4" i="7"/>
  <c r="X4" i="7"/>
  <c r="Z4" i="7"/>
  <c r="AA4" i="7"/>
  <c r="AB4" i="7"/>
  <c r="AC4" i="7"/>
  <c r="AD4" i="7"/>
  <c r="AE4" i="7"/>
  <c r="AF4" i="7"/>
  <c r="AH4" i="7"/>
  <c r="AI4" i="7"/>
  <c r="AJ4" i="7"/>
  <c r="AM4" i="7"/>
  <c r="AO4" i="7"/>
  <c r="AP4" i="7"/>
  <c r="AQ4" i="7"/>
  <c r="AR4" i="7"/>
  <c r="AS4" i="7"/>
  <c r="AT4" i="7"/>
  <c r="AU4" i="7"/>
  <c r="D5" i="7"/>
  <c r="E5" i="7"/>
  <c r="F5" i="7"/>
  <c r="I5" i="7"/>
  <c r="K5" i="7"/>
  <c r="L5" i="7"/>
  <c r="M5" i="7"/>
  <c r="N5" i="7"/>
  <c r="O5" i="7"/>
  <c r="P5" i="7"/>
  <c r="Q5" i="7"/>
  <c r="S5" i="7"/>
  <c r="T5" i="7"/>
  <c r="U5" i="7"/>
  <c r="X5" i="7"/>
  <c r="Z5" i="7"/>
  <c r="AA5" i="7"/>
  <c r="AB5" i="7"/>
  <c r="AC5" i="7"/>
  <c r="AD5" i="7"/>
  <c r="AE5" i="7"/>
  <c r="AF5" i="7"/>
  <c r="AH5" i="7"/>
  <c r="AI5" i="7"/>
  <c r="AJ5" i="7"/>
  <c r="AM5" i="7"/>
  <c r="AO5" i="7"/>
  <c r="AP5" i="7"/>
  <c r="AQ5" i="7"/>
  <c r="AR5" i="7"/>
  <c r="AS5" i="7"/>
  <c r="AT5" i="7"/>
  <c r="AU5" i="7"/>
  <c r="D6" i="7"/>
  <c r="E6" i="7"/>
  <c r="F6" i="7"/>
  <c r="I6" i="7"/>
  <c r="K6" i="7"/>
  <c r="L6" i="7"/>
  <c r="M6" i="7"/>
  <c r="N6" i="7"/>
  <c r="O6" i="7"/>
  <c r="P6" i="7"/>
  <c r="Q6" i="7"/>
  <c r="S6" i="7"/>
  <c r="T6" i="7"/>
  <c r="U6" i="7"/>
  <c r="X6" i="7"/>
  <c r="Z6" i="7"/>
  <c r="AA6" i="7"/>
  <c r="AB6" i="7"/>
  <c r="AC6" i="7"/>
  <c r="AD6" i="7"/>
  <c r="AE6" i="7"/>
  <c r="AF6" i="7"/>
  <c r="AH6" i="7"/>
  <c r="AI6" i="7"/>
  <c r="AJ6" i="7"/>
  <c r="AM6" i="7"/>
  <c r="AO6" i="7"/>
  <c r="AP6" i="7"/>
  <c r="AQ6" i="7"/>
  <c r="AR6" i="7"/>
  <c r="AS6" i="7"/>
  <c r="AT6" i="7"/>
  <c r="AU6" i="7"/>
  <c r="D7" i="7"/>
  <c r="E7" i="7"/>
  <c r="F7" i="7"/>
  <c r="I7" i="7"/>
  <c r="K7" i="7"/>
  <c r="L7" i="7"/>
  <c r="M7" i="7"/>
  <c r="N7" i="7"/>
  <c r="O7" i="7"/>
  <c r="P7" i="7"/>
  <c r="Q7" i="7"/>
  <c r="S7" i="7"/>
  <c r="T7" i="7"/>
  <c r="U7" i="7"/>
  <c r="X7" i="7"/>
  <c r="Z7" i="7"/>
  <c r="AA7" i="7"/>
  <c r="AB7" i="7"/>
  <c r="AC7" i="7"/>
  <c r="AD7" i="7"/>
  <c r="AE7" i="7"/>
  <c r="AF7" i="7"/>
  <c r="AH7" i="7"/>
  <c r="AI7" i="7"/>
  <c r="AJ7" i="7"/>
  <c r="AM7" i="7"/>
  <c r="AO7" i="7"/>
  <c r="AP7" i="7"/>
  <c r="AQ7" i="7"/>
  <c r="AR7" i="7"/>
  <c r="AS7" i="7"/>
  <c r="AT7" i="7"/>
  <c r="AU7" i="7"/>
  <c r="D8" i="7"/>
  <c r="E8" i="7"/>
  <c r="F8" i="7"/>
  <c r="I8" i="7"/>
  <c r="K8" i="7"/>
  <c r="L8" i="7"/>
  <c r="M8" i="7"/>
  <c r="N8" i="7"/>
  <c r="O8" i="7"/>
  <c r="P8" i="7"/>
  <c r="Q8" i="7"/>
  <c r="S8" i="7"/>
  <c r="T8" i="7"/>
  <c r="U8" i="7"/>
  <c r="X8" i="7"/>
  <c r="Z8" i="7"/>
  <c r="AA8" i="7"/>
  <c r="AB8" i="7"/>
  <c r="AC8" i="7"/>
  <c r="AD8" i="7"/>
  <c r="AE8" i="7"/>
  <c r="AF8" i="7"/>
  <c r="AH8" i="7"/>
  <c r="AI8" i="7"/>
  <c r="AJ8" i="7"/>
  <c r="AM8" i="7"/>
  <c r="AO8" i="7"/>
  <c r="AP8" i="7"/>
  <c r="AQ8" i="7"/>
  <c r="AR8" i="7"/>
  <c r="AS8" i="7"/>
  <c r="AT8" i="7"/>
  <c r="AU8" i="7"/>
  <c r="D9" i="7"/>
  <c r="E9" i="7"/>
  <c r="F9" i="7"/>
  <c r="I9" i="7"/>
  <c r="K9" i="7"/>
  <c r="L9" i="7"/>
  <c r="M9" i="7"/>
  <c r="N9" i="7"/>
  <c r="O9" i="7"/>
  <c r="P9" i="7"/>
  <c r="Q9" i="7"/>
  <c r="S9" i="7"/>
  <c r="T9" i="7"/>
  <c r="U9" i="7"/>
  <c r="X9" i="7"/>
  <c r="Z9" i="7"/>
  <c r="AA9" i="7"/>
  <c r="AB9" i="7"/>
  <c r="AC9" i="7"/>
  <c r="AD9" i="7"/>
  <c r="AE9" i="7"/>
  <c r="AF9" i="7"/>
  <c r="AH9" i="7"/>
  <c r="AI9" i="7"/>
  <c r="AJ9" i="7"/>
  <c r="AM9" i="7"/>
  <c r="AO9" i="7"/>
  <c r="AP9" i="7"/>
  <c r="AQ9" i="7"/>
  <c r="AR9" i="7"/>
  <c r="AS9" i="7"/>
  <c r="AT9" i="7"/>
  <c r="AU9" i="7"/>
  <c r="D10" i="7"/>
  <c r="E10" i="7"/>
  <c r="F10" i="7"/>
  <c r="I10" i="7"/>
  <c r="K10" i="7"/>
  <c r="L10" i="7"/>
  <c r="M10" i="7"/>
  <c r="N10" i="7"/>
  <c r="O10" i="7"/>
  <c r="P10" i="7"/>
  <c r="Q10" i="7"/>
  <c r="S10" i="7"/>
  <c r="T10" i="7"/>
  <c r="U10" i="7"/>
  <c r="X10" i="7"/>
  <c r="Z10" i="7"/>
  <c r="AA10" i="7"/>
  <c r="AB10" i="7"/>
  <c r="AC10" i="7"/>
  <c r="AD10" i="7"/>
  <c r="AE10" i="7"/>
  <c r="AF10" i="7"/>
  <c r="AH10" i="7"/>
  <c r="AI10" i="7"/>
  <c r="AJ10" i="7"/>
  <c r="AM10" i="7"/>
  <c r="AO10" i="7"/>
  <c r="AP10" i="7"/>
  <c r="AQ10" i="7"/>
  <c r="AR10" i="7"/>
  <c r="AS10" i="7"/>
  <c r="AT10" i="7"/>
  <c r="AU10" i="7"/>
  <c r="D11" i="7"/>
  <c r="E11" i="7"/>
  <c r="F11" i="7"/>
  <c r="I11" i="7"/>
  <c r="K11" i="7"/>
  <c r="L11" i="7"/>
  <c r="M11" i="7"/>
  <c r="N11" i="7"/>
  <c r="O11" i="7"/>
  <c r="P11" i="7"/>
  <c r="Q11" i="7"/>
  <c r="S11" i="7"/>
  <c r="T11" i="7"/>
  <c r="U11" i="7"/>
  <c r="X11" i="7"/>
  <c r="Z11" i="7"/>
  <c r="AA11" i="7"/>
  <c r="AB11" i="7"/>
  <c r="AC11" i="7"/>
  <c r="AD11" i="7"/>
  <c r="AE11" i="7"/>
  <c r="AF11" i="7"/>
  <c r="AH11" i="7"/>
  <c r="AI11" i="7"/>
  <c r="AJ11" i="7"/>
  <c r="AM11" i="7"/>
  <c r="AO11" i="7"/>
  <c r="AP11" i="7"/>
  <c r="AQ11" i="7"/>
  <c r="AR11" i="7"/>
  <c r="AS11" i="7"/>
  <c r="AT11" i="7"/>
  <c r="AU11" i="7"/>
  <c r="D12" i="7"/>
  <c r="E12" i="7"/>
  <c r="F12" i="7"/>
  <c r="I12" i="7"/>
  <c r="K12" i="7"/>
  <c r="L12" i="7"/>
  <c r="M12" i="7"/>
  <c r="N12" i="7"/>
  <c r="O12" i="7"/>
  <c r="P12" i="7"/>
  <c r="Q12" i="7"/>
  <c r="S12" i="7"/>
  <c r="T12" i="7"/>
  <c r="U12" i="7"/>
  <c r="X12" i="7"/>
  <c r="Z12" i="7"/>
  <c r="AA12" i="7"/>
  <c r="AB12" i="7"/>
  <c r="AC12" i="7"/>
  <c r="AD12" i="7"/>
  <c r="AE12" i="7"/>
  <c r="AF12" i="7"/>
  <c r="AH12" i="7"/>
  <c r="AI12" i="7"/>
  <c r="AJ12" i="7"/>
  <c r="AM12" i="7"/>
  <c r="AO12" i="7"/>
  <c r="AP12" i="7"/>
  <c r="AQ12" i="7"/>
  <c r="AR12" i="7"/>
  <c r="AS12" i="7"/>
  <c r="AT12" i="7"/>
  <c r="AU12" i="7"/>
  <c r="D13" i="7"/>
  <c r="E13" i="7"/>
  <c r="F13" i="7"/>
  <c r="I13" i="7"/>
  <c r="K13" i="7"/>
  <c r="L13" i="7"/>
  <c r="M13" i="7"/>
  <c r="N13" i="7"/>
  <c r="O13" i="7"/>
  <c r="P13" i="7"/>
  <c r="Q13" i="7"/>
  <c r="S13" i="7"/>
  <c r="T13" i="7"/>
  <c r="U13" i="7"/>
  <c r="X13" i="7"/>
  <c r="Z13" i="7"/>
  <c r="AA13" i="7"/>
  <c r="AB13" i="7"/>
  <c r="AC13" i="7"/>
  <c r="AD13" i="7"/>
  <c r="AE13" i="7"/>
  <c r="AF13" i="7"/>
  <c r="AH13" i="7"/>
  <c r="AI13" i="7"/>
  <c r="AJ13" i="7"/>
  <c r="AM13" i="7"/>
  <c r="AO13" i="7"/>
  <c r="AP13" i="7"/>
  <c r="AQ13" i="7"/>
  <c r="AR13" i="7"/>
  <c r="AS13" i="7"/>
  <c r="AT13" i="7"/>
  <c r="AU13" i="7"/>
  <c r="D14" i="7"/>
  <c r="E14" i="7"/>
  <c r="F14" i="7"/>
  <c r="I14" i="7"/>
  <c r="K14" i="7"/>
  <c r="L14" i="7"/>
  <c r="M14" i="7"/>
  <c r="N14" i="7"/>
  <c r="O14" i="7"/>
  <c r="P14" i="7"/>
  <c r="Q14" i="7"/>
  <c r="S14" i="7"/>
  <c r="T14" i="7"/>
  <c r="U14" i="7"/>
  <c r="X14" i="7"/>
  <c r="Z14" i="7"/>
  <c r="AA14" i="7"/>
  <c r="AB14" i="7"/>
  <c r="AC14" i="7"/>
  <c r="AD14" i="7"/>
  <c r="AE14" i="7"/>
  <c r="AF14" i="7"/>
  <c r="AH14" i="7"/>
  <c r="AI14" i="7"/>
  <c r="AJ14" i="7"/>
  <c r="AM14" i="7"/>
  <c r="AO14" i="7"/>
  <c r="AP14" i="7"/>
  <c r="AQ14" i="7"/>
  <c r="AR14" i="7"/>
  <c r="AS14" i="7"/>
  <c r="AT14" i="7"/>
  <c r="AU14" i="7"/>
  <c r="D15" i="7"/>
  <c r="E15" i="7"/>
  <c r="F15" i="7"/>
  <c r="I15" i="7"/>
  <c r="K15" i="7"/>
  <c r="L15" i="7"/>
  <c r="M15" i="7"/>
  <c r="N15" i="7"/>
  <c r="O15" i="7"/>
  <c r="P15" i="7"/>
  <c r="Q15" i="7"/>
  <c r="S15" i="7"/>
  <c r="T15" i="7"/>
  <c r="U15" i="7"/>
  <c r="X15" i="7"/>
  <c r="Z15" i="7"/>
  <c r="AA15" i="7"/>
  <c r="AB15" i="7"/>
  <c r="AC15" i="7"/>
  <c r="AD15" i="7"/>
  <c r="AE15" i="7"/>
  <c r="AF15" i="7"/>
  <c r="AH15" i="7"/>
  <c r="AI15" i="7"/>
  <c r="AJ15" i="7"/>
  <c r="AM15" i="7"/>
  <c r="AO15" i="7"/>
  <c r="AP15" i="7"/>
  <c r="AQ15" i="7"/>
  <c r="AR15" i="7"/>
  <c r="AS15" i="7"/>
  <c r="AT15" i="7"/>
  <c r="AU15" i="7"/>
  <c r="D16" i="7"/>
  <c r="E16" i="7"/>
  <c r="F16" i="7"/>
  <c r="I16" i="7"/>
  <c r="K16" i="7"/>
  <c r="L16" i="7"/>
  <c r="M16" i="7"/>
  <c r="N16" i="7"/>
  <c r="O16" i="7"/>
  <c r="P16" i="7"/>
  <c r="Q16" i="7"/>
  <c r="S16" i="7"/>
  <c r="T16" i="7"/>
  <c r="U16" i="7"/>
  <c r="X16" i="7"/>
  <c r="Z16" i="7"/>
  <c r="AA16" i="7"/>
  <c r="AB16" i="7"/>
  <c r="AC16" i="7"/>
  <c r="AD16" i="7"/>
  <c r="AE16" i="7"/>
  <c r="AF16" i="7"/>
  <c r="AH16" i="7"/>
  <c r="AI16" i="7"/>
  <c r="AJ16" i="7"/>
  <c r="AM16" i="7"/>
  <c r="AO16" i="7"/>
  <c r="AP16" i="7"/>
  <c r="AQ16" i="7"/>
  <c r="AR16" i="7"/>
  <c r="AS16" i="7"/>
  <c r="AT16" i="7"/>
  <c r="AU16" i="7"/>
  <c r="D17" i="7"/>
  <c r="E17" i="7"/>
  <c r="F17" i="7"/>
  <c r="I17" i="7"/>
  <c r="K17" i="7"/>
  <c r="L17" i="7"/>
  <c r="M17" i="7"/>
  <c r="N17" i="7"/>
  <c r="O17" i="7"/>
  <c r="P17" i="7"/>
  <c r="Q17" i="7"/>
  <c r="S17" i="7"/>
  <c r="T17" i="7"/>
  <c r="U17" i="7"/>
  <c r="X17" i="7"/>
  <c r="Z17" i="7"/>
  <c r="AA17" i="7"/>
  <c r="AB17" i="7"/>
  <c r="AC17" i="7"/>
  <c r="AD17" i="7"/>
  <c r="AE17" i="7"/>
  <c r="AF17" i="7"/>
  <c r="AH17" i="7"/>
  <c r="AI17" i="7"/>
  <c r="AJ17" i="7"/>
  <c r="AM17" i="7"/>
  <c r="AO17" i="7"/>
  <c r="AP17" i="7"/>
  <c r="AQ17" i="7"/>
  <c r="AR17" i="7"/>
  <c r="AS17" i="7"/>
  <c r="AT17" i="7"/>
  <c r="AU17" i="7"/>
  <c r="D18" i="7"/>
  <c r="E18" i="7"/>
  <c r="F18" i="7"/>
  <c r="I18" i="7"/>
  <c r="K18" i="7"/>
  <c r="L18" i="7"/>
  <c r="M18" i="7"/>
  <c r="N18" i="7"/>
  <c r="O18" i="7"/>
  <c r="P18" i="7"/>
  <c r="Q18" i="7"/>
  <c r="S18" i="7"/>
  <c r="T18" i="7"/>
  <c r="U18" i="7"/>
  <c r="X18" i="7"/>
  <c r="Z18" i="7"/>
  <c r="AA18" i="7"/>
  <c r="AB18" i="7"/>
  <c r="AC18" i="7"/>
  <c r="AD18" i="7"/>
  <c r="AE18" i="7"/>
  <c r="AF18" i="7"/>
  <c r="AH18" i="7"/>
  <c r="AI18" i="7"/>
  <c r="AJ18" i="7"/>
  <c r="AM18" i="7"/>
  <c r="AO18" i="7"/>
  <c r="AP18" i="7"/>
  <c r="AQ18" i="7"/>
  <c r="AR18" i="7"/>
  <c r="AS18" i="7"/>
  <c r="AT18" i="7"/>
  <c r="AU18" i="7"/>
  <c r="D19" i="7"/>
  <c r="E19" i="7"/>
  <c r="F19" i="7"/>
  <c r="I19" i="7"/>
  <c r="K19" i="7"/>
  <c r="L19" i="7"/>
  <c r="M19" i="7"/>
  <c r="N19" i="7"/>
  <c r="O19" i="7"/>
  <c r="P19" i="7"/>
  <c r="Q19" i="7"/>
  <c r="S19" i="7"/>
  <c r="T19" i="7"/>
  <c r="U19" i="7"/>
  <c r="X19" i="7"/>
  <c r="Z19" i="7"/>
  <c r="AA19" i="7"/>
  <c r="AB19" i="7"/>
  <c r="AC19" i="7"/>
  <c r="AD19" i="7"/>
  <c r="AE19" i="7"/>
  <c r="AF19" i="7"/>
  <c r="AH19" i="7"/>
  <c r="AI19" i="7"/>
  <c r="AJ19" i="7"/>
  <c r="AM19" i="7"/>
  <c r="AO19" i="7"/>
  <c r="AP19" i="7"/>
  <c r="AQ19" i="7"/>
  <c r="AR19" i="7"/>
  <c r="AS19" i="7"/>
  <c r="AT19" i="7"/>
  <c r="AU19" i="7"/>
  <c r="D20" i="7"/>
  <c r="E20" i="7"/>
  <c r="F20" i="7"/>
  <c r="I20" i="7"/>
  <c r="K20" i="7"/>
  <c r="L20" i="7"/>
  <c r="M20" i="7"/>
  <c r="N20" i="7"/>
  <c r="O20" i="7"/>
  <c r="P20" i="7"/>
  <c r="Q20" i="7"/>
  <c r="S20" i="7"/>
  <c r="T20" i="7"/>
  <c r="U20" i="7"/>
  <c r="X20" i="7"/>
  <c r="Z20" i="7"/>
  <c r="AA20" i="7"/>
  <c r="AB20" i="7"/>
  <c r="AC20" i="7"/>
  <c r="AD20" i="7"/>
  <c r="AE20" i="7"/>
  <c r="AF20" i="7"/>
  <c r="AH20" i="7"/>
  <c r="AI20" i="7"/>
  <c r="AJ20" i="7"/>
  <c r="AM20" i="7"/>
  <c r="AO20" i="7"/>
  <c r="AP20" i="7"/>
  <c r="AQ20" i="7"/>
  <c r="AR20" i="7"/>
  <c r="AS20" i="7"/>
  <c r="AT20" i="7"/>
  <c r="AU20" i="7"/>
  <c r="D21" i="7"/>
  <c r="E21" i="7"/>
  <c r="F21" i="7"/>
  <c r="I21" i="7"/>
  <c r="K21" i="7"/>
  <c r="L21" i="7"/>
  <c r="M21" i="7"/>
  <c r="N21" i="7"/>
  <c r="O21" i="7"/>
  <c r="P21" i="7"/>
  <c r="Q21" i="7"/>
  <c r="S21" i="7"/>
  <c r="T21" i="7"/>
  <c r="U21" i="7"/>
  <c r="X21" i="7"/>
  <c r="Z21" i="7"/>
  <c r="AA21" i="7"/>
  <c r="AB21" i="7"/>
  <c r="AC21" i="7"/>
  <c r="AD21" i="7"/>
  <c r="AE21" i="7"/>
  <c r="AF21" i="7"/>
  <c r="AH21" i="7"/>
  <c r="AI21" i="7"/>
  <c r="AJ21" i="7"/>
  <c r="AM21" i="7"/>
  <c r="AO21" i="7"/>
  <c r="AP21" i="7"/>
  <c r="AQ21" i="7"/>
  <c r="AR21" i="7"/>
  <c r="AS21" i="7"/>
  <c r="AT21" i="7"/>
  <c r="AU21" i="7"/>
  <c r="D22" i="7"/>
  <c r="E22" i="7"/>
  <c r="F22" i="7"/>
  <c r="I22" i="7"/>
  <c r="K22" i="7"/>
  <c r="L22" i="7"/>
  <c r="M22" i="7"/>
  <c r="N22" i="7"/>
  <c r="O22" i="7"/>
  <c r="P22" i="7"/>
  <c r="Q22" i="7"/>
  <c r="S22" i="7"/>
  <c r="T22" i="7"/>
  <c r="U22" i="7"/>
  <c r="X22" i="7"/>
  <c r="Z22" i="7"/>
  <c r="AA22" i="7"/>
  <c r="AB22" i="7"/>
  <c r="AC22" i="7"/>
  <c r="AD22" i="7"/>
  <c r="AE22" i="7"/>
  <c r="AF22" i="7"/>
  <c r="AH22" i="7"/>
  <c r="AI22" i="7"/>
  <c r="AJ22" i="7"/>
  <c r="AM22" i="7"/>
  <c r="AO22" i="7"/>
  <c r="AP22" i="7"/>
  <c r="AQ22" i="7"/>
  <c r="AR22" i="7"/>
  <c r="AS22" i="7"/>
  <c r="AT22" i="7"/>
  <c r="AU22" i="7"/>
  <c r="D23" i="7"/>
  <c r="E23" i="7"/>
  <c r="F23" i="7"/>
  <c r="I23" i="7"/>
  <c r="K23" i="7"/>
  <c r="L23" i="7"/>
  <c r="M23" i="7"/>
  <c r="N23" i="7"/>
  <c r="O23" i="7"/>
  <c r="P23" i="7"/>
  <c r="Q23" i="7"/>
  <c r="S23" i="7"/>
  <c r="T23" i="7"/>
  <c r="U23" i="7"/>
  <c r="X23" i="7"/>
  <c r="Z23" i="7"/>
  <c r="AA23" i="7"/>
  <c r="AB23" i="7"/>
  <c r="AC23" i="7"/>
  <c r="AD23" i="7"/>
  <c r="AE23" i="7"/>
  <c r="AF23" i="7"/>
  <c r="AH23" i="7"/>
  <c r="AI23" i="7"/>
  <c r="AJ23" i="7"/>
  <c r="AM23" i="7"/>
  <c r="AO23" i="7"/>
  <c r="AP23" i="7"/>
  <c r="AQ23" i="7"/>
  <c r="AR23" i="7"/>
  <c r="AS23" i="7"/>
  <c r="AT23" i="7"/>
  <c r="AU23" i="7"/>
  <c r="D24" i="7"/>
  <c r="E24" i="7"/>
  <c r="F24" i="7"/>
  <c r="I24" i="7"/>
  <c r="K24" i="7"/>
  <c r="L24" i="7"/>
  <c r="M24" i="7"/>
  <c r="N24" i="7"/>
  <c r="O24" i="7"/>
  <c r="P24" i="7"/>
  <c r="Q24" i="7"/>
  <c r="S24" i="7"/>
  <c r="T24" i="7"/>
  <c r="U24" i="7"/>
  <c r="X24" i="7"/>
  <c r="Z24" i="7"/>
  <c r="AA24" i="7"/>
  <c r="AB24" i="7"/>
  <c r="AC24" i="7"/>
  <c r="AD24" i="7"/>
  <c r="AE24" i="7"/>
  <c r="AF24" i="7"/>
  <c r="AH24" i="7"/>
  <c r="AI24" i="7"/>
  <c r="AJ24" i="7"/>
  <c r="AM24" i="7"/>
  <c r="AO24" i="7"/>
  <c r="AP24" i="7"/>
  <c r="AQ24" i="7"/>
  <c r="AR24" i="7"/>
  <c r="AS24" i="7"/>
  <c r="AT24" i="7"/>
  <c r="AU24" i="7"/>
  <c r="D25" i="7"/>
  <c r="E25" i="7"/>
  <c r="F25" i="7"/>
  <c r="I25" i="7"/>
  <c r="K25" i="7"/>
  <c r="L25" i="7"/>
  <c r="M25" i="7"/>
  <c r="N25" i="7"/>
  <c r="O25" i="7"/>
  <c r="P25" i="7"/>
  <c r="Q25" i="7"/>
  <c r="S25" i="7"/>
  <c r="T25" i="7"/>
  <c r="U25" i="7"/>
  <c r="X25" i="7"/>
  <c r="Z25" i="7"/>
  <c r="AA25" i="7"/>
  <c r="AB25" i="7"/>
  <c r="AC25" i="7"/>
  <c r="AD25" i="7"/>
  <c r="AE25" i="7"/>
  <c r="AF25" i="7"/>
  <c r="AH25" i="7"/>
  <c r="AI25" i="7"/>
  <c r="AJ25" i="7"/>
  <c r="AM25" i="7"/>
  <c r="AO25" i="7"/>
  <c r="AP25" i="7"/>
  <c r="AQ25" i="7"/>
  <c r="AR25" i="7"/>
  <c r="AS25" i="7"/>
  <c r="AT25" i="7"/>
  <c r="AU25" i="7"/>
  <c r="D26" i="7"/>
  <c r="E26" i="7"/>
  <c r="F26" i="7"/>
  <c r="I26" i="7"/>
  <c r="K26" i="7"/>
  <c r="L26" i="7"/>
  <c r="M26" i="7"/>
  <c r="N26" i="7"/>
  <c r="O26" i="7"/>
  <c r="P26" i="7"/>
  <c r="Q26" i="7"/>
  <c r="S26" i="7"/>
  <c r="T26" i="7"/>
  <c r="U26" i="7"/>
  <c r="X26" i="7"/>
  <c r="Z26" i="7"/>
  <c r="AA26" i="7"/>
  <c r="AB26" i="7"/>
  <c r="AC26" i="7"/>
  <c r="AD26" i="7"/>
  <c r="AE26" i="7"/>
  <c r="AF26" i="7"/>
  <c r="AH26" i="7"/>
  <c r="AI26" i="7"/>
  <c r="AJ26" i="7"/>
  <c r="AM26" i="7"/>
  <c r="AO26" i="7"/>
  <c r="AP26" i="7"/>
  <c r="AQ26" i="7"/>
  <c r="AR26" i="7"/>
  <c r="AS26" i="7"/>
  <c r="AT26" i="7"/>
  <c r="AU26" i="7"/>
  <c r="D27" i="7"/>
  <c r="E27" i="7"/>
  <c r="F27" i="7"/>
  <c r="I27" i="7"/>
  <c r="K27" i="7"/>
  <c r="L27" i="7"/>
  <c r="M27" i="7"/>
  <c r="N27" i="7"/>
  <c r="O27" i="7"/>
  <c r="P27" i="7"/>
  <c r="Q27" i="7"/>
  <c r="S27" i="7"/>
  <c r="T27" i="7"/>
  <c r="U27" i="7"/>
  <c r="X27" i="7"/>
  <c r="Z27" i="7"/>
  <c r="AA27" i="7"/>
  <c r="AB27" i="7"/>
  <c r="AC27" i="7"/>
  <c r="AD27" i="7"/>
  <c r="AE27" i="7"/>
  <c r="AF27" i="7"/>
  <c r="AH27" i="7"/>
  <c r="AI27" i="7"/>
  <c r="AJ27" i="7"/>
  <c r="AM27" i="7"/>
  <c r="AO27" i="7"/>
  <c r="AP27" i="7"/>
  <c r="AQ27" i="7"/>
  <c r="AR27" i="7"/>
  <c r="AS27" i="7"/>
  <c r="AT27" i="7"/>
  <c r="AU27" i="7"/>
  <c r="D28" i="7"/>
  <c r="E28" i="7"/>
  <c r="F28" i="7"/>
  <c r="I28" i="7"/>
  <c r="K28" i="7"/>
  <c r="L28" i="7"/>
  <c r="M28" i="7"/>
  <c r="N28" i="7"/>
  <c r="O28" i="7"/>
  <c r="P28" i="7"/>
  <c r="Q28" i="7"/>
  <c r="S28" i="7"/>
  <c r="T28" i="7"/>
  <c r="U28" i="7"/>
  <c r="X28" i="7"/>
  <c r="Z28" i="7"/>
  <c r="AA28" i="7"/>
  <c r="AB28" i="7"/>
  <c r="AC28" i="7"/>
  <c r="AD28" i="7"/>
  <c r="AE28" i="7"/>
  <c r="AF28" i="7"/>
  <c r="AH28" i="7"/>
  <c r="AI28" i="7"/>
  <c r="AJ28" i="7"/>
  <c r="AM28" i="7"/>
  <c r="AO28" i="7"/>
  <c r="AP28" i="7"/>
  <c r="AQ28" i="7"/>
  <c r="AR28" i="7"/>
  <c r="AS28" i="7"/>
  <c r="AT28" i="7"/>
  <c r="AU28" i="7"/>
  <c r="D29" i="7"/>
  <c r="E29" i="7"/>
  <c r="F29" i="7"/>
  <c r="I29" i="7"/>
  <c r="K29" i="7"/>
  <c r="L29" i="7"/>
  <c r="M29" i="7"/>
  <c r="N29" i="7"/>
  <c r="O29" i="7"/>
  <c r="P29" i="7"/>
  <c r="Q29" i="7"/>
  <c r="S29" i="7"/>
  <c r="T29" i="7"/>
  <c r="U29" i="7"/>
  <c r="X29" i="7"/>
  <c r="Z29" i="7"/>
  <c r="AA29" i="7"/>
  <c r="AB29" i="7"/>
  <c r="AC29" i="7"/>
  <c r="AD29" i="7"/>
  <c r="AE29" i="7"/>
  <c r="AF29" i="7"/>
  <c r="AH29" i="7"/>
  <c r="AI29" i="7"/>
  <c r="AJ29" i="7"/>
  <c r="AM29" i="7"/>
  <c r="AO29" i="7"/>
  <c r="AP29" i="7"/>
  <c r="AQ29" i="7"/>
  <c r="AR29" i="7"/>
  <c r="AS29" i="7"/>
  <c r="AT29" i="7"/>
  <c r="AU29" i="7"/>
  <c r="D30" i="7"/>
  <c r="E30" i="7"/>
  <c r="F30" i="7"/>
  <c r="I30" i="7"/>
  <c r="K30" i="7"/>
  <c r="L30" i="7"/>
  <c r="M30" i="7"/>
  <c r="N30" i="7"/>
  <c r="O30" i="7"/>
  <c r="P30" i="7"/>
  <c r="Q30" i="7"/>
  <c r="S30" i="7"/>
  <c r="T30" i="7"/>
  <c r="U30" i="7"/>
  <c r="X30" i="7"/>
  <c r="Z30" i="7"/>
  <c r="AA30" i="7"/>
  <c r="AB30" i="7"/>
  <c r="AC30" i="7"/>
  <c r="AD30" i="7"/>
  <c r="AE30" i="7"/>
  <c r="AF30" i="7"/>
  <c r="AH30" i="7"/>
  <c r="AI30" i="7"/>
  <c r="AJ30" i="7"/>
  <c r="AM30" i="7"/>
  <c r="AO30" i="7"/>
  <c r="AP30" i="7"/>
  <c r="AQ30" i="7"/>
  <c r="AR30" i="7"/>
  <c r="AS30" i="7"/>
  <c r="AT30" i="7"/>
  <c r="AU30" i="7"/>
  <c r="D31" i="7"/>
  <c r="E31" i="7"/>
  <c r="F31" i="7"/>
  <c r="I31" i="7"/>
  <c r="K31" i="7"/>
  <c r="L31" i="7"/>
  <c r="M31" i="7"/>
  <c r="N31" i="7"/>
  <c r="O31" i="7"/>
  <c r="P31" i="7"/>
  <c r="Q31" i="7"/>
  <c r="S31" i="7"/>
  <c r="T31" i="7"/>
  <c r="U31" i="7"/>
  <c r="X31" i="7"/>
  <c r="Z31" i="7"/>
  <c r="AA31" i="7"/>
  <c r="AB31" i="7"/>
  <c r="AC31" i="7"/>
  <c r="AD31" i="7"/>
  <c r="AE31" i="7"/>
  <c r="AF31" i="7"/>
  <c r="AH31" i="7"/>
  <c r="AI31" i="7"/>
  <c r="AJ31" i="7"/>
  <c r="AM31" i="7"/>
  <c r="AO31" i="7"/>
  <c r="AP31" i="7"/>
  <c r="AQ31" i="7"/>
  <c r="AR31" i="7"/>
  <c r="AS31" i="7"/>
  <c r="AT31" i="7"/>
  <c r="AU31" i="7"/>
  <c r="D32" i="7"/>
  <c r="E32" i="7"/>
  <c r="F32" i="7"/>
  <c r="I32" i="7"/>
  <c r="K32" i="7"/>
  <c r="L32" i="7"/>
  <c r="M32" i="7"/>
  <c r="N32" i="7"/>
  <c r="O32" i="7"/>
  <c r="P32" i="7"/>
  <c r="Q32" i="7"/>
  <c r="S32" i="7"/>
  <c r="T32" i="7"/>
  <c r="U32" i="7"/>
  <c r="X32" i="7"/>
  <c r="Z32" i="7"/>
  <c r="AA32" i="7"/>
  <c r="AB32" i="7"/>
  <c r="AC32" i="7"/>
  <c r="AD32" i="7"/>
  <c r="AE32" i="7"/>
  <c r="AF32" i="7"/>
  <c r="AH32" i="7"/>
  <c r="AI32" i="7"/>
  <c r="AJ32" i="7"/>
  <c r="AM32" i="7"/>
  <c r="AO32" i="7"/>
  <c r="AP32" i="7"/>
  <c r="AQ32" i="7"/>
  <c r="AR32" i="7"/>
  <c r="AS32" i="7"/>
  <c r="AT32" i="7"/>
  <c r="AU32" i="7"/>
  <c r="D33" i="7"/>
  <c r="E33" i="7"/>
  <c r="F33" i="7"/>
  <c r="I33" i="7"/>
  <c r="K33" i="7"/>
  <c r="L33" i="7"/>
  <c r="M33" i="7"/>
  <c r="N33" i="7"/>
  <c r="O33" i="7"/>
  <c r="P33" i="7"/>
  <c r="Q33" i="7"/>
  <c r="S33" i="7"/>
  <c r="T33" i="7"/>
  <c r="U33" i="7"/>
  <c r="X33" i="7"/>
  <c r="Z33" i="7"/>
  <c r="AA33" i="7"/>
  <c r="AB33" i="7"/>
  <c r="AC33" i="7"/>
  <c r="AD33" i="7"/>
  <c r="AE33" i="7"/>
  <c r="AF33" i="7"/>
  <c r="AH33" i="7"/>
  <c r="AI33" i="7"/>
  <c r="AJ33" i="7"/>
  <c r="AM33" i="7"/>
  <c r="AO33" i="7"/>
  <c r="AP33" i="7"/>
  <c r="AQ33" i="7"/>
  <c r="AR33" i="7"/>
  <c r="AS33" i="7"/>
  <c r="AT33" i="7"/>
  <c r="AU33" i="7"/>
  <c r="D34" i="7"/>
  <c r="E34" i="7"/>
  <c r="F34" i="7"/>
  <c r="I34" i="7"/>
  <c r="K34" i="7"/>
  <c r="L34" i="7"/>
  <c r="M34" i="7"/>
  <c r="N34" i="7"/>
  <c r="O34" i="7"/>
  <c r="P34" i="7"/>
  <c r="Q34" i="7"/>
  <c r="S34" i="7"/>
  <c r="T34" i="7"/>
  <c r="U34" i="7"/>
  <c r="X34" i="7"/>
  <c r="Z34" i="7"/>
  <c r="AA34" i="7"/>
  <c r="AB34" i="7"/>
  <c r="AC34" i="7"/>
  <c r="AD34" i="7"/>
  <c r="AE34" i="7"/>
  <c r="AF34" i="7"/>
  <c r="AH34" i="7"/>
  <c r="AI34" i="7"/>
  <c r="AJ34" i="7"/>
  <c r="AM34" i="7"/>
  <c r="AO34" i="7"/>
  <c r="AP34" i="7"/>
  <c r="AQ34" i="7"/>
  <c r="AR34" i="7"/>
  <c r="AS34" i="7"/>
  <c r="AT34" i="7"/>
  <c r="AU34" i="7"/>
  <c r="D35" i="7"/>
  <c r="E35" i="7"/>
  <c r="F35" i="7"/>
  <c r="I35" i="7"/>
  <c r="K35" i="7"/>
  <c r="L35" i="7"/>
  <c r="M35" i="7"/>
  <c r="N35" i="7"/>
  <c r="O35" i="7"/>
  <c r="P35" i="7"/>
  <c r="Q35" i="7"/>
  <c r="S35" i="7"/>
  <c r="T35" i="7"/>
  <c r="U35" i="7"/>
  <c r="X35" i="7"/>
  <c r="Z35" i="7"/>
  <c r="AA35" i="7"/>
  <c r="AB35" i="7"/>
  <c r="AC35" i="7"/>
  <c r="AD35" i="7"/>
  <c r="AE35" i="7"/>
  <c r="AF35" i="7"/>
  <c r="AH35" i="7"/>
  <c r="AI35" i="7"/>
  <c r="AJ35" i="7"/>
  <c r="AM35" i="7"/>
  <c r="AO35" i="7"/>
  <c r="AP35" i="7"/>
  <c r="AQ35" i="7"/>
  <c r="AR35" i="7"/>
  <c r="AS35" i="7"/>
  <c r="AT35" i="7"/>
  <c r="AU35" i="7"/>
  <c r="D36" i="7"/>
  <c r="E36" i="7"/>
  <c r="F36" i="7"/>
  <c r="I36" i="7"/>
  <c r="K36" i="7"/>
  <c r="L36" i="7"/>
  <c r="M36" i="7"/>
  <c r="N36" i="7"/>
  <c r="O36" i="7"/>
  <c r="P36" i="7"/>
  <c r="Q36" i="7"/>
  <c r="S36" i="7"/>
  <c r="T36" i="7"/>
  <c r="U36" i="7"/>
  <c r="X36" i="7"/>
  <c r="Z36" i="7"/>
  <c r="AA36" i="7"/>
  <c r="AB36" i="7"/>
  <c r="AC36" i="7"/>
  <c r="AD36" i="7"/>
  <c r="AE36" i="7"/>
  <c r="AF36" i="7"/>
  <c r="AH36" i="7"/>
  <c r="AI36" i="7"/>
  <c r="AJ36" i="7"/>
  <c r="AM36" i="7"/>
  <c r="AO36" i="7"/>
  <c r="AP36" i="7"/>
  <c r="AQ36" i="7"/>
  <c r="AR36" i="7"/>
  <c r="AS36" i="7"/>
  <c r="AT36" i="7"/>
  <c r="AU36" i="7"/>
  <c r="D37" i="7"/>
  <c r="E37" i="7"/>
  <c r="F37" i="7"/>
  <c r="I37" i="7"/>
  <c r="K37" i="7"/>
  <c r="L37" i="7"/>
  <c r="M37" i="7"/>
  <c r="N37" i="7"/>
  <c r="O37" i="7"/>
  <c r="P37" i="7"/>
  <c r="Q37" i="7"/>
  <c r="S37" i="7"/>
  <c r="T37" i="7"/>
  <c r="U37" i="7"/>
  <c r="X37" i="7"/>
  <c r="Z37" i="7"/>
  <c r="AA37" i="7"/>
  <c r="AB37" i="7"/>
  <c r="AC37" i="7"/>
  <c r="AD37" i="7"/>
  <c r="AE37" i="7"/>
  <c r="AF37" i="7"/>
  <c r="AH37" i="7"/>
  <c r="AI37" i="7"/>
  <c r="AJ37" i="7"/>
  <c r="AM37" i="7"/>
  <c r="AO37" i="7"/>
  <c r="AP37" i="7"/>
  <c r="AQ37" i="7"/>
  <c r="AR37" i="7"/>
  <c r="AS37" i="7"/>
  <c r="AT37" i="7"/>
  <c r="AU37" i="7"/>
  <c r="D38" i="7"/>
  <c r="E38" i="7"/>
  <c r="F38" i="7"/>
  <c r="I38" i="7"/>
  <c r="K38" i="7"/>
  <c r="L38" i="7"/>
  <c r="M38" i="7"/>
  <c r="N38" i="7"/>
  <c r="O38" i="7"/>
  <c r="P38" i="7"/>
  <c r="Q38" i="7"/>
  <c r="S38" i="7"/>
  <c r="T38" i="7"/>
  <c r="U38" i="7"/>
  <c r="X38" i="7"/>
  <c r="Z38" i="7"/>
  <c r="AA38" i="7"/>
  <c r="AB38" i="7"/>
  <c r="AC38" i="7"/>
  <c r="AD38" i="7"/>
  <c r="AE38" i="7"/>
  <c r="AF38" i="7"/>
  <c r="AH38" i="7"/>
  <c r="AI38" i="7"/>
  <c r="AJ38" i="7"/>
  <c r="AM38" i="7"/>
  <c r="AO38" i="7"/>
  <c r="AP38" i="7"/>
  <c r="AQ38" i="7"/>
  <c r="AR38" i="7"/>
  <c r="AS38" i="7"/>
  <c r="AT38" i="7"/>
  <c r="AU38" i="7"/>
  <c r="D39" i="7"/>
  <c r="E39" i="7"/>
  <c r="F39" i="7"/>
  <c r="I39" i="7"/>
  <c r="K39" i="7"/>
  <c r="L39" i="7"/>
  <c r="M39" i="7"/>
  <c r="N39" i="7"/>
  <c r="O39" i="7"/>
  <c r="P39" i="7"/>
  <c r="Q39" i="7"/>
  <c r="S39" i="7"/>
  <c r="T39" i="7"/>
  <c r="U39" i="7"/>
  <c r="X39" i="7"/>
  <c r="Z39" i="7"/>
  <c r="AA39" i="7"/>
  <c r="AB39" i="7"/>
  <c r="AC39" i="7"/>
  <c r="AD39" i="7"/>
  <c r="AE39" i="7"/>
  <c r="AF39" i="7"/>
  <c r="AH39" i="7"/>
  <c r="AI39" i="7"/>
  <c r="AJ39" i="7"/>
  <c r="AM39" i="7"/>
  <c r="AO39" i="7"/>
  <c r="AP39" i="7"/>
  <c r="AQ39" i="7"/>
  <c r="AR39" i="7"/>
  <c r="AS39" i="7"/>
  <c r="AT39" i="7"/>
  <c r="AU39" i="7"/>
  <c r="D40" i="7"/>
  <c r="E40" i="7"/>
  <c r="F40" i="7"/>
  <c r="I40" i="7"/>
  <c r="K40" i="7"/>
  <c r="L40" i="7"/>
  <c r="M40" i="7"/>
  <c r="N40" i="7"/>
  <c r="O40" i="7"/>
  <c r="P40" i="7"/>
  <c r="Q40" i="7"/>
  <c r="S40" i="7"/>
  <c r="T40" i="7"/>
  <c r="U40" i="7"/>
  <c r="X40" i="7"/>
  <c r="Z40" i="7"/>
  <c r="AA40" i="7"/>
  <c r="AB40" i="7"/>
  <c r="AC40" i="7"/>
  <c r="AD40" i="7"/>
  <c r="AE40" i="7"/>
  <c r="AF40" i="7"/>
  <c r="AH40" i="7"/>
  <c r="AI40" i="7"/>
  <c r="AJ40" i="7"/>
  <c r="AM40" i="7"/>
  <c r="AO40" i="7"/>
  <c r="AP40" i="7"/>
  <c r="AQ40" i="7"/>
  <c r="AR40" i="7"/>
  <c r="AS40" i="7"/>
  <c r="AT40" i="7"/>
  <c r="AU40" i="7"/>
  <c r="D41" i="7"/>
  <c r="E41" i="7"/>
  <c r="F41" i="7"/>
  <c r="I41" i="7"/>
  <c r="K41" i="7"/>
  <c r="L41" i="7"/>
  <c r="M41" i="7"/>
  <c r="N41" i="7"/>
  <c r="O41" i="7"/>
  <c r="P41" i="7"/>
  <c r="Q41" i="7"/>
  <c r="S41" i="7"/>
  <c r="T41" i="7"/>
  <c r="U41" i="7"/>
  <c r="X41" i="7"/>
  <c r="Z41" i="7"/>
  <c r="AA41" i="7"/>
  <c r="AB41" i="7"/>
  <c r="AC41" i="7"/>
  <c r="AD41" i="7"/>
  <c r="AE41" i="7"/>
  <c r="AF41" i="7"/>
  <c r="AH41" i="7"/>
  <c r="AI41" i="7"/>
  <c r="AJ41" i="7"/>
  <c r="AM41" i="7"/>
  <c r="AO41" i="7"/>
  <c r="AP41" i="7"/>
  <c r="AQ41" i="7"/>
  <c r="AR41" i="7"/>
  <c r="AS41" i="7"/>
  <c r="AT41" i="7"/>
  <c r="AU41" i="7"/>
  <c r="D42" i="7"/>
  <c r="E42" i="7"/>
  <c r="F42" i="7"/>
  <c r="I42" i="7"/>
  <c r="K42" i="7"/>
  <c r="L42" i="7"/>
  <c r="M42" i="7"/>
  <c r="N42" i="7"/>
  <c r="O42" i="7"/>
  <c r="P42" i="7"/>
  <c r="Q42" i="7"/>
  <c r="S42" i="7"/>
  <c r="T42" i="7"/>
  <c r="U42" i="7"/>
  <c r="X42" i="7"/>
  <c r="Z42" i="7"/>
  <c r="AA42" i="7"/>
  <c r="AB42" i="7"/>
  <c r="AC42" i="7"/>
  <c r="AD42" i="7"/>
  <c r="AE42" i="7"/>
  <c r="AF42" i="7"/>
  <c r="AH42" i="7"/>
  <c r="AI42" i="7"/>
  <c r="AJ42" i="7"/>
  <c r="AM42" i="7"/>
  <c r="AO42" i="7"/>
  <c r="AP42" i="7"/>
  <c r="AQ42" i="7"/>
  <c r="AR42" i="7"/>
  <c r="AS42" i="7"/>
  <c r="AT42" i="7"/>
  <c r="AU42" i="7"/>
  <c r="D43" i="7"/>
  <c r="E43" i="7"/>
  <c r="F43" i="7"/>
  <c r="I43" i="7"/>
  <c r="K43" i="7"/>
  <c r="L43" i="7"/>
  <c r="M43" i="7"/>
  <c r="N43" i="7"/>
  <c r="O43" i="7"/>
  <c r="P43" i="7"/>
  <c r="Q43" i="7"/>
  <c r="S43" i="7"/>
  <c r="T43" i="7"/>
  <c r="U43" i="7"/>
  <c r="X43" i="7"/>
  <c r="Z43" i="7"/>
  <c r="AA43" i="7"/>
  <c r="AB43" i="7"/>
  <c r="AC43" i="7"/>
  <c r="AD43" i="7"/>
  <c r="AE43" i="7"/>
  <c r="AF43" i="7"/>
  <c r="AH43" i="7"/>
  <c r="AI43" i="7"/>
  <c r="AJ43" i="7"/>
  <c r="AM43" i="7"/>
  <c r="AO43" i="7"/>
  <c r="AP43" i="7"/>
  <c r="AQ43" i="7"/>
  <c r="AR43" i="7"/>
  <c r="AS43" i="7"/>
  <c r="AT43" i="7"/>
  <c r="AU43" i="7"/>
  <c r="D44" i="7"/>
  <c r="E44" i="7"/>
  <c r="F44" i="7"/>
  <c r="I44" i="7"/>
  <c r="K44" i="7"/>
  <c r="L44" i="7"/>
  <c r="M44" i="7"/>
  <c r="N44" i="7"/>
  <c r="O44" i="7"/>
  <c r="P44" i="7"/>
  <c r="Q44" i="7"/>
  <c r="S44" i="7"/>
  <c r="T44" i="7"/>
  <c r="U44" i="7"/>
  <c r="X44" i="7"/>
  <c r="Z44" i="7"/>
  <c r="AA44" i="7"/>
  <c r="AB44" i="7"/>
  <c r="AC44" i="7"/>
  <c r="AD44" i="7"/>
  <c r="AE44" i="7"/>
  <c r="AF44" i="7"/>
  <c r="AH44" i="7"/>
  <c r="AI44" i="7"/>
  <c r="AJ44" i="7"/>
  <c r="AM44" i="7"/>
  <c r="AO44" i="7"/>
  <c r="AP44" i="7"/>
  <c r="AQ44" i="7"/>
  <c r="AR44" i="7"/>
  <c r="AS44" i="7"/>
  <c r="AT44" i="7"/>
  <c r="AU44" i="7"/>
  <c r="D47" i="7"/>
  <c r="E47" i="7"/>
  <c r="F47" i="7"/>
  <c r="I47" i="7"/>
  <c r="K47" i="7"/>
  <c r="L47" i="7"/>
  <c r="M47" i="7"/>
  <c r="N47" i="7"/>
  <c r="O47" i="7"/>
  <c r="P47" i="7"/>
  <c r="Q47" i="7"/>
  <c r="S47" i="7"/>
  <c r="T47" i="7"/>
  <c r="U47" i="7"/>
  <c r="X47" i="7"/>
  <c r="Z47" i="7"/>
  <c r="AA47" i="7"/>
  <c r="AB47" i="7"/>
  <c r="AC47" i="7"/>
  <c r="AD47" i="7"/>
  <c r="AE47" i="7"/>
  <c r="AF47" i="7"/>
  <c r="AH47" i="7"/>
  <c r="AI47" i="7"/>
  <c r="AJ47" i="7"/>
  <c r="AM47" i="7"/>
  <c r="AO47" i="7"/>
  <c r="AP47" i="7"/>
  <c r="AQ47" i="7"/>
  <c r="AR47" i="7"/>
  <c r="AS47" i="7"/>
  <c r="AT47" i="7"/>
  <c r="AU47" i="7"/>
  <c r="D48" i="7"/>
  <c r="E48" i="7"/>
  <c r="F48" i="7"/>
  <c r="I48" i="7"/>
  <c r="K48" i="7"/>
  <c r="L48" i="7"/>
  <c r="M48" i="7"/>
  <c r="N48" i="7"/>
  <c r="O48" i="7"/>
  <c r="P48" i="7"/>
  <c r="Q48" i="7"/>
  <c r="S48" i="7"/>
  <c r="T48" i="7"/>
  <c r="U48" i="7"/>
  <c r="X48" i="7"/>
  <c r="Z48" i="7"/>
  <c r="AA48" i="7"/>
  <c r="AB48" i="7"/>
  <c r="AC48" i="7"/>
  <c r="AD48" i="7"/>
  <c r="AE48" i="7"/>
  <c r="AF48" i="7"/>
  <c r="AH48" i="7"/>
  <c r="AI48" i="7"/>
  <c r="AJ48" i="7"/>
  <c r="AM48" i="7"/>
  <c r="AO48" i="7"/>
  <c r="AP48" i="7"/>
  <c r="AQ48" i="7"/>
  <c r="AR48" i="7"/>
  <c r="AS48" i="7"/>
  <c r="AT48" i="7"/>
  <c r="AU48" i="7"/>
  <c r="D49" i="7"/>
  <c r="E49" i="7"/>
  <c r="F49" i="7"/>
  <c r="I49" i="7"/>
  <c r="K49" i="7"/>
  <c r="L49" i="7"/>
  <c r="M49" i="7"/>
  <c r="N49" i="7"/>
  <c r="O49" i="7"/>
  <c r="P49" i="7"/>
  <c r="Q49" i="7"/>
  <c r="S49" i="7"/>
  <c r="T49" i="7"/>
  <c r="U49" i="7"/>
  <c r="X49" i="7"/>
  <c r="Z49" i="7"/>
  <c r="AA49" i="7"/>
  <c r="AB49" i="7"/>
  <c r="AC49" i="7"/>
  <c r="AD49" i="7"/>
  <c r="AE49" i="7"/>
  <c r="AF49" i="7"/>
  <c r="AH49" i="7"/>
  <c r="AI49" i="7"/>
  <c r="AJ49" i="7"/>
  <c r="AM49" i="7"/>
  <c r="AO49" i="7"/>
  <c r="AP49" i="7"/>
  <c r="AQ49" i="7"/>
  <c r="AR49" i="7"/>
  <c r="AS49" i="7"/>
  <c r="AT49" i="7"/>
  <c r="AU49" i="7"/>
  <c r="D50" i="7"/>
  <c r="E50" i="7"/>
  <c r="F50" i="7"/>
  <c r="I50" i="7"/>
  <c r="K50" i="7"/>
  <c r="L50" i="7"/>
  <c r="M50" i="7"/>
  <c r="N50" i="7"/>
  <c r="O50" i="7"/>
  <c r="P50" i="7"/>
  <c r="Q50" i="7"/>
  <c r="S50" i="7"/>
  <c r="T50" i="7"/>
  <c r="U50" i="7"/>
  <c r="X50" i="7"/>
  <c r="Z50" i="7"/>
  <c r="AA50" i="7"/>
  <c r="AB50" i="7"/>
  <c r="AC50" i="7"/>
  <c r="AD50" i="7"/>
  <c r="AE50" i="7"/>
  <c r="AF50" i="7"/>
  <c r="AH50" i="7"/>
  <c r="AI50" i="7"/>
  <c r="AJ50" i="7"/>
  <c r="AM50" i="7"/>
  <c r="AO50" i="7"/>
  <c r="AP50" i="7"/>
  <c r="AQ50" i="7"/>
  <c r="AR50" i="7"/>
  <c r="AS50" i="7"/>
  <c r="AT50" i="7"/>
  <c r="AU50" i="7"/>
  <c r="D51" i="7"/>
  <c r="E51" i="7"/>
  <c r="F51" i="7"/>
  <c r="I51" i="7"/>
  <c r="K51" i="7"/>
  <c r="L51" i="7"/>
  <c r="M51" i="7"/>
  <c r="N51" i="7"/>
  <c r="O51" i="7"/>
  <c r="P51" i="7"/>
  <c r="Q51" i="7"/>
  <c r="S51" i="7"/>
  <c r="T51" i="7"/>
  <c r="U51" i="7"/>
  <c r="X51" i="7"/>
  <c r="Z51" i="7"/>
  <c r="AA51" i="7"/>
  <c r="AB51" i="7"/>
  <c r="AC51" i="7"/>
  <c r="AD51" i="7"/>
  <c r="AE51" i="7"/>
  <c r="AF51" i="7"/>
  <c r="AH51" i="7"/>
  <c r="AI51" i="7"/>
  <c r="AJ51" i="7"/>
  <c r="AM51" i="7"/>
  <c r="AO51" i="7"/>
  <c r="AP51" i="7"/>
  <c r="AQ51" i="7"/>
  <c r="AR51" i="7"/>
  <c r="AS51" i="7"/>
  <c r="AT51" i="7"/>
  <c r="AU51" i="7"/>
  <c r="D52" i="7"/>
  <c r="E52" i="7"/>
  <c r="F52" i="7"/>
  <c r="I52" i="7"/>
  <c r="K52" i="7"/>
  <c r="L52" i="7"/>
  <c r="M52" i="7"/>
  <c r="N52" i="7"/>
  <c r="O52" i="7"/>
  <c r="P52" i="7"/>
  <c r="Q52" i="7"/>
  <c r="S52" i="7"/>
  <c r="T52" i="7"/>
  <c r="U52" i="7"/>
  <c r="X52" i="7"/>
  <c r="Z52" i="7"/>
  <c r="AA52" i="7"/>
  <c r="AB52" i="7"/>
  <c r="AC52" i="7"/>
  <c r="AD52" i="7"/>
  <c r="AE52" i="7"/>
  <c r="AF52" i="7"/>
  <c r="AH52" i="7"/>
  <c r="AI52" i="7"/>
  <c r="AJ52" i="7"/>
  <c r="AM52" i="7"/>
  <c r="AO52" i="7"/>
  <c r="AP52" i="7"/>
  <c r="AQ52" i="7"/>
  <c r="AR52" i="7"/>
  <c r="AS52" i="7"/>
  <c r="AT52" i="7"/>
  <c r="AU52" i="7"/>
  <c r="D53" i="7"/>
  <c r="E53" i="7"/>
  <c r="F53" i="7"/>
  <c r="I53" i="7"/>
  <c r="K53" i="7"/>
  <c r="L53" i="7"/>
  <c r="M53" i="7"/>
  <c r="N53" i="7"/>
  <c r="O53" i="7"/>
  <c r="P53" i="7"/>
  <c r="Q53" i="7"/>
  <c r="S53" i="7"/>
  <c r="T53" i="7"/>
  <c r="U53" i="7"/>
  <c r="X53" i="7"/>
  <c r="Z53" i="7"/>
  <c r="AA53" i="7"/>
  <c r="AB53" i="7"/>
  <c r="AC53" i="7"/>
  <c r="AD53" i="7"/>
  <c r="AE53" i="7"/>
  <c r="AF53" i="7"/>
  <c r="AH53" i="7"/>
  <c r="AI53" i="7"/>
  <c r="AJ53" i="7"/>
  <c r="AM53" i="7"/>
  <c r="AO53" i="7"/>
  <c r="AP53" i="7"/>
  <c r="AQ53" i="7"/>
  <c r="AR53" i="7"/>
  <c r="AS53" i="7"/>
  <c r="AT53" i="7"/>
  <c r="AU53" i="7"/>
  <c r="D54" i="7"/>
  <c r="E54" i="7"/>
  <c r="F54" i="7"/>
  <c r="I54" i="7"/>
  <c r="K54" i="7"/>
  <c r="L54" i="7"/>
  <c r="M54" i="7"/>
  <c r="N54" i="7"/>
  <c r="O54" i="7"/>
  <c r="P54" i="7"/>
  <c r="Q54" i="7"/>
  <c r="S54" i="7"/>
  <c r="T54" i="7"/>
  <c r="U54" i="7"/>
  <c r="X54" i="7"/>
  <c r="Z54" i="7"/>
  <c r="AA54" i="7"/>
  <c r="AB54" i="7"/>
  <c r="AC54" i="7"/>
  <c r="AD54" i="7"/>
  <c r="AE54" i="7"/>
  <c r="AF54" i="7"/>
  <c r="AH54" i="7"/>
  <c r="AI54" i="7"/>
  <c r="AJ54" i="7"/>
  <c r="AM54" i="7"/>
  <c r="AO54" i="7"/>
  <c r="AP54" i="7"/>
  <c r="AQ54" i="7"/>
  <c r="AR54" i="7"/>
  <c r="AS54" i="7"/>
  <c r="AT54" i="7"/>
  <c r="AU54" i="7"/>
  <c r="D55" i="7"/>
  <c r="E55" i="7"/>
  <c r="F55" i="7"/>
  <c r="I55" i="7"/>
  <c r="K55" i="7"/>
  <c r="L55" i="7"/>
  <c r="M55" i="7"/>
  <c r="N55" i="7"/>
  <c r="O55" i="7"/>
  <c r="P55" i="7"/>
  <c r="Q55" i="7"/>
  <c r="S55" i="7"/>
  <c r="T55" i="7"/>
  <c r="U55" i="7"/>
  <c r="X55" i="7"/>
  <c r="Z55" i="7"/>
  <c r="AA55" i="7"/>
  <c r="AB55" i="7"/>
  <c r="AC55" i="7"/>
  <c r="AD55" i="7"/>
  <c r="AE55" i="7"/>
  <c r="AF55" i="7"/>
  <c r="AH55" i="7"/>
  <c r="AI55" i="7"/>
  <c r="AJ55" i="7"/>
  <c r="AM55" i="7"/>
  <c r="AO55" i="7"/>
  <c r="AP55" i="7"/>
  <c r="AQ55" i="7"/>
  <c r="AR55" i="7"/>
  <c r="AS55" i="7"/>
  <c r="AT55" i="7"/>
  <c r="AU55" i="7"/>
  <c r="D56" i="7"/>
  <c r="E56" i="7"/>
  <c r="F56" i="7"/>
  <c r="I56" i="7"/>
  <c r="K56" i="7"/>
  <c r="L56" i="7"/>
  <c r="M56" i="7"/>
  <c r="N56" i="7"/>
  <c r="O56" i="7"/>
  <c r="P56" i="7"/>
  <c r="Q56" i="7"/>
  <c r="S56" i="7"/>
  <c r="T56" i="7"/>
  <c r="U56" i="7"/>
  <c r="X56" i="7"/>
  <c r="Z56" i="7"/>
  <c r="AA56" i="7"/>
  <c r="AB56" i="7"/>
  <c r="AC56" i="7"/>
  <c r="AD56" i="7"/>
  <c r="AE56" i="7"/>
  <c r="AF56" i="7"/>
  <c r="AH56" i="7"/>
  <c r="AI56" i="7"/>
  <c r="AJ56" i="7"/>
  <c r="AM56" i="7"/>
  <c r="AO56" i="7"/>
  <c r="AP56" i="7"/>
  <c r="AQ56" i="7"/>
  <c r="AR56" i="7"/>
  <c r="AS56" i="7"/>
  <c r="AT56" i="7"/>
  <c r="AU56" i="7"/>
  <c r="D57" i="7"/>
  <c r="E57" i="7"/>
  <c r="F57" i="7"/>
  <c r="I57" i="7"/>
  <c r="K57" i="7"/>
  <c r="L57" i="7"/>
  <c r="M57" i="7"/>
  <c r="N57" i="7"/>
  <c r="O57" i="7"/>
  <c r="P57" i="7"/>
  <c r="Q57" i="7"/>
  <c r="S57" i="7"/>
  <c r="T57" i="7"/>
  <c r="U57" i="7"/>
  <c r="X57" i="7"/>
  <c r="Z57" i="7"/>
  <c r="AA57" i="7"/>
  <c r="AB57" i="7"/>
  <c r="AC57" i="7"/>
  <c r="AD57" i="7"/>
  <c r="AE57" i="7"/>
  <c r="AF57" i="7"/>
  <c r="AH57" i="7"/>
  <c r="AI57" i="7"/>
  <c r="AJ57" i="7"/>
  <c r="AM57" i="7"/>
  <c r="AO57" i="7"/>
  <c r="AP57" i="7"/>
  <c r="AQ57" i="7"/>
  <c r="AR57" i="7"/>
  <c r="AS57" i="7"/>
  <c r="AT57" i="7"/>
  <c r="AU57" i="7"/>
  <c r="D58" i="7"/>
  <c r="E58" i="7"/>
  <c r="F58" i="7"/>
  <c r="I58" i="7"/>
  <c r="K58" i="7"/>
  <c r="L58" i="7"/>
  <c r="M58" i="7"/>
  <c r="N58" i="7"/>
  <c r="O58" i="7"/>
  <c r="P58" i="7"/>
  <c r="Q58" i="7"/>
  <c r="S58" i="7"/>
  <c r="T58" i="7"/>
  <c r="U58" i="7"/>
  <c r="X58" i="7"/>
  <c r="Z58" i="7"/>
  <c r="AA58" i="7"/>
  <c r="AB58" i="7"/>
  <c r="AC58" i="7"/>
  <c r="AD58" i="7"/>
  <c r="AE58" i="7"/>
  <c r="AF58" i="7"/>
  <c r="AH58" i="7"/>
  <c r="AI58" i="7"/>
  <c r="AJ58" i="7"/>
  <c r="AM58" i="7"/>
  <c r="AO58" i="7"/>
  <c r="AP58" i="7"/>
  <c r="AQ58" i="7"/>
  <c r="AR58" i="7"/>
  <c r="AS58" i="7"/>
  <c r="AT58" i="7"/>
  <c r="AU58" i="7"/>
  <c r="D59" i="7"/>
  <c r="E59" i="7"/>
  <c r="F59" i="7"/>
  <c r="I59" i="7"/>
  <c r="K59" i="7"/>
  <c r="L59" i="7"/>
  <c r="M59" i="7"/>
  <c r="N59" i="7"/>
  <c r="O59" i="7"/>
  <c r="P59" i="7"/>
  <c r="Q59" i="7"/>
  <c r="S59" i="7"/>
  <c r="T59" i="7"/>
  <c r="U59" i="7"/>
  <c r="X59" i="7"/>
  <c r="Z59" i="7"/>
  <c r="AA59" i="7"/>
  <c r="AB59" i="7"/>
  <c r="AC59" i="7"/>
  <c r="AD59" i="7"/>
  <c r="AE59" i="7"/>
  <c r="AF59" i="7"/>
  <c r="AH59" i="7"/>
  <c r="AI59" i="7"/>
  <c r="AJ59" i="7"/>
  <c r="AM59" i="7"/>
  <c r="AO59" i="7"/>
  <c r="AP59" i="7"/>
  <c r="AQ59" i="7"/>
  <c r="AR59" i="7"/>
  <c r="AS59" i="7"/>
  <c r="AT59" i="7"/>
  <c r="AU59" i="7"/>
  <c r="D60" i="7"/>
  <c r="E60" i="7"/>
  <c r="F60" i="7"/>
  <c r="I60" i="7"/>
  <c r="K60" i="7"/>
  <c r="L60" i="7"/>
  <c r="M60" i="7"/>
  <c r="N60" i="7"/>
  <c r="O60" i="7"/>
  <c r="P60" i="7"/>
  <c r="Q60" i="7"/>
  <c r="S60" i="7"/>
  <c r="T60" i="7"/>
  <c r="U60" i="7"/>
  <c r="X60" i="7"/>
  <c r="Z60" i="7"/>
  <c r="AA60" i="7"/>
  <c r="AB60" i="7"/>
  <c r="AC60" i="7"/>
  <c r="AD60" i="7"/>
  <c r="AE60" i="7"/>
  <c r="AF60" i="7"/>
  <c r="AH60" i="7"/>
  <c r="AI60" i="7"/>
  <c r="AJ60" i="7"/>
  <c r="AM60" i="7"/>
  <c r="AO60" i="7"/>
  <c r="AP60" i="7"/>
  <c r="AQ60" i="7"/>
  <c r="AR60" i="7"/>
  <c r="AS60" i="7"/>
  <c r="AT60" i="7"/>
  <c r="AU60" i="7"/>
  <c r="D61" i="7"/>
  <c r="E61" i="7"/>
  <c r="F61" i="7"/>
  <c r="I61" i="7"/>
  <c r="K61" i="7"/>
  <c r="L61" i="7"/>
  <c r="M61" i="7"/>
  <c r="N61" i="7"/>
  <c r="O61" i="7"/>
  <c r="P61" i="7"/>
  <c r="Q61" i="7"/>
  <c r="S61" i="7"/>
  <c r="T61" i="7"/>
  <c r="U61" i="7"/>
  <c r="X61" i="7"/>
  <c r="Z61" i="7"/>
  <c r="AA61" i="7"/>
  <c r="AB61" i="7"/>
  <c r="AC61" i="7"/>
  <c r="AD61" i="7"/>
  <c r="AE61" i="7"/>
  <c r="AF61" i="7"/>
  <c r="AH61" i="7"/>
  <c r="AI61" i="7"/>
  <c r="AJ61" i="7"/>
  <c r="AM61" i="7"/>
  <c r="AO61" i="7"/>
  <c r="AP61" i="7"/>
  <c r="AQ61" i="7"/>
  <c r="AR61" i="7"/>
  <c r="AS61" i="7"/>
  <c r="AT61" i="7"/>
  <c r="AU61" i="7"/>
  <c r="D62" i="7"/>
  <c r="E62" i="7"/>
  <c r="F62" i="7"/>
  <c r="I62" i="7"/>
  <c r="K62" i="7"/>
  <c r="L62" i="7"/>
  <c r="M62" i="7"/>
  <c r="N62" i="7"/>
  <c r="O62" i="7"/>
  <c r="P62" i="7"/>
  <c r="Q62" i="7"/>
  <c r="S62" i="7"/>
  <c r="T62" i="7"/>
  <c r="U62" i="7"/>
  <c r="X62" i="7"/>
  <c r="Z62" i="7"/>
  <c r="AA62" i="7"/>
  <c r="AB62" i="7"/>
  <c r="AC62" i="7"/>
  <c r="AD62" i="7"/>
  <c r="AE62" i="7"/>
  <c r="AF62" i="7"/>
  <c r="AH62" i="7"/>
  <c r="AI62" i="7"/>
  <c r="AJ62" i="7"/>
  <c r="AM62" i="7"/>
  <c r="AO62" i="7"/>
  <c r="AP62" i="7"/>
  <c r="AQ62" i="7"/>
  <c r="AR62" i="7"/>
  <c r="AS62" i="7"/>
  <c r="AT62" i="7"/>
  <c r="AU62" i="7"/>
  <c r="D63" i="7"/>
  <c r="E63" i="7"/>
  <c r="F63" i="7"/>
  <c r="I63" i="7"/>
  <c r="K63" i="7"/>
  <c r="L63" i="7"/>
  <c r="M63" i="7"/>
  <c r="N63" i="7"/>
  <c r="O63" i="7"/>
  <c r="P63" i="7"/>
  <c r="Q63" i="7"/>
  <c r="S63" i="7"/>
  <c r="T63" i="7"/>
  <c r="U63" i="7"/>
  <c r="X63" i="7"/>
  <c r="Z63" i="7"/>
  <c r="AA63" i="7"/>
  <c r="AB63" i="7"/>
  <c r="AC63" i="7"/>
  <c r="AD63" i="7"/>
  <c r="AE63" i="7"/>
  <c r="AF63" i="7"/>
  <c r="AH63" i="7"/>
  <c r="AI63" i="7"/>
  <c r="AJ63" i="7"/>
  <c r="AM63" i="7"/>
  <c r="AO63" i="7"/>
  <c r="AP63" i="7"/>
  <c r="AQ63" i="7"/>
  <c r="AR63" i="7"/>
  <c r="AS63" i="7"/>
  <c r="AT63" i="7"/>
  <c r="AU63" i="7"/>
  <c r="D64" i="7"/>
  <c r="E64" i="7"/>
  <c r="F64" i="7"/>
  <c r="I64" i="7"/>
  <c r="K64" i="7"/>
  <c r="L64" i="7"/>
  <c r="M64" i="7"/>
  <c r="N64" i="7"/>
  <c r="O64" i="7"/>
  <c r="P64" i="7"/>
  <c r="Q64" i="7"/>
  <c r="S64" i="7"/>
  <c r="T64" i="7"/>
  <c r="U64" i="7"/>
  <c r="X64" i="7"/>
  <c r="Z64" i="7"/>
  <c r="AA64" i="7"/>
  <c r="AB64" i="7"/>
  <c r="AC64" i="7"/>
  <c r="AD64" i="7"/>
  <c r="AE64" i="7"/>
  <c r="AF64" i="7"/>
  <c r="AH64" i="7"/>
  <c r="AI64" i="7"/>
  <c r="AJ64" i="7"/>
  <c r="AM64" i="7"/>
  <c r="AO64" i="7"/>
  <c r="AP64" i="7"/>
  <c r="AQ64" i="7"/>
  <c r="AR64" i="7"/>
  <c r="AS64" i="7"/>
  <c r="AT64" i="7"/>
  <c r="AU64" i="7"/>
  <c r="D65" i="7"/>
  <c r="E65" i="7"/>
  <c r="F65" i="7"/>
  <c r="I65" i="7"/>
  <c r="K65" i="7"/>
  <c r="L65" i="7"/>
  <c r="M65" i="7"/>
  <c r="N65" i="7"/>
  <c r="O65" i="7"/>
  <c r="P65" i="7"/>
  <c r="Q65" i="7"/>
  <c r="S65" i="7"/>
  <c r="T65" i="7"/>
  <c r="U65" i="7"/>
  <c r="X65" i="7"/>
  <c r="Z65" i="7"/>
  <c r="AA65" i="7"/>
  <c r="AB65" i="7"/>
  <c r="AC65" i="7"/>
  <c r="AD65" i="7"/>
  <c r="AE65" i="7"/>
  <c r="AF65" i="7"/>
  <c r="AH65" i="7"/>
  <c r="AI65" i="7"/>
  <c r="AJ65" i="7"/>
  <c r="AM65" i="7"/>
  <c r="AO65" i="7"/>
  <c r="AP65" i="7"/>
  <c r="AQ65" i="7"/>
  <c r="AR65" i="7"/>
  <c r="AS65" i="7"/>
  <c r="AT65" i="7"/>
  <c r="AU65" i="7"/>
  <c r="D66" i="7"/>
  <c r="E66" i="7"/>
  <c r="F66" i="7"/>
  <c r="I66" i="7"/>
  <c r="K66" i="7"/>
  <c r="L66" i="7"/>
  <c r="M66" i="7"/>
  <c r="N66" i="7"/>
  <c r="O66" i="7"/>
  <c r="P66" i="7"/>
  <c r="Q66" i="7"/>
  <c r="S66" i="7"/>
  <c r="T66" i="7"/>
  <c r="U66" i="7"/>
  <c r="X66" i="7"/>
  <c r="Z66" i="7"/>
  <c r="AA66" i="7"/>
  <c r="AB66" i="7"/>
  <c r="AC66" i="7"/>
  <c r="AD66" i="7"/>
  <c r="AE66" i="7"/>
  <c r="AF66" i="7"/>
  <c r="AH66" i="7"/>
  <c r="AI66" i="7"/>
  <c r="AJ66" i="7"/>
  <c r="AM66" i="7"/>
  <c r="AO66" i="7"/>
  <c r="AP66" i="7"/>
  <c r="AQ66" i="7"/>
  <c r="AR66" i="7"/>
  <c r="AS66" i="7"/>
  <c r="AT66" i="7"/>
  <c r="AU66" i="7"/>
  <c r="D67" i="7"/>
  <c r="E67" i="7"/>
  <c r="F67" i="7"/>
  <c r="I67" i="7"/>
  <c r="K67" i="7"/>
  <c r="L67" i="7"/>
  <c r="M67" i="7"/>
  <c r="N67" i="7"/>
  <c r="O67" i="7"/>
  <c r="P67" i="7"/>
  <c r="Q67" i="7"/>
  <c r="S67" i="7"/>
  <c r="T67" i="7"/>
  <c r="U67" i="7"/>
  <c r="X67" i="7"/>
  <c r="Z67" i="7"/>
  <c r="AA67" i="7"/>
  <c r="AB67" i="7"/>
  <c r="AC67" i="7"/>
  <c r="AD67" i="7"/>
  <c r="AE67" i="7"/>
  <c r="AF67" i="7"/>
  <c r="AH67" i="7"/>
  <c r="AI67" i="7"/>
  <c r="AJ67" i="7"/>
  <c r="AM67" i="7"/>
  <c r="AO67" i="7"/>
  <c r="AP67" i="7"/>
  <c r="AQ67" i="7"/>
  <c r="AR67" i="7"/>
  <c r="AS67" i="7"/>
  <c r="AT67" i="7"/>
  <c r="AU67" i="7"/>
  <c r="D68" i="7"/>
  <c r="E68" i="7"/>
  <c r="F68" i="7"/>
  <c r="I68" i="7"/>
  <c r="K68" i="7"/>
  <c r="L68" i="7"/>
  <c r="M68" i="7"/>
  <c r="N68" i="7"/>
  <c r="O68" i="7"/>
  <c r="P68" i="7"/>
  <c r="Q68" i="7"/>
  <c r="S68" i="7"/>
  <c r="T68" i="7"/>
  <c r="U68" i="7"/>
  <c r="X68" i="7"/>
  <c r="Z68" i="7"/>
  <c r="AA68" i="7"/>
  <c r="AB68" i="7"/>
  <c r="AC68" i="7"/>
  <c r="AD68" i="7"/>
  <c r="AE68" i="7"/>
  <c r="AF68" i="7"/>
  <c r="AH68" i="7"/>
  <c r="AI68" i="7"/>
  <c r="AJ68" i="7"/>
  <c r="AM68" i="7"/>
  <c r="AO68" i="7"/>
  <c r="AP68" i="7"/>
  <c r="AQ68" i="7"/>
  <c r="AR68" i="7"/>
  <c r="AS68" i="7"/>
  <c r="AT68" i="7"/>
  <c r="AU68" i="7"/>
  <c r="D69" i="7"/>
  <c r="E69" i="7"/>
  <c r="F69" i="7"/>
  <c r="I69" i="7"/>
  <c r="K69" i="7"/>
  <c r="L69" i="7"/>
  <c r="M69" i="7"/>
  <c r="N69" i="7"/>
  <c r="O69" i="7"/>
  <c r="P69" i="7"/>
  <c r="Q69" i="7"/>
  <c r="S69" i="7"/>
  <c r="T69" i="7"/>
  <c r="U69" i="7"/>
  <c r="X69" i="7"/>
  <c r="Z69" i="7"/>
  <c r="AA69" i="7"/>
  <c r="AB69" i="7"/>
  <c r="AC69" i="7"/>
  <c r="AD69" i="7"/>
  <c r="AE69" i="7"/>
  <c r="AF69" i="7"/>
  <c r="AH69" i="7"/>
  <c r="AI69" i="7"/>
  <c r="AJ69" i="7"/>
  <c r="AM69" i="7"/>
  <c r="AO69" i="7"/>
  <c r="AP69" i="7"/>
  <c r="AQ69" i="7"/>
  <c r="AR69" i="7"/>
  <c r="AS69" i="7"/>
  <c r="AT69" i="7"/>
  <c r="AU69" i="7"/>
  <c r="D70" i="7"/>
  <c r="E70" i="7"/>
  <c r="F70" i="7"/>
  <c r="I70" i="7"/>
  <c r="K70" i="7"/>
  <c r="L70" i="7"/>
  <c r="M70" i="7"/>
  <c r="N70" i="7"/>
  <c r="O70" i="7"/>
  <c r="P70" i="7"/>
  <c r="Q70" i="7"/>
  <c r="S70" i="7"/>
  <c r="T70" i="7"/>
  <c r="U70" i="7"/>
  <c r="X70" i="7"/>
  <c r="Z70" i="7"/>
  <c r="AA70" i="7"/>
  <c r="AB70" i="7"/>
  <c r="AC70" i="7"/>
  <c r="AD70" i="7"/>
  <c r="AE70" i="7"/>
  <c r="AF70" i="7"/>
  <c r="AH70" i="7"/>
  <c r="AI70" i="7"/>
  <c r="AJ70" i="7"/>
  <c r="AM70" i="7"/>
  <c r="AO70" i="7"/>
  <c r="AP70" i="7"/>
  <c r="AQ70" i="7"/>
  <c r="AR70" i="7"/>
  <c r="AS70" i="7"/>
  <c r="AT70" i="7"/>
  <c r="AU70" i="7"/>
  <c r="D71" i="7"/>
  <c r="E71" i="7"/>
  <c r="F71" i="7"/>
  <c r="I71" i="7"/>
  <c r="K71" i="7"/>
  <c r="L71" i="7"/>
  <c r="M71" i="7"/>
  <c r="N71" i="7"/>
  <c r="O71" i="7"/>
  <c r="P71" i="7"/>
  <c r="Q71" i="7"/>
  <c r="S71" i="7"/>
  <c r="T71" i="7"/>
  <c r="U71" i="7"/>
  <c r="X71" i="7"/>
  <c r="Z71" i="7"/>
  <c r="AA71" i="7"/>
  <c r="AB71" i="7"/>
  <c r="AC71" i="7"/>
  <c r="AD71" i="7"/>
  <c r="AE71" i="7"/>
  <c r="AF71" i="7"/>
  <c r="AH71" i="7"/>
  <c r="AI71" i="7"/>
  <c r="AJ71" i="7"/>
  <c r="AM71" i="7"/>
  <c r="AO71" i="7"/>
  <c r="AP71" i="7"/>
  <c r="AQ71" i="7"/>
  <c r="AR71" i="7"/>
  <c r="AS71" i="7"/>
  <c r="AT71" i="7"/>
  <c r="AU71" i="7"/>
  <c r="D72" i="7"/>
  <c r="E72" i="7"/>
  <c r="F72" i="7"/>
  <c r="I72" i="7"/>
  <c r="K72" i="7"/>
  <c r="L72" i="7"/>
  <c r="M72" i="7"/>
  <c r="N72" i="7"/>
  <c r="O72" i="7"/>
  <c r="P72" i="7"/>
  <c r="Q72" i="7"/>
  <c r="S72" i="7"/>
  <c r="T72" i="7"/>
  <c r="U72" i="7"/>
  <c r="X72" i="7"/>
  <c r="Z72" i="7"/>
  <c r="AA72" i="7"/>
  <c r="AB72" i="7"/>
  <c r="AC72" i="7"/>
  <c r="AD72" i="7"/>
  <c r="AE72" i="7"/>
  <c r="AF72" i="7"/>
  <c r="AH72" i="7"/>
  <c r="AI72" i="7"/>
  <c r="AJ72" i="7"/>
  <c r="AM72" i="7"/>
  <c r="AO72" i="7"/>
  <c r="AP72" i="7"/>
  <c r="AQ72" i="7"/>
  <c r="AR72" i="7"/>
  <c r="AS72" i="7"/>
  <c r="AT72" i="7"/>
  <c r="AU72" i="7"/>
  <c r="D73" i="7"/>
  <c r="E73" i="7"/>
  <c r="F73" i="7"/>
  <c r="I73" i="7"/>
  <c r="K73" i="7"/>
  <c r="L73" i="7"/>
  <c r="M73" i="7"/>
  <c r="N73" i="7"/>
  <c r="O73" i="7"/>
  <c r="P73" i="7"/>
  <c r="Q73" i="7"/>
  <c r="S73" i="7"/>
  <c r="T73" i="7"/>
  <c r="U73" i="7"/>
  <c r="X73" i="7"/>
  <c r="Z73" i="7"/>
  <c r="AA73" i="7"/>
  <c r="AB73" i="7"/>
  <c r="AC73" i="7"/>
  <c r="AD73" i="7"/>
  <c r="AE73" i="7"/>
  <c r="AF73" i="7"/>
  <c r="AH73" i="7"/>
  <c r="AI73" i="7"/>
  <c r="AJ73" i="7"/>
  <c r="AM73" i="7"/>
  <c r="AO73" i="7"/>
  <c r="AP73" i="7"/>
  <c r="AQ73" i="7"/>
  <c r="AR73" i="7"/>
  <c r="AS73" i="7"/>
  <c r="AT73" i="7"/>
  <c r="AU73" i="7"/>
  <c r="D74" i="7"/>
  <c r="E74" i="7"/>
  <c r="F74" i="7"/>
  <c r="I74" i="7"/>
  <c r="K74" i="7"/>
  <c r="L74" i="7"/>
  <c r="M74" i="7"/>
  <c r="N74" i="7"/>
  <c r="O74" i="7"/>
  <c r="P74" i="7"/>
  <c r="Q74" i="7"/>
  <c r="S74" i="7"/>
  <c r="T74" i="7"/>
  <c r="U74" i="7"/>
  <c r="X74" i="7"/>
  <c r="Z74" i="7"/>
  <c r="AA74" i="7"/>
  <c r="AB74" i="7"/>
  <c r="AC74" i="7"/>
  <c r="AD74" i="7"/>
  <c r="AE74" i="7"/>
  <c r="AF74" i="7"/>
  <c r="AH74" i="7"/>
  <c r="AI74" i="7"/>
  <c r="AJ74" i="7"/>
  <c r="AM74" i="7"/>
  <c r="AO74" i="7"/>
  <c r="AP74" i="7"/>
  <c r="AQ74" i="7"/>
  <c r="AR74" i="7"/>
  <c r="AS74" i="7"/>
  <c r="AT74" i="7"/>
  <c r="AU74" i="7"/>
  <c r="D75" i="7"/>
  <c r="E75" i="7"/>
  <c r="F75" i="7"/>
  <c r="I75" i="7"/>
  <c r="K75" i="7"/>
  <c r="L75" i="7"/>
  <c r="M75" i="7"/>
  <c r="N75" i="7"/>
  <c r="O75" i="7"/>
  <c r="P75" i="7"/>
  <c r="Q75" i="7"/>
  <c r="S75" i="7"/>
  <c r="T75" i="7"/>
  <c r="U75" i="7"/>
  <c r="X75" i="7"/>
  <c r="Z75" i="7"/>
  <c r="AA75" i="7"/>
  <c r="AB75" i="7"/>
  <c r="AC75" i="7"/>
  <c r="AD75" i="7"/>
  <c r="AE75" i="7"/>
  <c r="AF75" i="7"/>
  <c r="AH75" i="7"/>
  <c r="AI75" i="7"/>
  <c r="AJ75" i="7"/>
  <c r="AM75" i="7"/>
  <c r="AO75" i="7"/>
  <c r="AP75" i="7"/>
  <c r="AQ75" i="7"/>
  <c r="AR75" i="7"/>
  <c r="AS75" i="7"/>
  <c r="AT75" i="7"/>
  <c r="AU75" i="7"/>
  <c r="D76" i="7"/>
  <c r="E76" i="7"/>
  <c r="F76" i="7"/>
  <c r="I76" i="7"/>
  <c r="K76" i="7"/>
  <c r="L76" i="7"/>
  <c r="M76" i="7"/>
  <c r="N76" i="7"/>
  <c r="O76" i="7"/>
  <c r="P76" i="7"/>
  <c r="Q76" i="7"/>
  <c r="S76" i="7"/>
  <c r="T76" i="7"/>
  <c r="U76" i="7"/>
  <c r="X76" i="7"/>
  <c r="Z76" i="7"/>
  <c r="AA76" i="7"/>
  <c r="AB76" i="7"/>
  <c r="AC76" i="7"/>
  <c r="AD76" i="7"/>
  <c r="AE76" i="7"/>
  <c r="AF76" i="7"/>
  <c r="AH76" i="7"/>
  <c r="AI76" i="7"/>
  <c r="AJ76" i="7"/>
  <c r="AM76" i="7"/>
  <c r="AO76" i="7"/>
  <c r="AP76" i="7"/>
  <c r="AQ76" i="7"/>
  <c r="AR76" i="7"/>
  <c r="AS76" i="7"/>
  <c r="AT76" i="7"/>
  <c r="AU76" i="7"/>
  <c r="D77" i="7"/>
  <c r="E77" i="7"/>
  <c r="F77" i="7"/>
  <c r="I77" i="7"/>
  <c r="K77" i="7"/>
  <c r="L77" i="7"/>
  <c r="M77" i="7"/>
  <c r="N77" i="7"/>
  <c r="O77" i="7"/>
  <c r="P77" i="7"/>
  <c r="Q77" i="7"/>
  <c r="S77" i="7"/>
  <c r="T77" i="7"/>
  <c r="U77" i="7"/>
  <c r="X77" i="7"/>
  <c r="Z77" i="7"/>
  <c r="AA77" i="7"/>
  <c r="AB77" i="7"/>
  <c r="AC77" i="7"/>
  <c r="AD77" i="7"/>
  <c r="AE77" i="7"/>
  <c r="AF77" i="7"/>
  <c r="AH77" i="7"/>
  <c r="AI77" i="7"/>
  <c r="AJ77" i="7"/>
  <c r="AM77" i="7"/>
  <c r="AO77" i="7"/>
  <c r="AP77" i="7"/>
  <c r="AQ77" i="7"/>
  <c r="AR77" i="7"/>
  <c r="AS77" i="7"/>
  <c r="AT77" i="7"/>
  <c r="AU77" i="7"/>
  <c r="D78" i="7"/>
  <c r="E78" i="7"/>
  <c r="F78" i="7"/>
  <c r="I78" i="7"/>
  <c r="K78" i="7"/>
  <c r="L78" i="7"/>
  <c r="M78" i="7"/>
  <c r="N78" i="7"/>
  <c r="O78" i="7"/>
  <c r="P78" i="7"/>
  <c r="Q78" i="7"/>
  <c r="S78" i="7"/>
  <c r="T78" i="7"/>
  <c r="U78" i="7"/>
  <c r="X78" i="7"/>
  <c r="Z78" i="7"/>
  <c r="AA78" i="7"/>
  <c r="AB78" i="7"/>
  <c r="AC78" i="7"/>
  <c r="AD78" i="7"/>
  <c r="AE78" i="7"/>
  <c r="AF78" i="7"/>
  <c r="AH78" i="7"/>
  <c r="AI78" i="7"/>
  <c r="AJ78" i="7"/>
  <c r="AM78" i="7"/>
  <c r="AO78" i="7"/>
  <c r="AP78" i="7"/>
  <c r="AQ78" i="7"/>
  <c r="AR78" i="7"/>
  <c r="AS78" i="7"/>
  <c r="AT78" i="7"/>
  <c r="AU78" i="7"/>
  <c r="D79" i="7"/>
  <c r="E79" i="7"/>
  <c r="F79" i="7"/>
  <c r="I79" i="7"/>
  <c r="K79" i="7"/>
  <c r="L79" i="7"/>
  <c r="M79" i="7"/>
  <c r="N79" i="7"/>
  <c r="O79" i="7"/>
  <c r="P79" i="7"/>
  <c r="Q79" i="7"/>
  <c r="S79" i="7"/>
  <c r="T79" i="7"/>
  <c r="U79" i="7"/>
  <c r="X79" i="7"/>
  <c r="Z79" i="7"/>
  <c r="AA79" i="7"/>
  <c r="AB79" i="7"/>
  <c r="AC79" i="7"/>
  <c r="AD79" i="7"/>
  <c r="AE79" i="7"/>
  <c r="AF79" i="7"/>
  <c r="AH79" i="7"/>
  <c r="AI79" i="7"/>
  <c r="AJ79" i="7"/>
  <c r="AM79" i="7"/>
  <c r="AO79" i="7"/>
  <c r="AP79" i="7"/>
  <c r="AQ79" i="7"/>
  <c r="AR79" i="7"/>
  <c r="AS79" i="7"/>
  <c r="AT79" i="7"/>
  <c r="AU79" i="7"/>
  <c r="D80" i="7"/>
  <c r="E80" i="7"/>
  <c r="F80" i="7"/>
  <c r="I80" i="7"/>
  <c r="K80" i="7"/>
  <c r="L80" i="7"/>
  <c r="M80" i="7"/>
  <c r="N80" i="7"/>
  <c r="O80" i="7"/>
  <c r="P80" i="7"/>
  <c r="Q80" i="7"/>
  <c r="S80" i="7"/>
  <c r="T80" i="7"/>
  <c r="U80" i="7"/>
  <c r="X80" i="7"/>
  <c r="Z80" i="7"/>
  <c r="AA80" i="7"/>
  <c r="AB80" i="7"/>
  <c r="AC80" i="7"/>
  <c r="AD80" i="7"/>
  <c r="AE80" i="7"/>
  <c r="AF80" i="7"/>
  <c r="AH80" i="7"/>
  <c r="AI80" i="7"/>
  <c r="AJ80" i="7"/>
  <c r="AM80" i="7"/>
  <c r="AO80" i="7"/>
  <c r="AP80" i="7"/>
  <c r="AQ80" i="7"/>
  <c r="AR80" i="7"/>
  <c r="AS80" i="7"/>
  <c r="AT80" i="7"/>
  <c r="AU80" i="7"/>
  <c r="D81" i="7"/>
  <c r="E81" i="7"/>
  <c r="F81" i="7"/>
  <c r="I81" i="7"/>
  <c r="K81" i="7"/>
  <c r="L81" i="7"/>
  <c r="M81" i="7"/>
  <c r="N81" i="7"/>
  <c r="O81" i="7"/>
  <c r="P81" i="7"/>
  <c r="Q81" i="7"/>
  <c r="S81" i="7"/>
  <c r="T81" i="7"/>
  <c r="U81" i="7"/>
  <c r="X81" i="7"/>
  <c r="Z81" i="7"/>
  <c r="AA81" i="7"/>
  <c r="AB81" i="7"/>
  <c r="AC81" i="7"/>
  <c r="AD81" i="7"/>
  <c r="AE81" i="7"/>
  <c r="AF81" i="7"/>
  <c r="AH81" i="7"/>
  <c r="AI81" i="7"/>
  <c r="AJ81" i="7"/>
  <c r="AM81" i="7"/>
  <c r="AO81" i="7"/>
  <c r="AP81" i="7"/>
  <c r="AQ81" i="7"/>
  <c r="AR81" i="7"/>
  <c r="AS81" i="7"/>
  <c r="AT81" i="7"/>
  <c r="AU81" i="7"/>
  <c r="D82" i="7"/>
  <c r="E82" i="7"/>
  <c r="F82" i="7"/>
  <c r="I82" i="7"/>
  <c r="K82" i="7"/>
  <c r="L82" i="7"/>
  <c r="M82" i="7"/>
  <c r="N82" i="7"/>
  <c r="O82" i="7"/>
  <c r="P82" i="7"/>
  <c r="Q82" i="7"/>
  <c r="S82" i="7"/>
  <c r="T82" i="7"/>
  <c r="U82" i="7"/>
  <c r="X82" i="7"/>
  <c r="Z82" i="7"/>
  <c r="AA82" i="7"/>
  <c r="AB82" i="7"/>
  <c r="AC82" i="7"/>
  <c r="AD82" i="7"/>
  <c r="AE82" i="7"/>
  <c r="AF82" i="7"/>
  <c r="AH82" i="7"/>
  <c r="AI82" i="7"/>
  <c r="AJ82" i="7"/>
  <c r="AM82" i="7"/>
  <c r="AO82" i="7"/>
  <c r="AP82" i="7"/>
  <c r="AQ82" i="7"/>
  <c r="AR82" i="7"/>
  <c r="AS82" i="7"/>
  <c r="AT82" i="7"/>
  <c r="AU82" i="7"/>
  <c r="D83" i="7"/>
  <c r="E83" i="7"/>
  <c r="F83" i="7"/>
  <c r="I83" i="7"/>
  <c r="K83" i="7"/>
  <c r="L83" i="7"/>
  <c r="M83" i="7"/>
  <c r="N83" i="7"/>
  <c r="O83" i="7"/>
  <c r="P83" i="7"/>
  <c r="Q83" i="7"/>
  <c r="S83" i="7"/>
  <c r="T83" i="7"/>
  <c r="U83" i="7"/>
  <c r="X83" i="7"/>
  <c r="Z83" i="7"/>
  <c r="AA83" i="7"/>
  <c r="AB83" i="7"/>
  <c r="AC83" i="7"/>
  <c r="AD83" i="7"/>
  <c r="AE83" i="7"/>
  <c r="AF83" i="7"/>
  <c r="AH83" i="7"/>
  <c r="AI83" i="7"/>
  <c r="AJ83" i="7"/>
  <c r="AM83" i="7"/>
  <c r="AO83" i="7"/>
  <c r="AP83" i="7"/>
  <c r="AQ83" i="7"/>
  <c r="AR83" i="7"/>
  <c r="AS83" i="7"/>
  <c r="AT83" i="7"/>
  <c r="AU83" i="7"/>
  <c r="D84" i="7"/>
  <c r="E84" i="7"/>
  <c r="F84" i="7"/>
  <c r="I84" i="7"/>
  <c r="K84" i="7"/>
  <c r="L84" i="7"/>
  <c r="M84" i="7"/>
  <c r="N84" i="7"/>
  <c r="O84" i="7"/>
  <c r="P84" i="7"/>
  <c r="Q84" i="7"/>
  <c r="S84" i="7"/>
  <c r="T84" i="7"/>
  <c r="U84" i="7"/>
  <c r="X84" i="7"/>
  <c r="Z84" i="7"/>
  <c r="AA84" i="7"/>
  <c r="AB84" i="7"/>
  <c r="AC84" i="7"/>
  <c r="AD84" i="7"/>
  <c r="AE84" i="7"/>
  <c r="AF84" i="7"/>
  <c r="AH84" i="7"/>
  <c r="AI84" i="7"/>
  <c r="AJ84" i="7"/>
  <c r="AM84" i="7"/>
  <c r="AO84" i="7"/>
  <c r="AP84" i="7"/>
  <c r="AQ84" i="7"/>
  <c r="AR84" i="7"/>
  <c r="AS84" i="7"/>
  <c r="AT84" i="7"/>
  <c r="AU84" i="7"/>
  <c r="D85" i="7"/>
  <c r="E85" i="7"/>
  <c r="F85" i="7"/>
  <c r="I85" i="7"/>
  <c r="K85" i="7"/>
  <c r="L85" i="7"/>
  <c r="M85" i="7"/>
  <c r="N85" i="7"/>
  <c r="O85" i="7"/>
  <c r="P85" i="7"/>
  <c r="Q85" i="7"/>
  <c r="S85" i="7"/>
  <c r="T85" i="7"/>
  <c r="U85" i="7"/>
  <c r="X85" i="7"/>
  <c r="Z85" i="7"/>
  <c r="AA85" i="7"/>
  <c r="AB85" i="7"/>
  <c r="AC85" i="7"/>
  <c r="AD85" i="7"/>
  <c r="AE85" i="7"/>
  <c r="AF85" i="7"/>
  <c r="AH85" i="7"/>
  <c r="AI85" i="7"/>
  <c r="AJ85" i="7"/>
  <c r="AM85" i="7"/>
  <c r="AO85" i="7"/>
  <c r="AP85" i="7"/>
  <c r="AQ85" i="7"/>
  <c r="AR85" i="7"/>
  <c r="AS85" i="7"/>
  <c r="AT85" i="7"/>
  <c r="AU85" i="7"/>
  <c r="D86" i="7"/>
  <c r="E86" i="7"/>
  <c r="F86" i="7"/>
  <c r="I86" i="7"/>
  <c r="K86" i="7"/>
  <c r="L86" i="7"/>
  <c r="M86" i="7"/>
  <c r="N86" i="7"/>
  <c r="O86" i="7"/>
  <c r="P86" i="7"/>
  <c r="Q86" i="7"/>
  <c r="S86" i="7"/>
  <c r="T86" i="7"/>
  <c r="U86" i="7"/>
  <c r="X86" i="7"/>
  <c r="Z86" i="7"/>
  <c r="AA86" i="7"/>
  <c r="AB86" i="7"/>
  <c r="AC86" i="7"/>
  <c r="AD86" i="7"/>
  <c r="AE86" i="7"/>
  <c r="AF86" i="7"/>
  <c r="AH86" i="7"/>
  <c r="AI86" i="7"/>
  <c r="AJ86" i="7"/>
  <c r="AM86" i="7"/>
  <c r="AO86" i="7"/>
  <c r="AP86" i="7"/>
  <c r="AQ86" i="7"/>
  <c r="AR86" i="7"/>
  <c r="AS86" i="7"/>
  <c r="AT86" i="7"/>
  <c r="AU86" i="7"/>
  <c r="D87" i="7"/>
  <c r="E87" i="7"/>
  <c r="F87" i="7"/>
  <c r="I87" i="7"/>
  <c r="K87" i="7"/>
  <c r="L87" i="7"/>
  <c r="M87" i="7"/>
  <c r="N87" i="7"/>
  <c r="O87" i="7"/>
  <c r="P87" i="7"/>
  <c r="Q87" i="7"/>
  <c r="S87" i="7"/>
  <c r="T87" i="7"/>
  <c r="U87" i="7"/>
  <c r="X87" i="7"/>
  <c r="Z87" i="7"/>
  <c r="AA87" i="7"/>
  <c r="AB87" i="7"/>
  <c r="AC87" i="7"/>
  <c r="AD87" i="7"/>
  <c r="AE87" i="7"/>
  <c r="AF87" i="7"/>
  <c r="AH87" i="7"/>
  <c r="AI87" i="7"/>
  <c r="AJ87" i="7"/>
  <c r="AM87" i="7"/>
  <c r="AO87" i="7"/>
  <c r="AP87" i="7"/>
  <c r="AQ87" i="7"/>
  <c r="AR87" i="7"/>
  <c r="AS87" i="7"/>
  <c r="AT87" i="7"/>
  <c r="AU87" i="7"/>
  <c r="C4" i="12"/>
  <c r="D4" i="12"/>
  <c r="E4" i="12"/>
  <c r="H4" i="12"/>
  <c r="J4" i="12"/>
  <c r="K4" i="12"/>
  <c r="L4" i="12"/>
  <c r="N4" i="12"/>
  <c r="O4" i="12"/>
  <c r="P4" i="12"/>
  <c r="Q4" i="12"/>
  <c r="R4" i="12"/>
  <c r="S4" i="12"/>
  <c r="T4" i="12"/>
  <c r="U4" i="12"/>
  <c r="W4" i="12"/>
  <c r="X4" i="12"/>
  <c r="Y4" i="12"/>
  <c r="AB4" i="12"/>
  <c r="AD4" i="12"/>
  <c r="AE4" i="12"/>
  <c r="AF4" i="12"/>
  <c r="AH4" i="12"/>
  <c r="AI4" i="12"/>
  <c r="AJ4" i="12"/>
  <c r="AK4" i="12"/>
  <c r="AL4" i="12"/>
  <c r="AM4" i="12"/>
  <c r="AN4" i="12"/>
  <c r="AO4" i="12"/>
  <c r="AQ4" i="12"/>
  <c r="AR4" i="12"/>
  <c r="AS4" i="12"/>
  <c r="AV4" i="12"/>
  <c r="AX4" i="12"/>
  <c r="AY4" i="12"/>
  <c r="AZ4" i="12"/>
  <c r="BB4" i="12"/>
  <c r="BC4" i="12"/>
  <c r="BD4" i="12"/>
  <c r="BE4" i="12"/>
  <c r="BF4" i="12"/>
  <c r="BG4" i="12"/>
  <c r="BH4" i="12"/>
  <c r="BI4" i="12"/>
  <c r="C5" i="12"/>
  <c r="D5" i="12"/>
  <c r="E5" i="12"/>
  <c r="H5" i="12"/>
  <c r="J5" i="12"/>
  <c r="K5" i="12"/>
  <c r="L5" i="12"/>
  <c r="N5" i="12"/>
  <c r="O5" i="12"/>
  <c r="P5" i="12"/>
  <c r="Q5" i="12"/>
  <c r="R5" i="12"/>
  <c r="S5" i="12"/>
  <c r="T5" i="12"/>
  <c r="U5" i="12"/>
  <c r="W5" i="12"/>
  <c r="X5" i="12"/>
  <c r="Y5" i="12"/>
  <c r="AB5" i="12"/>
  <c r="AD5" i="12"/>
  <c r="AE5" i="12"/>
  <c r="AF5" i="12"/>
  <c r="AH5" i="12"/>
  <c r="AI5" i="12"/>
  <c r="AJ5" i="12"/>
  <c r="AK5" i="12"/>
  <c r="AL5" i="12"/>
  <c r="AM5" i="12"/>
  <c r="AN5" i="12"/>
  <c r="AO5" i="12"/>
  <c r="AQ5" i="12"/>
  <c r="AR5" i="12"/>
  <c r="AS5" i="12"/>
  <c r="AV5" i="12"/>
  <c r="AX5" i="12"/>
  <c r="AY5" i="12"/>
  <c r="AZ5" i="12"/>
  <c r="BB5" i="12"/>
  <c r="BC5" i="12"/>
  <c r="BD5" i="12"/>
  <c r="BE5" i="12"/>
  <c r="BF5" i="12"/>
  <c r="BG5" i="12"/>
  <c r="BH5" i="12"/>
  <c r="BI5" i="12"/>
  <c r="C6" i="12"/>
  <c r="D6" i="12"/>
  <c r="E6" i="12"/>
  <c r="H6" i="12"/>
  <c r="J6" i="12"/>
  <c r="K6" i="12"/>
  <c r="L6" i="12"/>
  <c r="N6" i="12"/>
  <c r="O6" i="12"/>
  <c r="P6" i="12"/>
  <c r="Q6" i="12"/>
  <c r="R6" i="12"/>
  <c r="S6" i="12"/>
  <c r="T6" i="12"/>
  <c r="U6" i="12"/>
  <c r="W6" i="12"/>
  <c r="X6" i="12"/>
  <c r="Y6" i="12"/>
  <c r="AB6" i="12"/>
  <c r="AD6" i="12"/>
  <c r="AE6" i="12"/>
  <c r="AF6" i="12"/>
  <c r="AH6" i="12"/>
  <c r="AI6" i="12"/>
  <c r="AJ6" i="12"/>
  <c r="AK6" i="12"/>
  <c r="AL6" i="12"/>
  <c r="AM6" i="12"/>
  <c r="AN6" i="12"/>
  <c r="AO6" i="12"/>
  <c r="AQ6" i="12"/>
  <c r="AR6" i="12"/>
  <c r="AS6" i="12"/>
  <c r="AV6" i="12"/>
  <c r="AX6" i="12"/>
  <c r="AY6" i="12"/>
  <c r="AZ6" i="12"/>
  <c r="BB6" i="12"/>
  <c r="BC6" i="12"/>
  <c r="BD6" i="12"/>
  <c r="BE6" i="12"/>
  <c r="BF6" i="12"/>
  <c r="BG6" i="12"/>
  <c r="BH6" i="12"/>
  <c r="BI6" i="12"/>
  <c r="C7" i="12"/>
  <c r="D7" i="12"/>
  <c r="E7" i="12"/>
  <c r="H7" i="12"/>
  <c r="J7" i="12"/>
  <c r="K7" i="12"/>
  <c r="L7" i="12"/>
  <c r="N7" i="12"/>
  <c r="O7" i="12"/>
  <c r="P7" i="12"/>
  <c r="Q7" i="12"/>
  <c r="R7" i="12"/>
  <c r="S7" i="12"/>
  <c r="T7" i="12"/>
  <c r="U7" i="12"/>
  <c r="W7" i="12"/>
  <c r="X7" i="12"/>
  <c r="Y7" i="12"/>
  <c r="AB7" i="12"/>
  <c r="AD7" i="12"/>
  <c r="AE7" i="12"/>
  <c r="AF7" i="12"/>
  <c r="AH7" i="12"/>
  <c r="AI7" i="12"/>
  <c r="AJ7" i="12"/>
  <c r="AK7" i="12"/>
  <c r="AL7" i="12"/>
  <c r="AM7" i="12"/>
  <c r="AN7" i="12"/>
  <c r="AO7" i="12"/>
  <c r="AQ7" i="12"/>
  <c r="AR7" i="12"/>
  <c r="AS7" i="12"/>
  <c r="AV7" i="12"/>
  <c r="AX7" i="12"/>
  <c r="AY7" i="12"/>
  <c r="AZ7" i="12"/>
  <c r="BB7" i="12"/>
  <c r="BC7" i="12"/>
  <c r="BD7" i="12"/>
  <c r="BE7" i="12"/>
  <c r="BF7" i="12"/>
  <c r="BG7" i="12"/>
  <c r="BH7" i="12"/>
  <c r="BI7" i="12"/>
  <c r="C8" i="12"/>
  <c r="D8" i="12"/>
  <c r="E8" i="12"/>
  <c r="H8" i="12"/>
  <c r="J8" i="12"/>
  <c r="K8" i="12"/>
  <c r="L8" i="12"/>
  <c r="N8" i="12"/>
  <c r="O8" i="12"/>
  <c r="P8" i="12"/>
  <c r="Q8" i="12"/>
  <c r="R8" i="12"/>
  <c r="S8" i="12"/>
  <c r="T8" i="12"/>
  <c r="U8" i="12"/>
  <c r="W8" i="12"/>
  <c r="X8" i="12"/>
  <c r="Y8" i="12"/>
  <c r="AB8" i="12"/>
  <c r="AD8" i="12"/>
  <c r="AE8" i="12"/>
  <c r="AF8" i="12"/>
  <c r="AH8" i="12"/>
  <c r="AI8" i="12"/>
  <c r="AJ8" i="12"/>
  <c r="AK8" i="12"/>
  <c r="AL8" i="12"/>
  <c r="AM8" i="12"/>
  <c r="AN8" i="12"/>
  <c r="AO8" i="12"/>
  <c r="AQ8" i="12"/>
  <c r="AR8" i="12"/>
  <c r="AS8" i="12"/>
  <c r="AV8" i="12"/>
  <c r="AX8" i="12"/>
  <c r="AY8" i="12"/>
  <c r="AZ8" i="12"/>
  <c r="BB8" i="12"/>
  <c r="BC8" i="12"/>
  <c r="BD8" i="12"/>
  <c r="BE8" i="12"/>
  <c r="BF8" i="12"/>
  <c r="BG8" i="12"/>
  <c r="BH8" i="12"/>
  <c r="BI8" i="12"/>
  <c r="C9" i="12"/>
  <c r="D9" i="12"/>
  <c r="E9" i="12"/>
  <c r="H9" i="12"/>
  <c r="J9" i="12"/>
  <c r="K9" i="12"/>
  <c r="L9" i="12"/>
  <c r="N9" i="12"/>
  <c r="O9" i="12"/>
  <c r="P9" i="12"/>
  <c r="Q9" i="12"/>
  <c r="R9" i="12"/>
  <c r="S9" i="12"/>
  <c r="T9" i="12"/>
  <c r="U9" i="12"/>
  <c r="W9" i="12"/>
  <c r="X9" i="12"/>
  <c r="Y9" i="12"/>
  <c r="AB9" i="12"/>
  <c r="AD9" i="12"/>
  <c r="AE9" i="12"/>
  <c r="AF9" i="12"/>
  <c r="AH9" i="12"/>
  <c r="AI9" i="12"/>
  <c r="AJ9" i="12"/>
  <c r="AK9" i="12"/>
  <c r="AL9" i="12"/>
  <c r="AM9" i="12"/>
  <c r="AN9" i="12"/>
  <c r="AO9" i="12"/>
  <c r="AQ9" i="12"/>
  <c r="AR9" i="12"/>
  <c r="AS9" i="12"/>
  <c r="AV9" i="12"/>
  <c r="AX9" i="12"/>
  <c r="AY9" i="12"/>
  <c r="AZ9" i="12"/>
  <c r="BB9" i="12"/>
  <c r="BC9" i="12"/>
  <c r="BD9" i="12"/>
  <c r="BE9" i="12"/>
  <c r="BF9" i="12"/>
  <c r="BG9" i="12"/>
  <c r="BH9" i="12"/>
  <c r="BI9" i="12"/>
  <c r="C10" i="12"/>
  <c r="D10" i="12"/>
  <c r="E10" i="12"/>
  <c r="H10" i="12"/>
  <c r="J10" i="12"/>
  <c r="K10" i="12"/>
  <c r="L10" i="12"/>
  <c r="N10" i="12"/>
  <c r="O10" i="12"/>
  <c r="P10" i="12"/>
  <c r="Q10" i="12"/>
  <c r="R10" i="12"/>
  <c r="S10" i="12"/>
  <c r="T10" i="12"/>
  <c r="U10" i="12"/>
  <c r="W10" i="12"/>
  <c r="X10" i="12"/>
  <c r="Y10" i="12"/>
  <c r="AB10" i="12"/>
  <c r="AD10" i="12"/>
  <c r="AE10" i="12"/>
  <c r="AF10" i="12"/>
  <c r="AH10" i="12"/>
  <c r="AI10" i="12"/>
  <c r="AJ10" i="12"/>
  <c r="AK10" i="12"/>
  <c r="AL10" i="12"/>
  <c r="AM10" i="12"/>
  <c r="AN10" i="12"/>
  <c r="AO10" i="12"/>
  <c r="AQ10" i="12"/>
  <c r="AR10" i="12"/>
  <c r="AS10" i="12"/>
  <c r="AV10" i="12"/>
  <c r="AX10" i="12"/>
  <c r="AY10" i="12"/>
  <c r="AZ10" i="12"/>
  <c r="BB10" i="12"/>
  <c r="BC10" i="12"/>
  <c r="BD10" i="12"/>
  <c r="BE10" i="12"/>
  <c r="BF10" i="12"/>
  <c r="BG10" i="12"/>
  <c r="BH10" i="12"/>
  <c r="BI10" i="12"/>
  <c r="C11" i="12"/>
  <c r="D11" i="12"/>
  <c r="E11" i="12"/>
  <c r="H11" i="12"/>
  <c r="J11" i="12"/>
  <c r="K11" i="12"/>
  <c r="L11" i="12"/>
  <c r="N11" i="12"/>
  <c r="O11" i="12"/>
  <c r="P11" i="12"/>
  <c r="Q11" i="12"/>
  <c r="R11" i="12"/>
  <c r="S11" i="12"/>
  <c r="T11" i="12"/>
  <c r="U11" i="12"/>
  <c r="W11" i="12"/>
  <c r="X11" i="12"/>
  <c r="Y11" i="12"/>
  <c r="AB11" i="12"/>
  <c r="AD11" i="12"/>
  <c r="AE11" i="12"/>
  <c r="AF11" i="12"/>
  <c r="AH11" i="12"/>
  <c r="AI11" i="12"/>
  <c r="AJ11" i="12"/>
  <c r="AK11" i="12"/>
  <c r="AL11" i="12"/>
  <c r="AM11" i="12"/>
  <c r="AN11" i="12"/>
  <c r="AO11" i="12"/>
  <c r="AQ11" i="12"/>
  <c r="AR11" i="12"/>
  <c r="AS11" i="12"/>
  <c r="AV11" i="12"/>
  <c r="AX11" i="12"/>
  <c r="AY11" i="12"/>
  <c r="AZ11" i="12"/>
  <c r="BB11" i="12"/>
  <c r="BC11" i="12"/>
  <c r="BD11" i="12"/>
  <c r="BE11" i="12"/>
  <c r="BF11" i="12"/>
  <c r="BG11" i="12"/>
  <c r="BH11" i="12"/>
  <c r="BI11" i="12"/>
  <c r="C12" i="12"/>
  <c r="D12" i="12"/>
  <c r="E12" i="12"/>
  <c r="H12" i="12"/>
  <c r="J12" i="12"/>
  <c r="K12" i="12"/>
  <c r="L12" i="12"/>
  <c r="N12" i="12"/>
  <c r="O12" i="12"/>
  <c r="P12" i="12"/>
  <c r="Q12" i="12"/>
  <c r="R12" i="12"/>
  <c r="S12" i="12"/>
  <c r="T12" i="12"/>
  <c r="U12" i="12"/>
  <c r="W12" i="12"/>
  <c r="X12" i="12"/>
  <c r="Y12" i="12"/>
  <c r="AB12" i="12"/>
  <c r="AD12" i="12"/>
  <c r="AE12" i="12"/>
  <c r="AF12" i="12"/>
  <c r="AH12" i="12"/>
  <c r="AI12" i="12"/>
  <c r="AJ12" i="12"/>
  <c r="AK12" i="12"/>
  <c r="AL12" i="12"/>
  <c r="AM12" i="12"/>
  <c r="AN12" i="12"/>
  <c r="AO12" i="12"/>
  <c r="AQ12" i="12"/>
  <c r="AR12" i="12"/>
  <c r="AS12" i="12"/>
  <c r="AV12" i="12"/>
  <c r="AX12" i="12"/>
  <c r="AY12" i="12"/>
  <c r="AZ12" i="12"/>
  <c r="BB12" i="12"/>
  <c r="BC12" i="12"/>
  <c r="BD12" i="12"/>
  <c r="BE12" i="12"/>
  <c r="BF12" i="12"/>
  <c r="BG12" i="12"/>
  <c r="BH12" i="12"/>
  <c r="BI12" i="12"/>
  <c r="C13" i="12"/>
  <c r="D13" i="12"/>
  <c r="E13" i="12"/>
  <c r="H13" i="12"/>
  <c r="J13" i="12"/>
  <c r="K13" i="12"/>
  <c r="L13" i="12"/>
  <c r="N13" i="12"/>
  <c r="O13" i="12"/>
  <c r="P13" i="12"/>
  <c r="Q13" i="12"/>
  <c r="R13" i="12"/>
  <c r="S13" i="12"/>
  <c r="T13" i="12"/>
  <c r="U13" i="12"/>
  <c r="W13" i="12"/>
  <c r="X13" i="12"/>
  <c r="Y13" i="12"/>
  <c r="AB13" i="12"/>
  <c r="AD13" i="12"/>
  <c r="AE13" i="12"/>
  <c r="AF13" i="12"/>
  <c r="AH13" i="12"/>
  <c r="AI13" i="12"/>
  <c r="AJ13" i="12"/>
  <c r="AK13" i="12"/>
  <c r="AL13" i="12"/>
  <c r="AM13" i="12"/>
  <c r="AN13" i="12"/>
  <c r="AO13" i="12"/>
  <c r="AQ13" i="12"/>
  <c r="AR13" i="12"/>
  <c r="AS13" i="12"/>
  <c r="AV13" i="12"/>
  <c r="AX13" i="12"/>
  <c r="AY13" i="12"/>
  <c r="AZ13" i="12"/>
  <c r="BB13" i="12"/>
  <c r="BC13" i="12"/>
  <c r="BD13" i="12"/>
  <c r="BE13" i="12"/>
  <c r="BF13" i="12"/>
  <c r="BG13" i="12"/>
  <c r="BH13" i="12"/>
  <c r="BI13" i="12"/>
  <c r="C15" i="12"/>
  <c r="D15" i="12"/>
  <c r="E15" i="12"/>
  <c r="H15" i="12"/>
  <c r="J15" i="12"/>
  <c r="K15" i="12"/>
  <c r="L15" i="12"/>
  <c r="N15" i="12"/>
  <c r="O15" i="12"/>
  <c r="P15" i="12"/>
  <c r="Q15" i="12"/>
  <c r="R15" i="12"/>
  <c r="S15" i="12"/>
  <c r="T15" i="12"/>
  <c r="U15" i="12"/>
  <c r="W15" i="12"/>
  <c r="X15" i="12"/>
  <c r="Y15" i="12"/>
  <c r="AB15" i="12"/>
  <c r="AD15" i="12"/>
  <c r="AE15" i="12"/>
  <c r="AF15" i="12"/>
  <c r="AH15" i="12"/>
  <c r="AI15" i="12"/>
  <c r="AJ15" i="12"/>
  <c r="AK15" i="12"/>
  <c r="AL15" i="12"/>
  <c r="AM15" i="12"/>
  <c r="AN15" i="12"/>
  <c r="AO15" i="12"/>
  <c r="AQ15" i="12"/>
  <c r="AR15" i="12"/>
  <c r="AS15" i="12"/>
  <c r="AV15" i="12"/>
  <c r="AX15" i="12"/>
  <c r="AY15" i="12"/>
  <c r="AZ15" i="12"/>
  <c r="BB15" i="12"/>
  <c r="BC15" i="12"/>
  <c r="BD15" i="12"/>
  <c r="BE15" i="12"/>
  <c r="BF15" i="12"/>
  <c r="BG15" i="12"/>
  <c r="BH15" i="12"/>
  <c r="BI15" i="12"/>
  <c r="C16" i="12"/>
  <c r="D16" i="12"/>
  <c r="E16" i="12"/>
  <c r="H16" i="12"/>
  <c r="J16" i="12"/>
  <c r="K16" i="12"/>
  <c r="L16" i="12"/>
  <c r="N16" i="12"/>
  <c r="O16" i="12"/>
  <c r="P16" i="12"/>
  <c r="Q16" i="12"/>
  <c r="R16" i="12"/>
  <c r="S16" i="12"/>
  <c r="T16" i="12"/>
  <c r="U16" i="12"/>
  <c r="W16" i="12"/>
  <c r="X16" i="12"/>
  <c r="Y16" i="12"/>
  <c r="AB16" i="12"/>
  <c r="AD16" i="12"/>
  <c r="AE16" i="12"/>
  <c r="AF16" i="12"/>
  <c r="AH16" i="12"/>
  <c r="AI16" i="12"/>
  <c r="AJ16" i="12"/>
  <c r="AK16" i="12"/>
  <c r="AL16" i="12"/>
  <c r="AM16" i="12"/>
  <c r="AN16" i="12"/>
  <c r="AO16" i="12"/>
  <c r="AQ16" i="12"/>
  <c r="AR16" i="12"/>
  <c r="AS16" i="12"/>
  <c r="AV16" i="12"/>
  <c r="AX16" i="12"/>
  <c r="AY16" i="12"/>
  <c r="AZ16" i="12"/>
  <c r="BB16" i="12"/>
  <c r="BC16" i="12"/>
  <c r="BD16" i="12"/>
  <c r="BE16" i="12"/>
  <c r="BF16" i="12"/>
  <c r="BG16" i="12"/>
  <c r="BH16" i="12"/>
  <c r="BI16" i="12"/>
  <c r="C17" i="12"/>
  <c r="D17" i="12"/>
  <c r="E17" i="12"/>
  <c r="H17" i="12"/>
  <c r="J17" i="12"/>
  <c r="K17" i="12"/>
  <c r="L17" i="12"/>
  <c r="N17" i="12"/>
  <c r="O17" i="12"/>
  <c r="P17" i="12"/>
  <c r="Q17" i="12"/>
  <c r="R17" i="12"/>
  <c r="S17" i="12"/>
  <c r="T17" i="12"/>
  <c r="U17" i="12"/>
  <c r="W17" i="12"/>
  <c r="X17" i="12"/>
  <c r="Y17" i="12"/>
  <c r="AB17" i="12"/>
  <c r="AD17" i="12"/>
  <c r="AE17" i="12"/>
  <c r="AF17" i="12"/>
  <c r="AH17" i="12"/>
  <c r="AI17" i="12"/>
  <c r="AJ17" i="12"/>
  <c r="AK17" i="12"/>
  <c r="AL17" i="12"/>
  <c r="AM17" i="12"/>
  <c r="AN17" i="12"/>
  <c r="AO17" i="12"/>
  <c r="AQ17" i="12"/>
  <c r="AR17" i="12"/>
  <c r="AS17" i="12"/>
  <c r="AV17" i="12"/>
  <c r="AX17" i="12"/>
  <c r="AY17" i="12"/>
  <c r="AZ17" i="12"/>
  <c r="BB17" i="12"/>
  <c r="BC17" i="12"/>
  <c r="BD17" i="12"/>
  <c r="BE17" i="12"/>
  <c r="BF17" i="12"/>
  <c r="BG17" i="12"/>
  <c r="BH17" i="12"/>
  <c r="BI17" i="12"/>
  <c r="C18" i="12"/>
  <c r="D18" i="12"/>
  <c r="E18" i="12"/>
  <c r="H18" i="12"/>
  <c r="J18" i="12"/>
  <c r="K18" i="12"/>
  <c r="L18" i="12"/>
  <c r="N18" i="12"/>
  <c r="O18" i="12"/>
  <c r="P18" i="12"/>
  <c r="Q18" i="12"/>
  <c r="R18" i="12"/>
  <c r="S18" i="12"/>
  <c r="T18" i="12"/>
  <c r="U18" i="12"/>
  <c r="W18" i="12"/>
  <c r="X18" i="12"/>
  <c r="Y18" i="12"/>
  <c r="AB18" i="12"/>
  <c r="AD18" i="12"/>
  <c r="AE18" i="12"/>
  <c r="AF18" i="12"/>
  <c r="AH18" i="12"/>
  <c r="AI18" i="12"/>
  <c r="AJ18" i="12"/>
  <c r="AK18" i="12"/>
  <c r="AL18" i="12"/>
  <c r="AM18" i="12"/>
  <c r="AN18" i="12"/>
  <c r="AO18" i="12"/>
  <c r="AQ18" i="12"/>
  <c r="AR18" i="12"/>
  <c r="AS18" i="12"/>
  <c r="AV18" i="12"/>
  <c r="AX18" i="12"/>
  <c r="AY18" i="12"/>
  <c r="AZ18" i="12"/>
  <c r="BB18" i="12"/>
  <c r="BC18" i="12"/>
  <c r="BD18" i="12"/>
  <c r="BE18" i="12"/>
  <c r="BF18" i="12"/>
  <c r="BG18" i="12"/>
  <c r="BH18" i="12"/>
  <c r="BI18" i="12"/>
  <c r="C19" i="12"/>
  <c r="D19" i="12"/>
  <c r="E19" i="12"/>
  <c r="H19" i="12"/>
  <c r="J19" i="12"/>
  <c r="K19" i="12"/>
  <c r="L19" i="12"/>
  <c r="N19" i="12"/>
  <c r="O19" i="12"/>
  <c r="P19" i="12"/>
  <c r="Q19" i="12"/>
  <c r="R19" i="12"/>
  <c r="S19" i="12"/>
  <c r="T19" i="12"/>
  <c r="U19" i="12"/>
  <c r="W19" i="12"/>
  <c r="X19" i="12"/>
  <c r="Y19" i="12"/>
  <c r="AB19" i="12"/>
  <c r="AD19" i="12"/>
  <c r="AE19" i="12"/>
  <c r="AF19" i="12"/>
  <c r="AH19" i="12"/>
  <c r="AI19" i="12"/>
  <c r="AJ19" i="12"/>
  <c r="AK19" i="12"/>
  <c r="AL19" i="12"/>
  <c r="AM19" i="12"/>
  <c r="AN19" i="12"/>
  <c r="AO19" i="12"/>
  <c r="AQ19" i="12"/>
  <c r="AR19" i="12"/>
  <c r="AS19" i="12"/>
  <c r="AV19" i="12"/>
  <c r="AX19" i="12"/>
  <c r="AY19" i="12"/>
  <c r="AZ19" i="12"/>
  <c r="BB19" i="12"/>
  <c r="BC19" i="12"/>
  <c r="BD19" i="12"/>
  <c r="BE19" i="12"/>
  <c r="BF19" i="12"/>
  <c r="BG19" i="12"/>
  <c r="BH19" i="12"/>
  <c r="BI19" i="12"/>
  <c r="C20" i="12"/>
  <c r="D20" i="12"/>
  <c r="E20" i="12"/>
  <c r="H20" i="12"/>
  <c r="J20" i="12"/>
  <c r="K20" i="12"/>
  <c r="L20" i="12"/>
  <c r="N20" i="12"/>
  <c r="O20" i="12"/>
  <c r="P20" i="12"/>
  <c r="Q20" i="12"/>
  <c r="R20" i="12"/>
  <c r="S20" i="12"/>
  <c r="T20" i="12"/>
  <c r="U20" i="12"/>
  <c r="W20" i="12"/>
  <c r="X20" i="12"/>
  <c r="Y20" i="12"/>
  <c r="AB20" i="12"/>
  <c r="AD20" i="12"/>
  <c r="AE20" i="12"/>
  <c r="AF20" i="12"/>
  <c r="AH20" i="12"/>
  <c r="AI20" i="12"/>
  <c r="AJ20" i="12"/>
  <c r="AK20" i="12"/>
  <c r="AL20" i="12"/>
  <c r="AM20" i="12"/>
  <c r="AN20" i="12"/>
  <c r="AO20" i="12"/>
  <c r="AQ20" i="12"/>
  <c r="AR20" i="12"/>
  <c r="AS20" i="12"/>
  <c r="AV20" i="12"/>
  <c r="AX20" i="12"/>
  <c r="AY20" i="12"/>
  <c r="AZ20" i="12"/>
  <c r="BB20" i="12"/>
  <c r="BC20" i="12"/>
  <c r="BD20" i="12"/>
  <c r="BE20" i="12"/>
  <c r="BF20" i="12"/>
  <c r="BG20" i="12"/>
  <c r="BH20" i="12"/>
  <c r="BI20" i="12"/>
  <c r="C21" i="12"/>
  <c r="D21" i="12"/>
  <c r="E21" i="12"/>
  <c r="H21" i="12"/>
  <c r="J21" i="12"/>
  <c r="K21" i="12"/>
  <c r="L21" i="12"/>
  <c r="N21" i="12"/>
  <c r="O21" i="12"/>
  <c r="P21" i="12"/>
  <c r="Q21" i="12"/>
  <c r="R21" i="12"/>
  <c r="S21" i="12"/>
  <c r="T21" i="12"/>
  <c r="U21" i="12"/>
  <c r="W21" i="12"/>
  <c r="X21" i="12"/>
  <c r="Y21" i="12"/>
  <c r="AB21" i="12"/>
  <c r="AD21" i="12"/>
  <c r="AE21" i="12"/>
  <c r="AF21" i="12"/>
  <c r="AH21" i="12"/>
  <c r="AI21" i="12"/>
  <c r="AJ21" i="12"/>
  <c r="AK21" i="12"/>
  <c r="AL21" i="12"/>
  <c r="AM21" i="12"/>
  <c r="AN21" i="12"/>
  <c r="AO21" i="12"/>
  <c r="AQ21" i="12"/>
  <c r="AR21" i="12"/>
  <c r="AS21" i="12"/>
  <c r="AV21" i="12"/>
  <c r="AX21" i="12"/>
  <c r="AY21" i="12"/>
  <c r="AZ21" i="12"/>
  <c r="BB21" i="12"/>
  <c r="BC21" i="12"/>
  <c r="BD21" i="12"/>
  <c r="BE21" i="12"/>
  <c r="BF21" i="12"/>
  <c r="BG21" i="12"/>
  <c r="BH21" i="12"/>
  <c r="BI21" i="12"/>
  <c r="C22" i="12"/>
  <c r="D22" i="12"/>
  <c r="E22" i="12"/>
  <c r="H22" i="12"/>
  <c r="J22" i="12"/>
  <c r="K22" i="12"/>
  <c r="L22" i="12"/>
  <c r="N22" i="12"/>
  <c r="O22" i="12"/>
  <c r="P22" i="12"/>
  <c r="Q22" i="12"/>
  <c r="R22" i="12"/>
  <c r="S22" i="12"/>
  <c r="T22" i="12"/>
  <c r="U22" i="12"/>
  <c r="W22" i="12"/>
  <c r="X22" i="12"/>
  <c r="Y22" i="12"/>
  <c r="AB22" i="12"/>
  <c r="AD22" i="12"/>
  <c r="AE22" i="12"/>
  <c r="AF22" i="12"/>
  <c r="AH22" i="12"/>
  <c r="AI22" i="12"/>
  <c r="AJ22" i="12"/>
  <c r="AK22" i="12"/>
  <c r="AL22" i="12"/>
  <c r="AM22" i="12"/>
  <c r="AN22" i="12"/>
  <c r="AO22" i="12"/>
  <c r="AQ22" i="12"/>
  <c r="AR22" i="12"/>
  <c r="AS22" i="12"/>
  <c r="AV22" i="12"/>
  <c r="AX22" i="12"/>
  <c r="AY22" i="12"/>
  <c r="AZ22" i="12"/>
  <c r="BB22" i="12"/>
  <c r="BC22" i="12"/>
  <c r="BD22" i="12"/>
  <c r="BE22" i="12"/>
  <c r="BF22" i="12"/>
  <c r="BG22" i="12"/>
  <c r="BH22" i="12"/>
  <c r="BI22" i="12"/>
  <c r="C23" i="12"/>
  <c r="D23" i="12"/>
  <c r="E23" i="12"/>
  <c r="H23" i="12"/>
  <c r="J23" i="12"/>
  <c r="K23" i="12"/>
  <c r="L23" i="12"/>
  <c r="N23" i="12"/>
  <c r="O23" i="12"/>
  <c r="P23" i="12"/>
  <c r="Q23" i="12"/>
  <c r="R23" i="12"/>
  <c r="S23" i="12"/>
  <c r="T23" i="12"/>
  <c r="U23" i="12"/>
  <c r="W23" i="12"/>
  <c r="X23" i="12"/>
  <c r="Y23" i="12"/>
  <c r="AB23" i="12"/>
  <c r="AD23" i="12"/>
  <c r="AE23" i="12"/>
  <c r="AF23" i="12"/>
  <c r="AH23" i="12"/>
  <c r="AI23" i="12"/>
  <c r="AJ23" i="12"/>
  <c r="AK23" i="12"/>
  <c r="AL23" i="12"/>
  <c r="AM23" i="12"/>
  <c r="AN23" i="12"/>
  <c r="AO23" i="12"/>
  <c r="AQ23" i="12"/>
  <c r="AR23" i="12"/>
  <c r="AS23" i="12"/>
  <c r="AV23" i="12"/>
  <c r="AX23" i="12"/>
  <c r="AY23" i="12"/>
  <c r="AZ23" i="12"/>
  <c r="BB23" i="12"/>
  <c r="BC23" i="12"/>
  <c r="BD23" i="12"/>
  <c r="BE23" i="12"/>
  <c r="BF23" i="12"/>
  <c r="BG23" i="12"/>
  <c r="BH23" i="12"/>
  <c r="BI23" i="12"/>
  <c r="C24" i="12"/>
  <c r="D24" i="12"/>
  <c r="E24" i="12"/>
  <c r="H24" i="12"/>
  <c r="J24" i="12"/>
  <c r="K24" i="12"/>
  <c r="L24" i="12"/>
  <c r="N24" i="12"/>
  <c r="O24" i="12"/>
  <c r="P24" i="12"/>
  <c r="Q24" i="12"/>
  <c r="R24" i="12"/>
  <c r="S24" i="12"/>
  <c r="T24" i="12"/>
  <c r="U24" i="12"/>
  <c r="W24" i="12"/>
  <c r="X24" i="12"/>
  <c r="Y24" i="12"/>
  <c r="AB24" i="12"/>
  <c r="AD24" i="12"/>
  <c r="AE24" i="12"/>
  <c r="AF24" i="12"/>
  <c r="AH24" i="12"/>
  <c r="AI24" i="12"/>
  <c r="AJ24" i="12"/>
  <c r="AK24" i="12"/>
  <c r="AL24" i="12"/>
  <c r="AM24" i="12"/>
  <c r="AN24" i="12"/>
  <c r="AO24" i="12"/>
  <c r="AQ24" i="12"/>
  <c r="AR24" i="12"/>
  <c r="AS24" i="12"/>
  <c r="AV24" i="12"/>
  <c r="AX24" i="12"/>
  <c r="AY24" i="12"/>
  <c r="AZ24" i="12"/>
  <c r="BB24" i="12"/>
  <c r="BC24" i="12"/>
  <c r="BD24" i="12"/>
  <c r="BE24" i="12"/>
  <c r="BF24" i="12"/>
  <c r="BG24" i="12"/>
  <c r="BH24" i="12"/>
  <c r="BI24" i="12"/>
</calcChain>
</file>

<file path=xl/sharedStrings.xml><?xml version="1.0" encoding="utf-8"?>
<sst xmlns="http://schemas.openxmlformats.org/spreadsheetml/2006/main" count="703" uniqueCount="317">
  <si>
    <t>gm_power</t>
  </si>
  <si>
    <t>PARAMETER</t>
  </si>
  <si>
    <t>V</t>
  </si>
  <si>
    <t>A/V</t>
  </si>
  <si>
    <t>ns</t>
  </si>
  <si>
    <t>mA</t>
  </si>
  <si>
    <t>V/ns</t>
  </si>
  <si>
    <t>LX_slew_rise</t>
  </si>
  <si>
    <t>LX_slew_fall</t>
  </si>
  <si>
    <t>nC</t>
  </si>
  <si>
    <t>AVOL</t>
  </si>
  <si>
    <t>dB</t>
  </si>
  <si>
    <t>gm_EA</t>
  </si>
  <si>
    <t>A</t>
  </si>
  <si>
    <t>Rz</t>
  </si>
  <si>
    <t>Cz</t>
  </si>
  <si>
    <t>Cp</t>
  </si>
  <si>
    <t>MHz</t>
  </si>
  <si>
    <t>nF</t>
  </si>
  <si>
    <t>pF</t>
  </si>
  <si>
    <t>KHz</t>
  </si>
  <si>
    <t>mV</t>
  </si>
  <si>
    <t>VFB</t>
  </si>
  <si>
    <t>Qg_FET</t>
  </si>
  <si>
    <t>‒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</si>
  <si>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</si>
  <si>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%</t>
  </si>
  <si>
    <t>VFB tol</t>
  </si>
  <si>
    <t>Co_ESR</t>
  </si>
  <si>
    <t>Co_ESL</t>
  </si>
  <si>
    <t>nH</t>
  </si>
  <si>
    <t>VALUE</t>
  </si>
  <si>
    <t>COMPONENT</t>
  </si>
  <si>
    <t>MIN</t>
  </si>
  <si>
    <t>TYP</t>
  </si>
  <si>
    <t>MAX</t>
  </si>
  <si>
    <t>UNITS</t>
  </si>
  <si>
    <t>UVLO Hysteresis</t>
  </si>
  <si>
    <t>COMMENTS</t>
  </si>
  <si>
    <t>ms</t>
  </si>
  <si>
    <t>SS_I_source</t>
  </si>
  <si>
    <t>Fsw_tol</t>
  </si>
  <si>
    <t xml:space="preserve">Fsw = </t>
  </si>
  <si>
    <t xml:space="preserve">Lo = </t>
  </si>
  <si>
    <t>Fsw_max</t>
  </si>
  <si>
    <t>Cin_min</t>
  </si>
  <si>
    <t>fc =</t>
  </si>
  <si>
    <t>Input capacitance RMS current requirement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</si>
  <si>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ILo, target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</si>
  <si>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ILo_max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</si>
  <si>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ILo_typ</t>
    </r>
  </si>
  <si>
    <t>Calculated values</t>
  </si>
  <si>
    <t>Used to calculate Lo at typical Vin, Vout</t>
  </si>
  <si>
    <t>Vout, target</t>
  </si>
  <si>
    <t>RFB1_calc</t>
  </si>
  <si>
    <t>RFB2_calc</t>
  </si>
  <si>
    <t xml:space="preserve">RFB1 = </t>
  </si>
  <si>
    <t>RFB2 =</t>
  </si>
  <si>
    <t>Data sheet values</t>
  </si>
  <si>
    <t>Design supplied value</t>
  </si>
  <si>
    <t>Data sheet value</t>
  </si>
  <si>
    <t>C_SS_min</t>
  </si>
  <si>
    <t>Output inductor tolerances</t>
  </si>
  <si>
    <t>SS_release</t>
  </si>
  <si>
    <t>t_ss_typ</t>
  </si>
  <si>
    <t>SS_delay_typ</t>
  </si>
  <si>
    <t>Typical soft-start ramp time using actual C_SS</t>
  </si>
  <si>
    <t xml:space="preserve">C_SS = </t>
  </si>
  <si>
    <t>Recommended minimum soft-start capacitor</t>
  </si>
  <si>
    <r>
      <t>K</t>
    </r>
    <r>
      <rPr>
        <sz val="11"/>
        <color indexed="8"/>
        <rFont val="Calibri"/>
        <family val="2"/>
      </rPr>
      <t>Ω</t>
    </r>
  </si>
  <si>
    <t>Approximate soft start time (Vout ramp)</t>
  </si>
  <si>
    <r>
      <t>A</t>
    </r>
    <r>
      <rPr>
        <vertAlign val="subscript"/>
        <sz val="11"/>
        <color indexed="8"/>
        <rFont val="Calibri"/>
        <family val="2"/>
      </rPr>
      <t>DC</t>
    </r>
  </si>
  <si>
    <r>
      <t>A</t>
    </r>
    <r>
      <rPr>
        <vertAlign val="subscript"/>
        <sz val="11"/>
        <color indexed="8"/>
        <rFont val="Calibri"/>
        <family val="2"/>
      </rPr>
      <t>PP</t>
    </r>
  </si>
  <si>
    <r>
      <t>A</t>
    </r>
    <r>
      <rPr>
        <vertAlign val="subscript"/>
        <sz val="11"/>
        <color indexed="8"/>
        <rFont val="Calibri"/>
        <family val="2"/>
      </rPr>
      <t>PEAK</t>
    </r>
  </si>
  <si>
    <t>SS time, target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</si>
  <si>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</si>
  <si>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</si>
  <si>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indexed="8"/>
        <rFont val="Calibri"/>
        <family val="2"/>
      </rPr>
      <t>RMS</t>
    </r>
  </si>
  <si>
    <r>
      <t>Iout</t>
    </r>
    <r>
      <rPr>
        <b/>
        <vertAlign val="subscript"/>
        <sz val="11"/>
        <color indexed="8"/>
        <rFont val="Calibri"/>
        <family val="2"/>
      </rPr>
      <t>MAX</t>
    </r>
  </si>
  <si>
    <r>
      <t>% of Iout</t>
    </r>
    <r>
      <rPr>
        <vertAlign val="subscript"/>
        <sz val="11"/>
        <color indexed="8"/>
        <rFont val="Calibri"/>
        <family val="2"/>
      </rPr>
      <t>MAX</t>
    </r>
  </si>
  <si>
    <r>
      <t>fc</t>
    </r>
    <r>
      <rPr>
        <b/>
        <vertAlign val="subscript"/>
        <sz val="11"/>
        <color indexed="8"/>
        <rFont val="Calibri"/>
        <family val="2"/>
      </rPr>
      <t>MAX</t>
    </r>
  </si>
  <si>
    <t>RFB combo</t>
  </si>
  <si>
    <t>Recommended minimum input capacitance including DC bias</t>
  </si>
  <si>
    <r>
      <t>Typical delay from EN</t>
    </r>
    <r>
      <rPr>
        <sz val="11"/>
        <color indexed="8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 to when LX begins switching and Vout rises</t>
    </r>
  </si>
  <si>
    <t>Ω</t>
  </si>
  <si>
    <r>
      <t>f</t>
    </r>
    <r>
      <rPr>
        <b/>
        <vertAlign val="subscript"/>
        <sz val="11"/>
        <color indexed="8"/>
        <rFont val="Calibri"/>
        <family val="2"/>
      </rPr>
      <t>P1</t>
    </r>
  </si>
  <si>
    <r>
      <t>f</t>
    </r>
    <r>
      <rPr>
        <b/>
        <vertAlign val="subscript"/>
        <sz val="11"/>
        <color indexed="8"/>
        <rFont val="Calibri"/>
        <family val="2"/>
      </rPr>
      <t>Z1</t>
    </r>
  </si>
  <si>
    <t>Ro_EA</t>
  </si>
  <si>
    <r>
      <t>M</t>
    </r>
    <r>
      <rPr>
        <sz val="11"/>
        <color indexed="8"/>
        <rFont val="Calibri"/>
        <family val="2"/>
      </rPr>
      <t>Ω</t>
    </r>
  </si>
  <si>
    <t xml:space="preserve">Rz = </t>
  </si>
  <si>
    <t>Use the closest available 1% standard resister value</t>
  </si>
  <si>
    <r>
      <t>R_LOAD</t>
    </r>
    <r>
      <rPr>
        <b/>
        <vertAlign val="subscript"/>
        <sz val="11"/>
        <color indexed="8"/>
        <rFont val="Calibri"/>
        <family val="2"/>
      </rPr>
      <t>TYP</t>
    </r>
  </si>
  <si>
    <t>Recommended maximum 0dB crossover frequency of the system</t>
  </si>
  <si>
    <t>Zero formed by the output capacitance and its ESR</t>
  </si>
  <si>
    <t>Recommended FB resister from Vout to VFB</t>
  </si>
  <si>
    <t>Recommended FB resister from VFB to GND</t>
  </si>
  <si>
    <r>
      <t xml:space="preserve">Compensation is based on average current: </t>
    </r>
    <r>
      <rPr>
        <sz val="11"/>
        <color indexed="8"/>
        <rFont val="Calibri"/>
        <family val="2"/>
      </rPr>
      <t>Δ</t>
    </r>
    <r>
      <rPr>
        <sz val="11"/>
        <color theme="1"/>
        <rFont val="Calibri"/>
        <family val="2"/>
        <scheme val="minor"/>
      </rPr>
      <t>ILo/2 &lt; Iout &lt; Iout</t>
    </r>
    <r>
      <rPr>
        <vertAlign val="subscript"/>
        <sz val="11"/>
        <color indexed="8"/>
        <rFont val="Calibri"/>
        <family val="2"/>
      </rPr>
      <t>MAX</t>
    </r>
  </si>
  <si>
    <t>Choose the closest available 1% standard resister value</t>
  </si>
  <si>
    <t>Desired output voltage</t>
  </si>
  <si>
    <t>Desired maximum output current</t>
  </si>
  <si>
    <t>Recommended compensation capacitor, use closest available value</t>
  </si>
  <si>
    <t>Recommended HF compensation capacitor, use closest available value</t>
  </si>
  <si>
    <t>Choose a standard resister value, or combination of values</t>
  </si>
  <si>
    <t>Iout</t>
  </si>
  <si>
    <t>Pin</t>
  </si>
  <si>
    <t>Psw</t>
  </si>
  <si>
    <t>Pcond</t>
  </si>
  <si>
    <t>Ptotal</t>
  </si>
  <si>
    <t>Chosen value, total R seen by the FB pin</t>
  </si>
  <si>
    <r>
      <t>m</t>
    </r>
    <r>
      <rPr>
        <sz val="11"/>
        <color indexed="8"/>
        <rFont val="Calibri"/>
        <family val="2"/>
      </rPr>
      <t>Ω</t>
    </r>
  </si>
  <si>
    <t>RDSon @ 25C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</si>
  <si>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</si>
  <si>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t>T</t>
    </r>
    <r>
      <rPr>
        <b/>
        <vertAlign val="subscript"/>
        <sz val="11"/>
        <color indexed="8"/>
        <rFont val="Calibri"/>
        <family val="2"/>
      </rPr>
      <t>AMB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</si>
  <si>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MAX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</si>
  <si>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MIN</t>
    </r>
  </si>
  <si>
    <r>
      <t>t_on</t>
    </r>
    <r>
      <rPr>
        <b/>
        <vertAlign val="subscript"/>
        <sz val="11"/>
        <color indexed="8"/>
        <rFont val="Calibri"/>
        <family val="2"/>
      </rPr>
      <t>MIN</t>
    </r>
  </si>
  <si>
    <r>
      <t>t_off</t>
    </r>
    <r>
      <rPr>
        <b/>
        <vertAlign val="subscript"/>
        <sz val="11"/>
        <color indexed="8"/>
        <rFont val="Calibri"/>
        <family val="2"/>
      </rPr>
      <t>MIN</t>
    </r>
  </si>
  <si>
    <t>Vin</t>
  </si>
  <si>
    <t>TCR of RDSon</t>
  </si>
  <si>
    <r>
      <t xml:space="preserve">% / </t>
    </r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</si>
  <si>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A/V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</si>
  <si>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</t>
    </r>
  </si>
  <si>
    <t>RDSon</t>
  </si>
  <si>
    <t>Vo</t>
  </si>
  <si>
    <t>Capacitors</t>
  </si>
  <si>
    <t>Co_tol</t>
  </si>
  <si>
    <r>
      <t>m</t>
    </r>
    <r>
      <rPr>
        <sz val="11"/>
        <color theme="1"/>
        <rFont val="Calibri"/>
        <family val="2"/>
      </rPr>
      <t>Ω</t>
    </r>
  </si>
  <si>
    <t>µF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</si>
  <si>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</si>
  <si>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</t>
    </r>
  </si>
  <si>
    <t>Based on Kemet data + solder/tracks/vias</t>
  </si>
  <si>
    <t>Based on Murata data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</si>
  <si>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Vout</t>
    </r>
  </si>
  <si>
    <t>Co_num_actual =</t>
  </si>
  <si>
    <t>DC bias coefficient</t>
  </si>
  <si>
    <t>Co_tot_min</t>
  </si>
  <si>
    <t>Voltage where transient data was obtained</t>
  </si>
  <si>
    <t>Worst case initial tolerance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</si>
  <si>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SW</t>
    </r>
  </si>
  <si>
    <t>Switching frequency used during measurement</t>
  </si>
  <si>
    <r>
      <t>mV</t>
    </r>
    <r>
      <rPr>
        <vertAlign val="subscript"/>
        <sz val="11"/>
        <color theme="1"/>
        <rFont val="Calibri"/>
        <family val="2"/>
        <scheme val="minor"/>
      </rPr>
      <t>PP</t>
    </r>
  </si>
  <si>
    <t>Estimated typical output voltage ripple</t>
  </si>
  <si>
    <t>pieces</t>
  </si>
  <si>
    <t>VARIABLES</t>
  </si>
  <si>
    <t>Lo_tolerance</t>
  </si>
  <si>
    <t>RFB2_tolerance</t>
  </si>
  <si>
    <t>RFB1_tolerance</t>
  </si>
  <si>
    <t xml:space="preserve"> Switching Frequency Determination:</t>
  </si>
  <si>
    <t xml:space="preserve"> Output Capacitor and Output Voltage Ripple:</t>
  </si>
  <si>
    <t xml:space="preserve"> Input Capacitor Requirements:</t>
  </si>
  <si>
    <t xml:space="preserve"> Soft Start Capacitor and Timing:</t>
  </si>
  <si>
    <t xml:space="preserve"> Compensation Components:</t>
  </si>
  <si>
    <t>Co_num_est</t>
  </si>
  <si>
    <t xml:space="preserve"> Output Inductor Calculations:</t>
  </si>
  <si>
    <t>Worst case maximum inductor ripple current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</si>
  <si>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JA</t>
    </r>
  </si>
  <si>
    <t>ILIM slope</t>
  </si>
  <si>
    <t>ILIM offset</t>
  </si>
  <si>
    <t>A / %</t>
  </si>
  <si>
    <r>
      <t>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</si>
  <si>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r>
      <t xml:space="preserve">Choose C_SS considering </t>
    </r>
    <r>
      <rPr>
        <sz val="11"/>
        <color indexed="8"/>
        <rFont val="Calibri"/>
        <family val="2"/>
      </rPr>
      <t>C_SS_min</t>
    </r>
    <r>
      <rPr>
        <sz val="11"/>
        <color theme="1"/>
        <rFont val="Calibri"/>
        <family val="2"/>
        <scheme val="minor"/>
      </rPr>
      <t>, use next higher standard value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</si>
  <si>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</si>
  <si>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2</t>
    </r>
  </si>
  <si>
    <t>Curve fit, coefficient of V</t>
  </si>
  <si>
    <t>Measured transient step current</t>
  </si>
  <si>
    <t>Includes worst case IC &amp; component variations vs. temperature</t>
  </si>
  <si>
    <r>
      <t>Vout</t>
    </r>
    <r>
      <rPr>
        <sz val="11"/>
        <color theme="1"/>
        <rFont val="Calibri"/>
        <family val="2"/>
        <scheme val="minor"/>
      </rPr>
      <t xml:space="preserve">  (min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max)</t>
    </r>
  </si>
  <si>
    <t>This value should not exceed the inductor's specified saturation current</t>
  </si>
  <si>
    <r>
      <t>1% initial tolerance + 100ppm @ 60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rise</t>
    </r>
  </si>
  <si>
    <t>UVLO Multiplier</t>
  </si>
  <si>
    <t>Chosen value, allows for margin</t>
  </si>
  <si>
    <r>
      <t>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</si>
  <si>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Maximum current for this design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</si>
  <si>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Io/Io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</si>
  <si>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INSTRUCTIONS:   Enter design goals and component values in the white boxes.</t>
  </si>
  <si>
    <t>Transient current =</t>
  </si>
  <si>
    <t>Measured step current as a percent of full load</t>
  </si>
  <si>
    <t>Capacitors used during this measurement</t>
  </si>
  <si>
    <t>Maximum steady-state ambient temperature</t>
  </si>
  <si>
    <t>V  |  µF</t>
  </si>
  <si>
    <r>
      <t>µF/V</t>
    </r>
    <r>
      <rPr>
        <vertAlign val="superscript"/>
        <sz val="11"/>
        <color theme="1"/>
        <rFont val="Calibri"/>
        <family val="2"/>
      </rPr>
      <t>3</t>
    </r>
  </si>
  <si>
    <t>µF/V</t>
  </si>
  <si>
    <r>
      <t>µF/V</t>
    </r>
    <r>
      <rPr>
        <vertAlign val="superscript"/>
        <sz val="11"/>
        <color theme="1"/>
        <rFont val="Calibri"/>
        <family val="2"/>
      </rPr>
      <t>2</t>
    </r>
  </si>
  <si>
    <t>Curve fit, coefficient of 0V</t>
  </si>
  <si>
    <r>
      <t>Transient step current as a percent of Iout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, recommend starting with 50%</t>
    </r>
  </si>
  <si>
    <t>Calculated total output capacitance with tolerance and real DC bias</t>
  </si>
  <si>
    <t>Lo_est</t>
  </si>
  <si>
    <t>Estimated output inductance, based on worst case timing and input voltages</t>
  </si>
  <si>
    <t>Typical output inductor ripple current</t>
  </si>
  <si>
    <t>Current limit margin (minimum) before possible duty-cycle limiting</t>
  </si>
  <si>
    <t>INSTRUCTIONS:  No values need to be entered here, all values are derived from the DESIGN tab</t>
  </si>
  <si>
    <t xml:space="preserve"> Typical &amp; Worst Case Output Voltage Calculations:</t>
  </si>
  <si>
    <t>These values are all derived from the data sheet or lab measurements.</t>
  </si>
  <si>
    <r>
      <t xml:space="preserve">Choose Lo, considering </t>
    </r>
    <r>
      <rPr>
        <sz val="11"/>
        <color indexed="8"/>
        <rFont val="Calibri"/>
        <family val="2"/>
      </rPr>
      <t>Lo_est</t>
    </r>
    <r>
      <rPr>
        <sz val="11"/>
        <color theme="1"/>
        <rFont val="Calibri"/>
        <family val="2"/>
        <scheme val="minor"/>
      </rPr>
      <t xml:space="preserve"> (choose next highest standard value)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</si>
  <si>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GS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</si>
  <si>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5% duty cycle, data sheet value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</si>
  <si>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90% duty cycle, data sheet value</t>
    </r>
  </si>
  <si>
    <t>Measured value, see LX curve to the right</t>
  </si>
  <si>
    <t>Curve fit value, slope</t>
  </si>
  <si>
    <t>Curve fit value, offset</t>
  </si>
  <si>
    <t>Lo_I_max</t>
  </si>
  <si>
    <t>The asynchronous diode must be rated to support at least this much current</t>
  </si>
  <si>
    <r>
      <t>Cin_I</t>
    </r>
    <r>
      <rPr>
        <b/>
        <vertAlign val="subscript"/>
        <sz val="11"/>
        <color theme="1"/>
        <rFont val="Calibri"/>
        <family val="2"/>
        <scheme val="minor"/>
      </rPr>
      <t>RMS</t>
    </r>
  </si>
  <si>
    <t xml:space="preserve"> Asynchronous Diode Requirement:</t>
  </si>
  <si>
    <r>
      <rPr>
        <i/>
        <sz val="11"/>
        <color theme="0"/>
        <rFont val="Calibri"/>
        <family val="2"/>
      </rPr>
      <t xml:space="preserve">**** Note:  The applications schematic is shown at the bottom of this TAB. ****
Schematic component values are shown in </t>
    </r>
    <r>
      <rPr>
        <b/>
        <i/>
        <sz val="11"/>
        <color rgb="FF0000FF"/>
        <rFont val="Calibri"/>
        <family val="2"/>
      </rPr>
      <t>BLUE</t>
    </r>
    <r>
      <rPr>
        <b/>
        <i/>
        <sz val="11"/>
        <color theme="1"/>
        <rFont val="Calibri"/>
        <family val="2"/>
      </rPr>
      <t>.</t>
    </r>
  </si>
  <si>
    <r>
      <t>K</t>
    </r>
    <r>
      <rPr>
        <b/>
        <sz val="11"/>
        <color rgb="FF0000FF"/>
        <rFont val="Calibri"/>
        <family val="2"/>
      </rPr>
      <t>Ω</t>
    </r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</si>
  <si>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FSET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</si>
  <si>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H</t>
    </r>
  </si>
  <si>
    <r>
      <t>I</t>
    </r>
    <r>
      <rPr>
        <b/>
        <vertAlign val="subscript"/>
        <sz val="11"/>
        <color rgb="FF0000FF"/>
        <rFont val="Calibri"/>
        <family val="2"/>
        <scheme val="minor"/>
      </rPr>
      <t>F,RMS</t>
    </r>
  </si>
  <si>
    <r>
      <t>A</t>
    </r>
    <r>
      <rPr>
        <b/>
        <vertAlign val="subscript"/>
        <sz val="11"/>
        <color rgb="FF0000FF"/>
        <rFont val="Calibri"/>
        <family val="2"/>
        <scheme val="minor"/>
      </rPr>
      <t>RMS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</si>
  <si>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F</t>
    </r>
  </si>
  <si>
    <t>IQ</t>
  </si>
  <si>
    <r>
      <t>P</t>
    </r>
    <r>
      <rPr>
        <b/>
        <vertAlign val="subscript"/>
        <sz val="10"/>
        <rFont val="Arial"/>
        <family val="2"/>
      </rPr>
      <t>DRIVER</t>
    </r>
  </si>
  <si>
    <t>Choose Fsw</t>
  </si>
  <si>
    <t>Fsw</t>
  </si>
  <si>
    <t>Recommended maximum PWM frequency, before possible pulse skipping</t>
  </si>
  <si>
    <t>UVLO Stop</t>
  </si>
  <si>
    <r>
      <t>SYNC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at Vin</t>
    </r>
    <r>
      <rPr>
        <b/>
        <vertAlign val="subscript"/>
        <sz val="11"/>
        <color theme="1"/>
        <rFont val="Calibri"/>
        <family val="2"/>
        <scheme val="minor"/>
      </rPr>
      <t>TYP</t>
    </r>
  </si>
  <si>
    <r>
      <t>m</t>
    </r>
    <r>
      <rPr>
        <b/>
        <sz val="11"/>
        <rFont val="Calibri"/>
        <family val="2"/>
      </rPr>
      <t>Ω</t>
    </r>
  </si>
  <si>
    <r>
      <t>Lo</t>
    </r>
    <r>
      <rPr>
        <b/>
        <vertAlign val="subscript"/>
        <sz val="11"/>
        <rFont val="Calibri"/>
        <family val="2"/>
        <scheme val="minor"/>
      </rPr>
      <t>DCR</t>
    </r>
    <r>
      <rPr>
        <b/>
        <sz val="11"/>
        <rFont val="Calibri"/>
        <family val="2"/>
        <scheme val="minor"/>
      </rPr>
      <t xml:space="preserve"> = </t>
    </r>
  </si>
  <si>
    <r>
      <t>Enter the output inductor's DCR, default is 35m</t>
    </r>
    <r>
      <rPr>
        <sz val="11"/>
        <rFont val="Calibri"/>
        <family val="2"/>
      </rPr>
      <t>Ω if left blank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</si>
  <si>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>DCR</t>
    </r>
  </si>
  <si>
    <t>Default DCR of the output inductor</t>
  </si>
  <si>
    <t>Step =</t>
  </si>
  <si>
    <t>T (°C)</t>
  </si>
  <si>
    <t>Non-convergence: set RESET = 1</t>
  </si>
  <si>
    <t xml:space="preserve">RESET = </t>
  </si>
  <si>
    <t>Snubber Component Calculations:</t>
  </si>
  <si>
    <t>Capacitance of D1</t>
  </si>
  <si>
    <t>Measured LX resonant freqeuncy</t>
  </si>
  <si>
    <r>
      <t>Estimated D1 capacitance at Vin</t>
    </r>
    <r>
      <rPr>
        <vertAlign val="subscript"/>
        <sz val="11"/>
        <color theme="1"/>
        <rFont val="Calibri"/>
        <family val="2"/>
        <scheme val="minor"/>
      </rPr>
      <t>TYP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</si>
  <si>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EQ</t>
    </r>
  </si>
  <si>
    <r>
      <t>LX resonance, F</t>
    </r>
    <r>
      <rPr>
        <b/>
        <vertAlign val="subscript"/>
        <sz val="11"/>
        <color theme="1"/>
        <rFont val="Calibri"/>
        <family val="2"/>
        <scheme val="minor"/>
      </rPr>
      <t>LX</t>
    </r>
  </si>
  <si>
    <r>
      <t>P</t>
    </r>
    <r>
      <rPr>
        <vertAlign val="subscript"/>
        <sz val="11"/>
        <color theme="1"/>
        <rFont val="Calibri"/>
        <family val="2"/>
        <scheme val="minor"/>
      </rPr>
      <t>SNUB</t>
    </r>
  </si>
  <si>
    <t>LX resonance period</t>
  </si>
  <si>
    <r>
      <t>LX resonance, T</t>
    </r>
    <r>
      <rPr>
        <b/>
        <vertAlign val="subscript"/>
        <sz val="11"/>
        <color theme="1"/>
        <rFont val="Calibri"/>
        <family val="2"/>
        <scheme val="minor"/>
      </rPr>
      <t>LX</t>
    </r>
  </si>
  <si>
    <t>mW</t>
  </si>
  <si>
    <t>Snubber resistance, use the closest available standard value</t>
  </si>
  <si>
    <t>Snubber capacitance, use the closest available standard value</t>
  </si>
  <si>
    <r>
      <t>Equivalent inductance, given F</t>
    </r>
    <r>
      <rPr>
        <vertAlign val="subscript"/>
        <sz val="11"/>
        <color theme="1"/>
        <rFont val="Calibri"/>
        <family val="2"/>
        <scheme val="minor"/>
      </rPr>
      <t>LX</t>
    </r>
    <r>
      <rPr>
        <sz val="11"/>
        <color theme="1"/>
        <rFont val="Calibri"/>
        <family val="2"/>
        <scheme val="minor"/>
      </rPr>
      <t xml:space="preserve"> and C</t>
    </r>
    <r>
      <rPr>
        <vertAlign val="subscript"/>
        <sz val="11"/>
        <color theme="1"/>
        <rFont val="Calibri"/>
        <family val="2"/>
        <scheme val="minor"/>
      </rPr>
      <t>TOTAL</t>
    </r>
  </si>
  <si>
    <t>Start with 2.5, decrease for more damping</t>
  </si>
  <si>
    <r>
      <t xml:space="preserve">Snubber </t>
    </r>
    <r>
      <rPr>
        <b/>
        <sz val="11"/>
        <color theme="1"/>
        <rFont val="Calibri"/>
        <family val="2"/>
      </rPr>
      <t>‒</t>
    </r>
    <r>
      <rPr>
        <b/>
        <sz val="11"/>
        <color theme="1"/>
        <rFont val="Calibri"/>
        <family val="2"/>
        <scheme val="minor"/>
      </rPr>
      <t>3dB freq.</t>
    </r>
  </si>
  <si>
    <r>
      <t>Snubber resistor power requirement at Vin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and Fsw</t>
    </r>
  </si>
  <si>
    <t>Capacitance, other</t>
  </si>
  <si>
    <t>Estimated FET + PCB trace capacitance</t>
  </si>
  <si>
    <t>TCR of Copper</t>
  </si>
  <si>
    <r>
      <t>%/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</si>
  <si>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Duty</t>
  </si>
  <si>
    <r>
      <rPr>
        <b/>
        <sz val="10"/>
        <rFont val="Calibri"/>
        <family val="2"/>
      </rPr>
      <t>Δ</t>
    </r>
    <r>
      <rPr>
        <b/>
        <sz val="10"/>
        <rFont val="Arial"/>
        <family val="2"/>
      </rPr>
      <t>IL</t>
    </r>
  </si>
  <si>
    <t>VF</t>
  </si>
  <si>
    <t>(RESET should normally be set to 0)</t>
  </si>
  <si>
    <t>Typical LX frequency measurement before snubber</t>
  </si>
  <si>
    <r>
      <t>Multiple of F</t>
    </r>
    <r>
      <rPr>
        <vertAlign val="subscript"/>
        <sz val="11"/>
        <color theme="1"/>
        <rFont val="Calibri"/>
        <family val="2"/>
      </rPr>
      <t>LX</t>
    </r>
  </si>
  <si>
    <t>Known value, used for inductor DCR</t>
  </si>
  <si>
    <t>A   |   VF</t>
  </si>
  <si>
    <t>mV/°C</t>
  </si>
  <si>
    <t>EFF</t>
  </si>
  <si>
    <t>VF1</t>
  </si>
  <si>
    <t>VF2</t>
  </si>
  <si>
    <t>VF3</t>
  </si>
  <si>
    <t>Vout</t>
  </si>
  <si>
    <r>
      <t>VO</t>
    </r>
    <r>
      <rPr>
        <b/>
        <vertAlign val="subscript"/>
        <sz val="10"/>
        <rFont val="Arial"/>
        <family val="2"/>
      </rPr>
      <t>SAT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</si>
  <si>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</si>
  <si>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MIN</t>
    </r>
  </si>
  <si>
    <t>System Duty Cycle</t>
  </si>
  <si>
    <t>Range of system duty-cycles given Vin, Vout, Iout, VF, etc</t>
  </si>
  <si>
    <t>DIODE (D1) CHARACTERIZATION</t>
  </si>
  <si>
    <r>
      <t>P</t>
    </r>
    <r>
      <rPr>
        <b/>
        <vertAlign val="subscript"/>
        <sz val="10"/>
        <rFont val="Arial"/>
        <family val="2"/>
      </rPr>
      <t>IC</t>
    </r>
  </si>
  <si>
    <r>
      <t>V</t>
    </r>
    <r>
      <rPr>
        <b/>
        <vertAlign val="subscript"/>
        <sz val="10"/>
        <rFont val="Arial"/>
        <family val="2"/>
      </rPr>
      <t>OUT</t>
    </r>
  </si>
  <si>
    <r>
      <t>P</t>
    </r>
    <r>
      <rPr>
        <b/>
        <vertAlign val="subscript"/>
        <sz val="10"/>
        <rFont val="Arial"/>
        <family val="2"/>
      </rPr>
      <t>D1</t>
    </r>
  </si>
  <si>
    <r>
      <t>P</t>
    </r>
    <r>
      <rPr>
        <b/>
        <vertAlign val="subscript"/>
        <sz val="10"/>
        <rFont val="Arial"/>
        <family val="2"/>
      </rPr>
      <t>IND</t>
    </r>
  </si>
  <si>
    <r>
      <t>P</t>
    </r>
    <r>
      <rPr>
        <b/>
        <vertAlign val="subscript"/>
        <sz val="10"/>
        <rFont val="Arial"/>
        <family val="2"/>
      </rPr>
      <t>IN</t>
    </r>
  </si>
  <si>
    <r>
      <t>P</t>
    </r>
    <r>
      <rPr>
        <b/>
        <vertAlign val="subscript"/>
        <sz val="10"/>
        <rFont val="Arial"/>
        <family val="2"/>
      </rPr>
      <t>OUT</t>
    </r>
  </si>
  <si>
    <r>
      <t xml:space="preserve">Choose fc considering </t>
    </r>
    <r>
      <rPr>
        <sz val="11"/>
        <color indexed="8"/>
        <rFont val="Calibri"/>
        <family val="2"/>
      </rPr>
      <t>fc</t>
    </r>
    <r>
      <rPr>
        <vertAlign val="subscript"/>
        <sz val="11"/>
        <color indexed="8"/>
        <rFont val="Calibri"/>
        <family val="2"/>
      </rPr>
      <t>MAX.</t>
    </r>
    <r>
      <rPr>
        <sz val="11"/>
        <color indexed="8"/>
        <rFont val="Calibri"/>
        <family val="2"/>
      </rPr>
      <t xml:space="preserve">  Higher fc = faster system, lower stability margins</t>
    </r>
  </si>
  <si>
    <t>Value from the data sheet for D1: VF at 200mA</t>
  </si>
  <si>
    <t>Value from the data sheet for D1: VF at 2A</t>
  </si>
  <si>
    <t>Value from the data sheet for D1: VF at 4A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</si>
  <si>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</si>
  <si>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</si>
  <si>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t>Enter the snubber resister value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</si>
  <si>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</si>
  <si>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C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</si>
  <si>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0"/>
        <rFont val="Arial"/>
        <family val="2"/>
      </rPr>
      <t>SNUB</t>
    </r>
  </si>
  <si>
    <r>
      <t>Maximum SYNC frequency at Vin</t>
    </r>
    <r>
      <rPr>
        <vertAlign val="subscript"/>
        <sz val="11"/>
        <color theme="1"/>
        <rFont val="Calibri"/>
        <family val="2"/>
        <scheme val="minor"/>
      </rPr>
      <t>TYP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based on Fsw, Duty Cycle</t>
    </r>
    <r>
      <rPr>
        <vertAlign val="subscript"/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  <scheme val="minor"/>
      </rPr>
      <t>, and t</t>
    </r>
    <r>
      <rPr>
        <vertAlign val="subscript"/>
        <sz val="11"/>
        <color theme="1"/>
        <rFont val="Calibri"/>
        <family val="2"/>
        <scheme val="minor"/>
      </rPr>
      <t>ON,TYP</t>
    </r>
  </si>
  <si>
    <t>Vin =</t>
  </si>
  <si>
    <r>
      <t xml:space="preserve"> Feedback Component Calculations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>RFB1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and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0000FF"/>
        <rFont val="Calibri"/>
        <family val="2"/>
        <scheme val="minor"/>
      </rPr>
      <t>RFB2</t>
    </r>
    <r>
      <rPr>
        <b/>
        <i/>
        <sz val="12"/>
        <color rgb="FFFF0000"/>
        <rFont val="Calibri"/>
        <family val="2"/>
        <scheme val="minor"/>
      </rPr>
      <t xml:space="preserve"> values for the remaining calculations to be accurate)</t>
    </r>
  </si>
  <si>
    <t>C =</t>
  </si>
  <si>
    <t>ESR =</t>
  </si>
  <si>
    <t>ESL =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</si>
  <si>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F</t>
    </r>
  </si>
  <si>
    <r>
      <t>m</t>
    </r>
    <r>
      <rPr>
        <sz val="11"/>
        <color theme="1"/>
        <rFont val="Calibri"/>
        <family val="2"/>
      </rPr>
      <t>Ω</t>
    </r>
  </si>
  <si>
    <t>Dominant pole formed by the output capacitance and the load</t>
  </si>
  <si>
    <t>Recommended compensation resister to achieve fc</t>
  </si>
  <si>
    <t>Optional: Output Capacitors</t>
  </si>
  <si>
    <t>Used to calculate output ripple and set the compensation values</t>
  </si>
  <si>
    <t>Enter Values Manually</t>
  </si>
  <si>
    <t>No. =</t>
  </si>
  <si>
    <t>Vout during dropout calculated with the typical OFF time</t>
  </si>
  <si>
    <t>Vout during dropout calculated with the worst case maximum OFF time</t>
  </si>
  <si>
    <r>
      <t>TJ</t>
    </r>
    <r>
      <rPr>
        <b/>
        <vertAlign val="subscript"/>
        <sz val="10"/>
        <rFont val="Arial"/>
        <family val="2"/>
      </rPr>
      <t>D1</t>
    </r>
  </si>
  <si>
    <r>
      <t>TJ</t>
    </r>
    <r>
      <rPr>
        <b/>
        <vertAlign val="subscript"/>
        <sz val="10"/>
        <rFont val="Arial"/>
        <family val="2"/>
      </rPr>
      <t>IC</t>
    </r>
  </si>
  <si>
    <t>Estimated value from the data sheet for D1</t>
  </si>
  <si>
    <t>VF, Temp. Coeff.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</si>
  <si>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AVG</t>
    </r>
  </si>
  <si>
    <t>Value from the data sheet for D1 (average of min/max)</t>
  </si>
  <si>
    <t xml:space="preserve">       Diode D1:  Example I-V Characteristics</t>
  </si>
  <si>
    <r>
      <t>(TYP | MAX) Minimum duty cycles at the chosen Fsw given t</t>
    </r>
    <r>
      <rPr>
        <vertAlign val="subscript"/>
        <sz val="11"/>
        <color theme="1"/>
        <rFont val="Calibri"/>
        <family val="2"/>
        <scheme val="minor"/>
      </rPr>
      <t>ON,TYP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ON,MAX</t>
    </r>
  </si>
  <si>
    <r>
      <t>(MIN | TYP) Maximum duty cycles at the chosen Fsw given t</t>
    </r>
    <r>
      <rPr>
        <vertAlign val="subscript"/>
        <sz val="11"/>
        <color theme="1"/>
        <rFont val="Calibri"/>
        <family val="2"/>
        <scheme val="minor"/>
      </rPr>
      <t>OFF,TYP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OFF,MAX</t>
    </r>
  </si>
  <si>
    <r>
      <t xml:space="preserve">       Diode D1: Example of Capacitance vs. V</t>
    </r>
    <r>
      <rPr>
        <b/>
        <vertAlign val="subscript"/>
        <sz val="11"/>
        <color theme="1"/>
        <rFont val="Calibri"/>
        <family val="2"/>
        <scheme val="minor"/>
      </rPr>
      <t>R</t>
    </r>
  </si>
  <si>
    <t>Enter the snubber capacitor value, enter "0" if no snubber is used</t>
  </si>
  <si>
    <t>Measured on Allegro EVB with 1x 10uF</t>
  </si>
  <si>
    <t>Thermal resistance</t>
  </si>
  <si>
    <t>1x 22uF with DC bias</t>
  </si>
  <si>
    <t>Output Capacitor Characterization:  22uF, 10%, 16V, X7R, 1210</t>
  </si>
  <si>
    <t>Estimated number of 22uF/16V/X7R/1210 output capacitors required</t>
  </si>
  <si>
    <r>
      <t xml:space="preserve">Choose the number of </t>
    </r>
    <r>
      <rPr>
        <b/>
        <sz val="11"/>
        <color rgb="FF0000FF"/>
        <rFont val="Calibri"/>
        <family val="2"/>
        <scheme val="minor"/>
      </rPr>
      <t>22uF/16V/X7R/1210</t>
    </r>
    <r>
      <rPr>
        <sz val="11"/>
        <color theme="1"/>
        <rFont val="Calibri"/>
        <family val="2"/>
        <scheme val="minor"/>
      </rPr>
      <t xml:space="preserve"> output capacitors</t>
    </r>
  </si>
  <si>
    <t>ALLEGRO A8584 DESIGN SPREADSHEET - Rev.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</si>
</sst>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i/>
      <sz val="16"/>
      <color theme="0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0000FF"/>
      <name val="Calibri"/>
      <family val="2"/>
    </font>
    <font>
      <i/>
      <sz val="11"/>
      <color theme="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vertAlign val="subscript"/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0"/>
      <name val="Calibri"/>
      <family val="2"/>
    </font>
    <font>
      <b/>
      <vertAlign val="subscript"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2"/>
      <color rgb="FF0000FF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409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0" fontId="5" fillId="0" borderId="0" xfId="1" applyProtection="1"/>
    <xf numFmtId="0" fontId="7" fillId="0" borderId="0" xfId="0" applyFont="1"/>
    <xf numFmtId="0" fontId="0" fillId="6" borderId="3" xfId="0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165" fontId="0" fillId="7" borderId="2" xfId="0" applyNumberForma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2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165" fontId="0" fillId="7" borderId="0" xfId="0" applyNumberForma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left" indent="1"/>
    </xf>
    <xf numFmtId="0" fontId="0" fillId="7" borderId="10" xfId="0" applyFill="1" applyBorder="1" applyAlignment="1" applyProtection="1">
      <alignment horizontal="left" indent="1"/>
    </xf>
    <xf numFmtId="1" fontId="0" fillId="9" borderId="1" xfId="0" applyNumberFormat="1" applyFill="1" applyBorder="1" applyAlignment="1" applyProtection="1">
      <alignment horizontal="center"/>
      <protection locked="0"/>
    </xf>
    <xf numFmtId="165" fontId="0" fillId="9" borderId="1" xfId="0" applyNumberFormat="1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</xf>
    <xf numFmtId="0" fontId="8" fillId="6" borderId="9" xfId="0" applyFont="1" applyFill="1" applyBorder="1" applyAlignment="1" applyProtection="1">
      <alignment horizontal="center"/>
    </xf>
    <xf numFmtId="0" fontId="8" fillId="6" borderId="7" xfId="0" applyFont="1" applyFill="1" applyBorder="1" applyAlignment="1" applyProtection="1">
      <alignment horizontal="center"/>
    </xf>
    <xf numFmtId="0" fontId="8" fillId="9" borderId="1" xfId="0" applyFont="1" applyFill="1" applyBorder="1" applyAlignment="1" applyProtection="1">
      <alignment horizontal="center"/>
      <protection locked="0"/>
    </xf>
    <xf numFmtId="0" fontId="8" fillId="6" borderId="8" xfId="0" applyFont="1" applyFill="1" applyBorder="1" applyAlignment="1" applyProtection="1">
      <alignment horizontal="center"/>
    </xf>
    <xf numFmtId="0" fontId="8" fillId="6" borderId="13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164" fontId="0" fillId="5" borderId="14" xfId="0" applyNumberFormat="1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left" indent="1"/>
    </xf>
    <xf numFmtId="0" fontId="0" fillId="5" borderId="14" xfId="0" applyFill="1" applyBorder="1"/>
    <xf numFmtId="0" fontId="0" fillId="5" borderId="20" xfId="0" applyFill="1" applyBorder="1"/>
    <xf numFmtId="165" fontId="0" fillId="5" borderId="14" xfId="0" applyNumberFormat="1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" fontId="0" fillId="5" borderId="14" xfId="0" applyNumberFormat="1" applyFon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 applyAlignment="1">
      <alignment horizontal="left" indent="1"/>
    </xf>
    <xf numFmtId="0" fontId="0" fillId="5" borderId="22" xfId="0" applyFill="1" applyBorder="1"/>
    <xf numFmtId="0" fontId="0" fillId="5" borderId="23" xfId="0" applyFill="1" applyBorder="1"/>
    <xf numFmtId="0" fontId="9" fillId="8" borderId="16" xfId="0" applyFont="1" applyFill="1" applyBorder="1" applyAlignment="1">
      <alignment horizontal="left" vertical="center"/>
    </xf>
    <xf numFmtId="0" fontId="7" fillId="8" borderId="17" xfId="0" applyFont="1" applyFill="1" applyBorder="1" applyAlignment="1">
      <alignment horizontal="center"/>
    </xf>
    <xf numFmtId="0" fontId="7" fillId="8" borderId="17" xfId="0" applyFont="1" applyFill="1" applyBorder="1"/>
    <xf numFmtId="0" fontId="7" fillId="8" borderId="18" xfId="0" applyFont="1" applyFill="1" applyBorder="1"/>
    <xf numFmtId="0" fontId="0" fillId="5" borderId="14" xfId="0" applyFill="1" applyBorder="1" applyAlignment="1">
      <alignment horizontal="left"/>
    </xf>
    <xf numFmtId="0" fontId="0" fillId="9" borderId="1" xfId="0" applyFill="1" applyBorder="1" applyAlignment="1" applyProtection="1">
      <alignment horizontal="center" vertical="center"/>
      <protection locked="0"/>
    </xf>
    <xf numFmtId="2" fontId="0" fillId="9" borderId="24" xfId="0" applyNumberFormat="1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</xf>
    <xf numFmtId="0" fontId="7" fillId="6" borderId="2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1" fillId="8" borderId="27" xfId="0" applyFont="1" applyFill="1" applyBorder="1" applyAlignment="1" applyProtection="1">
      <alignment horizontal="center"/>
    </xf>
    <xf numFmtId="0" fontId="11" fillId="8" borderId="28" xfId="0" applyFont="1" applyFill="1" applyBorder="1" applyAlignment="1" applyProtection="1">
      <alignment horizontal="center"/>
    </xf>
    <xf numFmtId="0" fontId="7" fillId="6" borderId="19" xfId="0" applyFont="1" applyFill="1" applyBorder="1" applyAlignment="1" applyProtection="1">
      <alignment horizontal="center"/>
    </xf>
    <xf numFmtId="0" fontId="7" fillId="6" borderId="25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/>
    </xf>
    <xf numFmtId="0" fontId="7" fillId="7" borderId="40" xfId="0" applyFont="1" applyFill="1" applyBorder="1" applyAlignment="1" applyProtection="1">
      <alignment horizontal="center"/>
    </xf>
    <xf numFmtId="0" fontId="0" fillId="7" borderId="41" xfId="0" applyFill="1" applyBorder="1" applyProtection="1"/>
    <xf numFmtId="166" fontId="0" fillId="7" borderId="41" xfId="0" applyNumberFormat="1" applyFill="1" applyBorder="1" applyAlignment="1" applyProtection="1">
      <alignment horizontal="center"/>
    </xf>
    <xf numFmtId="0" fontId="7" fillId="7" borderId="42" xfId="0" applyFont="1" applyFill="1" applyBorder="1" applyAlignment="1" applyProtection="1">
      <alignment horizontal="center"/>
    </xf>
    <xf numFmtId="2" fontId="0" fillId="7" borderId="36" xfId="0" applyNumberFormat="1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33" xfId="0" applyFill="1" applyBorder="1" applyAlignment="1" applyProtection="1">
      <alignment horizontal="left" indent="1"/>
    </xf>
    <xf numFmtId="0" fontId="0" fillId="7" borderId="36" xfId="0" applyFill="1" applyBorder="1" applyProtection="1"/>
    <xf numFmtId="0" fontId="0" fillId="7" borderId="37" xfId="0" applyFill="1" applyBorder="1" applyProtection="1"/>
    <xf numFmtId="0" fontId="8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</xf>
    <xf numFmtId="0" fontId="8" fillId="6" borderId="33" xfId="0" applyFont="1" applyFill="1" applyBorder="1" applyAlignment="1" applyProtection="1">
      <alignment horizontal="center" vertical="center"/>
    </xf>
    <xf numFmtId="0" fontId="8" fillId="6" borderId="34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1" fontId="0" fillId="9" borderId="1" xfId="0" applyNumberForma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1" fontId="0" fillId="7" borderId="0" xfId="0" applyNumberFormat="1" applyFill="1" applyBorder="1" applyAlignment="1" applyProtection="1">
      <alignment horizontal="center"/>
    </xf>
    <xf numFmtId="0" fontId="0" fillId="5" borderId="19" xfId="0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7" fillId="7" borderId="42" xfId="0" applyFont="1" applyFill="1" applyBorder="1" applyAlignment="1" applyProtection="1">
      <alignment horizontal="center" vertical="center"/>
    </xf>
    <xf numFmtId="165" fontId="0" fillId="7" borderId="36" xfId="0" applyNumberFormat="1" applyFill="1" applyBorder="1" applyAlignment="1" applyProtection="1">
      <alignment horizontal="center" vertical="center"/>
    </xf>
    <xf numFmtId="2" fontId="0" fillId="7" borderId="36" xfId="0" applyNumberFormat="1" applyFill="1" applyBorder="1" applyAlignment="1" applyProtection="1">
      <alignment horizontal="center" vertical="center"/>
    </xf>
    <xf numFmtId="0" fontId="0" fillId="7" borderId="36" xfId="0" applyFill="1" applyBorder="1" applyAlignment="1" applyProtection="1">
      <alignment horizontal="center" vertical="center"/>
    </xf>
    <xf numFmtId="0" fontId="0" fillId="7" borderId="34" xfId="0" applyFill="1" applyBorder="1" applyAlignment="1" applyProtection="1">
      <alignment horizontal="left" vertical="center" indent="1"/>
    </xf>
    <xf numFmtId="0" fontId="0" fillId="7" borderId="36" xfId="0" applyFill="1" applyBorder="1" applyAlignment="1" applyProtection="1">
      <alignment vertical="center"/>
    </xf>
    <xf numFmtId="0" fontId="0" fillId="7" borderId="37" xfId="0" applyFill="1" applyBorder="1" applyAlignment="1" applyProtection="1">
      <alignment vertical="center"/>
    </xf>
    <xf numFmtId="0" fontId="0" fillId="7" borderId="34" xfId="0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left" vertical="center" wrapText="1"/>
    </xf>
    <xf numFmtId="0" fontId="0" fillId="7" borderId="41" xfId="0" applyFont="1" applyFill="1" applyBorder="1" applyAlignment="1" applyProtection="1">
      <alignment horizontal="left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7" xfId="0" applyFill="1" applyBorder="1" applyAlignment="1" applyProtection="1">
      <alignment horizontal="left" vertical="center" indent="1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165" fontId="0" fillId="5" borderId="14" xfId="0" applyNumberFormat="1" applyFill="1" applyBorder="1" applyAlignment="1">
      <alignment horizontal="center"/>
    </xf>
    <xf numFmtId="0" fontId="11" fillId="8" borderId="26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0" fontId="0" fillId="5" borderId="19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2" fontId="0" fillId="5" borderId="14" xfId="0" applyNumberFormat="1" applyFont="1" applyFill="1" applyBorder="1" applyAlignment="1">
      <alignment horizontal="center"/>
    </xf>
    <xf numFmtId="164" fontId="0" fillId="9" borderId="1" xfId="0" applyNumberFormat="1" applyFill="1" applyBorder="1" applyAlignment="1" applyProtection="1">
      <alignment horizontal="center"/>
      <protection locked="0"/>
    </xf>
    <xf numFmtId="164" fontId="0" fillId="7" borderId="0" xfId="0" applyNumberFormat="1" applyFill="1" applyBorder="1" applyAlignment="1" applyProtection="1">
      <alignment horizontal="center"/>
    </xf>
    <xf numFmtId="165" fontId="0" fillId="7" borderId="0" xfId="0" applyNumberForma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indent="1"/>
    </xf>
    <xf numFmtId="0" fontId="17" fillId="7" borderId="40" xfId="0" applyFont="1" applyFill="1" applyBorder="1" applyAlignment="1" applyProtection="1">
      <alignment horizontal="left" vertical="center"/>
    </xf>
    <xf numFmtId="0" fontId="24" fillId="7" borderId="40" xfId="0" applyFont="1" applyFill="1" applyBorder="1" applyAlignment="1" applyProtection="1">
      <alignment horizontal="center"/>
    </xf>
    <xf numFmtId="2" fontId="24" fillId="7" borderId="0" xfId="0" applyNumberFormat="1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/>
    </xf>
    <xf numFmtId="2" fontId="24" fillId="9" borderId="1" xfId="0" applyNumberFormat="1" applyFont="1" applyFill="1" applyBorder="1" applyAlignment="1" applyProtection="1">
      <alignment horizontal="center"/>
      <protection locked="0"/>
    </xf>
    <xf numFmtId="0" fontId="24" fillId="7" borderId="42" xfId="0" applyFont="1" applyFill="1" applyBorder="1" applyAlignment="1" applyProtection="1">
      <alignment horizontal="center"/>
    </xf>
    <xf numFmtId="0" fontId="24" fillId="7" borderId="36" xfId="0" applyFont="1" applyFill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/>
    </xf>
    <xf numFmtId="0" fontId="24" fillId="7" borderId="40" xfId="0" applyFont="1" applyFill="1" applyBorder="1" applyAlignment="1" applyProtection="1">
      <alignment horizontal="center" vertical="center"/>
    </xf>
    <xf numFmtId="2" fontId="24" fillId="7" borderId="0" xfId="0" applyNumberFormat="1" applyFont="1" applyFill="1" applyBorder="1" applyAlignment="1" applyProtection="1">
      <alignment horizontal="center" vertical="center"/>
    </xf>
    <xf numFmtId="165" fontId="24" fillId="9" borderId="1" xfId="0" applyNumberFormat="1" applyFont="1" applyFill="1" applyBorder="1" applyAlignment="1" applyProtection="1">
      <alignment horizontal="center"/>
      <protection locked="0"/>
    </xf>
    <xf numFmtId="0" fontId="0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0" fontId="0" fillId="7" borderId="41" xfId="0" applyFont="1" applyFill="1" applyBorder="1" applyProtection="1"/>
    <xf numFmtId="165" fontId="0" fillId="7" borderId="0" xfId="0" applyNumberFormat="1" applyFont="1" applyFill="1" applyBorder="1" applyAlignment="1" applyProtection="1">
      <alignment horizontal="center"/>
    </xf>
    <xf numFmtId="1" fontId="24" fillId="9" borderId="1" xfId="0" applyNumberFormat="1" applyFont="1" applyFill="1" applyBorder="1" applyAlignment="1" applyProtection="1">
      <alignment horizontal="center"/>
      <protection locked="0"/>
    </xf>
    <xf numFmtId="164" fontId="8" fillId="5" borderId="14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0" fontId="33" fillId="7" borderId="40" xfId="0" applyFont="1" applyFill="1" applyBorder="1" applyAlignment="1" applyProtection="1">
      <alignment horizontal="center"/>
    </xf>
    <xf numFmtId="0" fontId="33" fillId="7" borderId="0" xfId="0" applyFont="1" applyFill="1" applyBorder="1" applyAlignment="1" applyProtection="1">
      <alignment horizontal="center"/>
    </xf>
    <xf numFmtId="0" fontId="35" fillId="7" borderId="10" xfId="0" applyFont="1" applyFill="1" applyBorder="1" applyAlignment="1" applyProtection="1">
      <alignment horizontal="left" indent="1"/>
    </xf>
    <xf numFmtId="0" fontId="35" fillId="7" borderId="0" xfId="0" applyFont="1" applyFill="1" applyBorder="1" applyAlignment="1" applyProtection="1">
      <alignment horizontal="center"/>
    </xf>
    <xf numFmtId="0" fontId="35" fillId="7" borderId="0" xfId="0" applyFont="1" applyFill="1" applyBorder="1" applyProtection="1"/>
    <xf numFmtId="0" fontId="35" fillId="7" borderId="41" xfId="0" applyFont="1" applyFill="1" applyBorder="1" applyProtection="1"/>
    <xf numFmtId="165" fontId="35" fillId="9" borderId="1" xfId="0" applyNumberFormat="1" applyFont="1" applyFill="1" applyBorder="1" applyAlignment="1" applyProtection="1">
      <alignment horizontal="center"/>
      <protection locked="0"/>
    </xf>
    <xf numFmtId="0" fontId="7" fillId="7" borderId="0" xfId="0" applyFont="1" applyFill="1" applyBorder="1" applyAlignment="1" applyProtection="1">
      <alignment horizontal="left" vertical="center"/>
    </xf>
    <xf numFmtId="165" fontId="31" fillId="7" borderId="0" xfId="0" applyNumberFormat="1" applyFont="1" applyFill="1" applyBorder="1" applyAlignment="1" applyProtection="1">
      <alignment horizontal="center" vertical="center"/>
    </xf>
    <xf numFmtId="0" fontId="39" fillId="8" borderId="40" xfId="0" applyFont="1" applyFill="1" applyBorder="1" applyAlignment="1">
      <alignment horizontal="center"/>
    </xf>
    <xf numFmtId="2" fontId="39" fillId="8" borderId="8" xfId="0" applyNumberFormat="1" applyFont="1" applyFill="1" applyBorder="1" applyAlignment="1">
      <alignment horizontal="center"/>
    </xf>
    <xf numFmtId="2" fontId="39" fillId="2" borderId="0" xfId="0" applyNumberFormat="1" applyFont="1" applyFill="1" applyBorder="1" applyAlignment="1">
      <alignment horizontal="center"/>
    </xf>
    <xf numFmtId="164" fontId="39" fillId="2" borderId="0" xfId="0" applyNumberFormat="1" applyFont="1" applyFill="1" applyBorder="1" applyAlignment="1">
      <alignment horizontal="center"/>
    </xf>
    <xf numFmtId="2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/>
    </xf>
    <xf numFmtId="2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/>
    </xf>
    <xf numFmtId="0" fontId="39" fillId="0" borderId="0" xfId="0" applyFont="1"/>
    <xf numFmtId="0" fontId="39" fillId="8" borderId="42" xfId="0" applyFont="1" applyFill="1" applyBorder="1" applyAlignment="1">
      <alignment horizontal="center"/>
    </xf>
    <xf numFmtId="2" fontId="39" fillId="8" borderId="35" xfId="0" applyNumberFormat="1" applyFont="1" applyFill="1" applyBorder="1" applyAlignment="1">
      <alignment horizontal="center"/>
    </xf>
    <xf numFmtId="2" fontId="39" fillId="2" borderId="36" xfId="0" applyNumberFormat="1" applyFont="1" applyFill="1" applyBorder="1" applyAlignment="1">
      <alignment horizontal="center"/>
    </xf>
    <xf numFmtId="164" fontId="39" fillId="2" borderId="36" xfId="0" applyNumberFormat="1" applyFont="1" applyFill="1" applyBorder="1" applyAlignment="1">
      <alignment horizontal="center"/>
    </xf>
    <xf numFmtId="2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/>
    </xf>
    <xf numFmtId="2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/>
    </xf>
    <xf numFmtId="0" fontId="40" fillId="0" borderId="0" xfId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0" fontId="31" fillId="7" borderId="0" xfId="0" applyFont="1" applyFill="1" applyBorder="1" applyAlignment="1" applyProtection="1">
      <alignment horizontal="left" vertical="center"/>
    </xf>
    <xf numFmtId="0" fontId="11" fillId="8" borderId="16" xfId="0" applyFont="1" applyFill="1" applyBorder="1" applyAlignment="1" applyProtection="1">
      <alignment horizontal="center" vertical="center" wrapText="1"/>
    </xf>
    <xf numFmtId="0" fontId="0" fillId="6" borderId="12" xfId="0" applyFill="1" applyBorder="1" applyAlignment="1" applyProtection="1">
      <alignment horizontal="center"/>
    </xf>
    <xf numFmtId="0" fontId="8" fillId="6" borderId="51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  <xf numFmtId="0" fontId="0" fillId="7" borderId="36" xfId="0" applyFill="1" applyBorder="1"/>
    <xf numFmtId="0" fontId="0" fillId="7" borderId="37" xfId="0" applyFill="1" applyBorder="1"/>
    <xf numFmtId="0" fontId="0" fillId="7" borderId="4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4" xfId="0" applyFill="1" applyBorder="1" applyAlignment="1">
      <alignment horizontal="left" indent="1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1" fontId="0" fillId="7" borderId="36" xfId="0" applyNumberForma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</xf>
    <xf numFmtId="0" fontId="8" fillId="6" borderId="43" xfId="0" applyFont="1" applyFill="1" applyBorder="1" applyAlignment="1" applyProtection="1">
      <alignment horizontal="center" vertical="center"/>
    </xf>
    <xf numFmtId="0" fontId="0" fillId="5" borderId="21" xfId="0" applyFill="1" applyBorder="1" applyAlignment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40" fillId="0" borderId="0" xfId="1" applyFont="1" applyAlignment="1" applyProtection="1">
      <alignment horizontal="right" vertical="center"/>
    </xf>
    <xf numFmtId="0" fontId="32" fillId="0" borderId="0" xfId="1" applyFont="1" applyBorder="1" applyAlignment="1" applyProtection="1">
      <alignment horizontal="center" vertical="center"/>
    </xf>
    <xf numFmtId="0" fontId="32" fillId="0" borderId="0" xfId="1" applyFont="1" applyBorder="1" applyAlignment="1" applyProtection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38" fillId="8" borderId="45" xfId="0" applyFont="1" applyFill="1" applyBorder="1" applyAlignment="1">
      <alignment horizontal="center" vertical="center"/>
    </xf>
    <xf numFmtId="0" fontId="38" fillId="8" borderId="44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8" borderId="38" xfId="0" applyFont="1" applyFill="1" applyBorder="1" applyAlignment="1">
      <alignment horizontal="center"/>
    </xf>
    <xf numFmtId="2" fontId="39" fillId="8" borderId="55" xfId="0" applyNumberFormat="1" applyFont="1" applyFill="1" applyBorder="1" applyAlignment="1">
      <alignment horizontal="center"/>
    </xf>
    <xf numFmtId="2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 vertical="center"/>
    </xf>
    <xf numFmtId="165" fontId="39" fillId="2" borderId="2" xfId="0" applyNumberFormat="1" applyFont="1" applyFill="1" applyBorder="1" applyAlignment="1">
      <alignment horizontal="center" vertical="center"/>
    </xf>
    <xf numFmtId="164" fontId="39" fillId="2" borderId="0" xfId="0" applyNumberFormat="1" applyFont="1" applyFill="1" applyBorder="1" applyAlignment="1">
      <alignment horizontal="center" vertical="center"/>
    </xf>
    <xf numFmtId="165" fontId="39" fillId="2" borderId="0" xfId="0" applyNumberFormat="1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center" vertical="center"/>
    </xf>
    <xf numFmtId="165" fontId="39" fillId="2" borderId="36" xfId="0" applyNumberFormat="1" applyFont="1" applyFill="1" applyBorder="1" applyAlignment="1">
      <alignment horizontal="center" vertical="center"/>
    </xf>
    <xf numFmtId="0" fontId="6" fillId="8" borderId="44" xfId="1" applyFont="1" applyFill="1" applyBorder="1" applyAlignment="1" applyProtection="1">
      <alignment horizontal="center" vertical="center"/>
    </xf>
    <xf numFmtId="164" fontId="39" fillId="2" borderId="39" xfId="0" applyNumberFormat="1" applyFont="1" applyFill="1" applyBorder="1" applyAlignment="1">
      <alignment horizontal="center"/>
    </xf>
    <xf numFmtId="164" fontId="39" fillId="2" borderId="41" xfId="0" applyNumberFormat="1" applyFont="1" applyFill="1" applyBorder="1" applyAlignment="1">
      <alignment horizontal="center"/>
    </xf>
    <xf numFmtId="165" fontId="39" fillId="2" borderId="2" xfId="0" applyNumberFormat="1" applyFont="1" applyFill="1" applyBorder="1" applyAlignment="1">
      <alignment horizontal="center"/>
    </xf>
    <xf numFmtId="165" fontId="39" fillId="2" borderId="0" xfId="0" applyNumberFormat="1" applyFont="1" applyFill="1" applyBorder="1" applyAlignment="1">
      <alignment horizontal="center"/>
    </xf>
    <xf numFmtId="165" fontId="39" fillId="2" borderId="36" xfId="0" applyNumberFormat="1" applyFont="1" applyFill="1" applyBorder="1" applyAlignment="1">
      <alignment horizontal="center"/>
    </xf>
    <xf numFmtId="2" fontId="39" fillId="3" borderId="56" xfId="0" applyNumberFormat="1" applyFont="1" applyFill="1" applyBorder="1" applyAlignment="1">
      <alignment horizontal="center"/>
    </xf>
    <xf numFmtId="2" fontId="39" fillId="3" borderId="2" xfId="0" applyNumberFormat="1" applyFont="1" applyFill="1" applyBorder="1" applyAlignment="1">
      <alignment horizontal="center"/>
    </xf>
    <xf numFmtId="165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 vertical="center"/>
    </xf>
    <xf numFmtId="165" fontId="39" fillId="3" borderId="2" xfId="0" applyNumberFormat="1" applyFont="1" applyFill="1" applyBorder="1" applyAlignment="1">
      <alignment horizontal="center" vertical="center"/>
    </xf>
    <xf numFmtId="2" fontId="39" fillId="3" borderId="7" xfId="0" applyNumberFormat="1" applyFont="1" applyFill="1" applyBorder="1" applyAlignment="1">
      <alignment horizontal="center"/>
    </xf>
    <xf numFmtId="165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 vertical="center"/>
    </xf>
    <xf numFmtId="165" fontId="39" fillId="3" borderId="0" xfId="0" applyNumberFormat="1" applyFont="1" applyFill="1" applyBorder="1" applyAlignment="1">
      <alignment horizontal="center" vertical="center"/>
    </xf>
    <xf numFmtId="2" fontId="39" fillId="3" borderId="34" xfId="0" applyNumberFormat="1" applyFont="1" applyFill="1" applyBorder="1" applyAlignment="1">
      <alignment horizontal="center"/>
    </xf>
    <xf numFmtId="165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 vertical="center"/>
    </xf>
    <xf numFmtId="165" fontId="39" fillId="3" borderId="36" xfId="0" applyNumberFormat="1" applyFont="1" applyFill="1" applyBorder="1" applyAlignment="1">
      <alignment horizontal="center" vertical="center"/>
    </xf>
    <xf numFmtId="2" fontId="39" fillId="4" borderId="38" xfId="0" applyNumberFormat="1" applyFont="1" applyFill="1" applyBorder="1" applyAlignment="1">
      <alignment horizontal="center"/>
    </xf>
    <xf numFmtId="2" fontId="39" fillId="4" borderId="2" xfId="0" applyNumberFormat="1" applyFont="1" applyFill="1" applyBorder="1" applyAlignment="1">
      <alignment horizontal="center"/>
    </xf>
    <xf numFmtId="165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 vertical="center"/>
    </xf>
    <xf numFmtId="165" fontId="39" fillId="4" borderId="2" xfId="0" applyNumberFormat="1" applyFont="1" applyFill="1" applyBorder="1" applyAlignment="1">
      <alignment horizontal="center" vertical="center"/>
    </xf>
    <xf numFmtId="2" fontId="39" fillId="4" borderId="40" xfId="0" applyNumberFormat="1" applyFont="1" applyFill="1" applyBorder="1" applyAlignment="1">
      <alignment horizontal="center"/>
    </xf>
    <xf numFmtId="165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 vertical="center"/>
    </xf>
    <xf numFmtId="165" fontId="39" fillId="4" borderId="0" xfId="0" applyNumberFormat="1" applyFont="1" applyFill="1" applyBorder="1" applyAlignment="1">
      <alignment horizontal="center" vertical="center"/>
    </xf>
    <xf numFmtId="2" fontId="39" fillId="4" borderId="42" xfId="0" applyNumberFormat="1" applyFont="1" applyFill="1" applyBorder="1" applyAlignment="1">
      <alignment horizontal="center"/>
    </xf>
    <xf numFmtId="165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 vertical="center"/>
    </xf>
    <xf numFmtId="165" fontId="39" fillId="4" borderId="36" xfId="0" applyNumberFormat="1" applyFont="1" applyFill="1" applyBorder="1" applyAlignment="1">
      <alignment horizontal="center" vertical="center"/>
    </xf>
    <xf numFmtId="0" fontId="6" fillId="8" borderId="36" xfId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left"/>
    </xf>
    <xf numFmtId="0" fontId="40" fillId="0" borderId="0" xfId="1" applyFont="1" applyAlignment="1" applyProtection="1">
      <alignment horizontal="left" vertical="center"/>
    </xf>
    <xf numFmtId="0" fontId="32" fillId="0" borderId="0" xfId="0" applyFont="1" applyAlignment="1">
      <alignment horizontal="left"/>
    </xf>
    <xf numFmtId="0" fontId="7" fillId="7" borderId="0" xfId="0" applyFont="1" applyFill="1" applyBorder="1" applyProtection="1"/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165" fontId="8" fillId="7" borderId="0" xfId="0" applyNumberFormat="1" applyFont="1" applyFill="1" applyBorder="1" applyAlignment="1" applyProtection="1">
      <alignment horizontal="center" vertical="center"/>
    </xf>
    <xf numFmtId="165" fontId="0" fillId="7" borderId="0" xfId="0" applyNumberFormat="1" applyFont="1" applyFill="1" applyAlignment="1" applyProtection="1">
      <alignment horizontal="center"/>
    </xf>
    <xf numFmtId="0" fontId="38" fillId="8" borderId="36" xfId="0" applyFont="1" applyFill="1" applyBorder="1" applyAlignment="1">
      <alignment horizontal="center" vertical="center"/>
    </xf>
    <xf numFmtId="0" fontId="8" fillId="6" borderId="29" xfId="0" applyFont="1" applyFill="1" applyBorder="1" applyAlignment="1" applyProtection="1">
      <alignment horizontal="center"/>
    </xf>
    <xf numFmtId="165" fontId="8" fillId="6" borderId="3" xfId="0" applyNumberFormat="1" applyFont="1" applyFill="1" applyBorder="1" applyAlignment="1" applyProtection="1">
      <alignment horizontal="center"/>
    </xf>
    <xf numFmtId="2" fontId="8" fillId="9" borderId="1" xfId="0" applyNumberFormat="1" applyFont="1" applyFill="1" applyBorder="1" applyAlignment="1" applyProtection="1">
      <alignment horizontal="center"/>
      <protection locked="0"/>
    </xf>
    <xf numFmtId="165" fontId="8" fillId="6" borderId="57" xfId="0" applyNumberFormat="1" applyFont="1" applyFill="1" applyBorder="1" applyAlignment="1" applyProtection="1">
      <alignment horizontal="center"/>
    </xf>
    <xf numFmtId="2" fontId="0" fillId="9" borderId="1" xfId="0" applyNumberFormat="1" applyFill="1" applyBorder="1" applyAlignment="1" applyProtection="1">
      <alignment horizontal="center"/>
      <protection locked="0"/>
    </xf>
    <xf numFmtId="0" fontId="0" fillId="0" borderId="0" xfId="0" applyFont="1"/>
    <xf numFmtId="0" fontId="38" fillId="8" borderId="42" xfId="0" applyFont="1" applyFill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165" fontId="39" fillId="2" borderId="39" xfId="0" applyNumberFormat="1" applyFont="1" applyFill="1" applyBorder="1" applyAlignment="1">
      <alignment horizontal="center"/>
    </xf>
    <xf numFmtId="165" fontId="39" fillId="2" borderId="41" xfId="0" applyNumberFormat="1" applyFont="1" applyFill="1" applyBorder="1" applyAlignment="1">
      <alignment horizontal="center"/>
    </xf>
    <xf numFmtId="165" fontId="39" fillId="2" borderId="37" xfId="0" applyNumberFormat="1" applyFont="1" applyFill="1" applyBorder="1" applyAlignment="1">
      <alignment horizontal="center"/>
    </xf>
    <xf numFmtId="165" fontId="38" fillId="8" borderId="46" xfId="0" applyNumberFormat="1" applyFont="1" applyFill="1" applyBorder="1" applyAlignment="1">
      <alignment horizontal="center" vertical="center"/>
    </xf>
    <xf numFmtId="165" fontId="39" fillId="3" borderId="39" xfId="0" applyNumberFormat="1" applyFont="1" applyFill="1" applyBorder="1" applyAlignment="1">
      <alignment horizontal="center"/>
    </xf>
    <xf numFmtId="165" fontId="39" fillId="3" borderId="41" xfId="0" applyNumberFormat="1" applyFont="1" applyFill="1" applyBorder="1" applyAlignment="1">
      <alignment horizontal="center"/>
    </xf>
    <xf numFmtId="165" fontId="39" fillId="3" borderId="37" xfId="0" applyNumberFormat="1" applyFont="1" applyFill="1" applyBorder="1" applyAlignment="1">
      <alignment horizontal="center"/>
    </xf>
    <xf numFmtId="165" fontId="39" fillId="4" borderId="39" xfId="0" applyNumberFormat="1" applyFont="1" applyFill="1" applyBorder="1" applyAlignment="1">
      <alignment horizontal="center"/>
    </xf>
    <xf numFmtId="165" fontId="39" fillId="4" borderId="41" xfId="0" applyNumberFormat="1" applyFont="1" applyFill="1" applyBorder="1" applyAlignment="1">
      <alignment horizontal="center"/>
    </xf>
    <xf numFmtId="165" fontId="39" fillId="4" borderId="37" xfId="0" applyNumberFormat="1" applyFont="1" applyFill="1" applyBorder="1" applyAlignment="1">
      <alignment horizontal="center"/>
    </xf>
    <xf numFmtId="2" fontId="39" fillId="2" borderId="38" xfId="0" applyNumberFormat="1" applyFont="1" applyFill="1" applyBorder="1" applyAlignment="1">
      <alignment horizontal="center"/>
    </xf>
    <xf numFmtId="2" fontId="39" fillId="2" borderId="40" xfId="0" applyNumberFormat="1" applyFont="1" applyFill="1" applyBorder="1" applyAlignment="1">
      <alignment horizontal="center"/>
    </xf>
    <xf numFmtId="2" fontId="39" fillId="2" borderId="42" xfId="0" applyNumberFormat="1" applyFont="1" applyFill="1" applyBorder="1" applyAlignment="1">
      <alignment horizontal="center"/>
    </xf>
    <xf numFmtId="0" fontId="0" fillId="8" borderId="39" xfId="0" applyFont="1" applyFill="1" applyBorder="1"/>
    <xf numFmtId="0" fontId="38" fillId="8" borderId="58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53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54" xfId="0" applyFont="1" applyFill="1" applyBorder="1" applyAlignment="1" applyProtection="1">
      <alignment horizontal="center" vertical="center"/>
    </xf>
    <xf numFmtId="0" fontId="43" fillId="8" borderId="52" xfId="0" applyFont="1" applyFill="1" applyBorder="1" applyAlignment="1" applyProtection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/>
      <protection locked="0"/>
    </xf>
    <xf numFmtId="0" fontId="12" fillId="7" borderId="0" xfId="0" applyFont="1" applyFill="1" applyBorder="1" applyAlignment="1" applyProtection="1">
      <alignment horizontal="center"/>
    </xf>
    <xf numFmtId="1" fontId="7" fillId="7" borderId="0" xfId="0" applyNumberFormat="1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2" fontId="24" fillId="0" borderId="1" xfId="0" applyNumberFormat="1" applyFont="1" applyFill="1" applyBorder="1" applyAlignment="1" applyProtection="1">
      <alignment horizontal="center"/>
      <protection locked="0"/>
    </xf>
    <xf numFmtId="0" fontId="8" fillId="6" borderId="15" xfId="0" applyFont="1" applyFill="1" applyBorder="1" applyAlignment="1" applyProtection="1">
      <alignment horizontal="center"/>
    </xf>
    <xf numFmtId="165" fontId="0" fillId="6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46" fillId="0" borderId="0" xfId="0" applyFont="1" applyAlignment="1">
      <alignment vertical="center"/>
    </xf>
    <xf numFmtId="2" fontId="46" fillId="8" borderId="2" xfId="0" applyNumberFormat="1" applyFont="1" applyFill="1" applyBorder="1" applyAlignment="1">
      <alignment horizontal="left" vertical="center"/>
    </xf>
    <xf numFmtId="2" fontId="46" fillId="8" borderId="2" xfId="0" applyNumberFormat="1" applyFont="1" applyFill="1" applyBorder="1" applyAlignment="1">
      <alignment horizontal="center" vertical="center"/>
    </xf>
    <xf numFmtId="165" fontId="46" fillId="8" borderId="2" xfId="0" applyNumberFormat="1" applyFont="1" applyFill="1" applyBorder="1" applyAlignment="1">
      <alignment horizontal="center" vertical="center"/>
    </xf>
    <xf numFmtId="164" fontId="46" fillId="8" borderId="2" xfId="0" applyNumberFormat="1" applyFont="1" applyFill="1" applyBorder="1" applyAlignment="1">
      <alignment horizontal="center" vertical="center"/>
    </xf>
    <xf numFmtId="164" fontId="46" fillId="8" borderId="39" xfId="0" applyNumberFormat="1" applyFont="1" applyFill="1" applyBorder="1" applyAlignment="1">
      <alignment horizontal="center" vertical="center"/>
    </xf>
    <xf numFmtId="0" fontId="38" fillId="8" borderId="35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vertical="center"/>
    </xf>
    <xf numFmtId="0" fontId="47" fillId="8" borderId="38" xfId="0" applyFont="1" applyFill="1" applyBorder="1" applyAlignment="1">
      <alignment horizontal="left" vertical="center"/>
    </xf>
    <xf numFmtId="0" fontId="47" fillId="8" borderId="2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17" fillId="7" borderId="0" xfId="0" applyNumberFormat="1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0" fontId="50" fillId="0" borderId="40" xfId="0" applyFont="1" applyBorder="1" applyAlignment="1" applyProtection="1"/>
    <xf numFmtId="0" fontId="50" fillId="0" borderId="0" xfId="0" applyFont="1" applyAlignment="1" applyProtection="1"/>
    <xf numFmtId="0" fontId="50" fillId="0" borderId="0" xfId="0" applyFont="1" applyProtection="1"/>
    <xf numFmtId="0" fontId="7" fillId="0" borderId="0" xfId="0" applyFont="1" applyAlignment="1" applyProtection="1">
      <alignment horizontal="left"/>
    </xf>
    <xf numFmtId="1" fontId="24" fillId="7" borderId="36" xfId="0" applyNumberFormat="1" applyFont="1" applyFill="1" applyBorder="1" applyAlignment="1" applyProtection="1">
      <alignment horizontal="center"/>
    </xf>
    <xf numFmtId="0" fontId="7" fillId="7" borderId="40" xfId="0" applyFont="1" applyFill="1" applyBorder="1" applyAlignment="1" applyProtection="1">
      <alignment horizontal="center" vertical="center"/>
    </xf>
    <xf numFmtId="165" fontId="0" fillId="9" borderId="1" xfId="0" applyNumberFormat="1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horizontal="center" vertical="center"/>
    </xf>
    <xf numFmtId="0" fontId="0" fillId="7" borderId="37" xfId="0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 vertical="center"/>
    </xf>
    <xf numFmtId="0" fontId="49" fillId="8" borderId="38" xfId="0" applyFont="1" applyFill="1" applyBorder="1" applyAlignment="1">
      <alignment horizontal="center" vertical="center"/>
    </xf>
    <xf numFmtId="165" fontId="49" fillId="8" borderId="2" xfId="0" applyNumberFormat="1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9" xfId="0" applyFont="1" applyFill="1" applyBorder="1" applyAlignment="1">
      <alignment horizontal="center" vertical="center"/>
    </xf>
    <xf numFmtId="0" fontId="0" fillId="6" borderId="22" xfId="0" applyFill="1" applyBorder="1" applyAlignment="1" applyProtection="1">
      <alignment horizontal="left" vertical="center" indent="1"/>
    </xf>
    <xf numFmtId="0" fontId="50" fillId="0" borderId="0" xfId="0" applyFont="1" applyBorder="1" applyAlignment="1" applyProtection="1"/>
    <xf numFmtId="0" fontId="0" fillId="6" borderId="22" xfId="0" applyFill="1" applyBorder="1" applyProtection="1"/>
    <xf numFmtId="0" fontId="0" fillId="6" borderId="23" xfId="0" applyFill="1" applyBorder="1" applyProtection="1"/>
    <xf numFmtId="0" fontId="7" fillId="6" borderId="19" xfId="0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 applyProtection="1">
      <alignment horizontal="center" vertical="center"/>
      <protection locked="0"/>
    </xf>
    <xf numFmtId="1" fontId="24" fillId="0" borderId="1" xfId="0" applyNumberFormat="1" applyFont="1" applyFill="1" applyBorder="1" applyAlignment="1" applyProtection="1">
      <alignment horizontal="center"/>
      <protection locked="0"/>
    </xf>
    <xf numFmtId="164" fontId="39" fillId="13" borderId="41" xfId="0" applyNumberFormat="1" applyFont="1" applyFill="1" applyBorder="1" applyAlignment="1">
      <alignment horizontal="center"/>
    </xf>
    <xf numFmtId="164" fontId="39" fillId="13" borderId="37" xfId="0" applyNumberFormat="1" applyFont="1" applyFill="1" applyBorder="1" applyAlignment="1">
      <alignment horizontal="center"/>
    </xf>
    <xf numFmtId="164" fontId="39" fillId="13" borderId="0" xfId="0" applyNumberFormat="1" applyFont="1" applyFill="1" applyBorder="1" applyAlignment="1">
      <alignment horizontal="center"/>
    </xf>
    <xf numFmtId="164" fontId="39" fillId="13" borderId="36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27" fillId="10" borderId="45" xfId="0" applyFont="1" applyFill="1" applyBorder="1" applyAlignment="1" applyProtection="1">
      <alignment horizontal="center" vertical="center"/>
    </xf>
    <xf numFmtId="0" fontId="27" fillId="10" borderId="44" xfId="0" applyFont="1" applyFill="1" applyBorder="1" applyAlignment="1" applyProtection="1">
      <alignment horizontal="center" vertical="center"/>
    </xf>
    <xf numFmtId="0" fontId="27" fillId="10" borderId="46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left" vertical="center" wrapText="1"/>
    </xf>
    <xf numFmtId="0" fontId="17" fillId="7" borderId="2" xfId="0" applyFont="1" applyFill="1" applyBorder="1" applyAlignment="1" applyProtection="1">
      <alignment horizontal="left" vertical="center" wrapText="1"/>
    </xf>
    <xf numFmtId="0" fontId="17" fillId="7" borderId="39" xfId="0" applyFont="1" applyFill="1" applyBorder="1" applyAlignment="1" applyProtection="1">
      <alignment horizontal="left" vertical="center" wrapText="1"/>
    </xf>
    <xf numFmtId="0" fontId="0" fillId="6" borderId="4" xfId="0" applyFill="1" applyBorder="1" applyAlignment="1" applyProtection="1">
      <alignment horizontal="left" indent="1"/>
    </xf>
    <xf numFmtId="0" fontId="0" fillId="6" borderId="5" xfId="0" applyFill="1" applyBorder="1" applyAlignment="1" applyProtection="1">
      <alignment horizontal="left" indent="1"/>
    </xf>
    <xf numFmtId="0" fontId="0" fillId="6" borderId="31" xfId="0" applyFill="1" applyBorder="1" applyAlignment="1" applyProtection="1">
      <alignment horizontal="left" indent="1"/>
    </xf>
    <xf numFmtId="0" fontId="0" fillId="6" borderId="43" xfId="0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3" xfId="0" applyFill="1" applyBorder="1" applyAlignment="1" applyProtection="1">
      <alignment horizontal="left" vertical="center" indent="1"/>
    </xf>
    <xf numFmtId="0" fontId="17" fillId="7" borderId="40" xfId="0" applyFont="1" applyFill="1" applyBorder="1" applyAlignment="1" applyProtection="1">
      <alignment horizontal="left" vertical="center" wrapText="1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0" fontId="11" fillId="8" borderId="29" xfId="0" applyFont="1" applyFill="1" applyBorder="1" applyAlignment="1" applyProtection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18" xfId="0" applyFont="1" applyFill="1" applyBorder="1" applyAlignment="1" applyProtection="1">
      <alignment horizontal="center" vertical="center"/>
    </xf>
    <xf numFmtId="0" fontId="0" fillId="6" borderId="13" xfId="0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0" fontId="0" fillId="6" borderId="20" xfId="0" applyFill="1" applyBorder="1" applyAlignment="1">
      <alignment horizontal="left" vertical="center" indent="1"/>
    </xf>
    <xf numFmtId="0" fontId="21" fillId="11" borderId="45" xfId="0" applyFont="1" applyFill="1" applyBorder="1" applyAlignment="1" applyProtection="1">
      <alignment horizontal="center" vertical="center" wrapText="1"/>
    </xf>
    <xf numFmtId="0" fontId="12" fillId="11" borderId="44" xfId="0" applyFont="1" applyFill="1" applyBorder="1" applyAlignment="1" applyProtection="1">
      <alignment horizontal="center" vertical="center"/>
    </xf>
    <xf numFmtId="0" fontId="12" fillId="11" borderId="46" xfId="0" applyFont="1" applyFill="1" applyBorder="1" applyAlignment="1" applyProtection="1">
      <alignment horizontal="center" vertical="center"/>
    </xf>
    <xf numFmtId="0" fontId="28" fillId="12" borderId="45" xfId="0" applyFont="1" applyFill="1" applyBorder="1" applyAlignment="1" applyProtection="1">
      <alignment horizontal="center" vertical="center"/>
    </xf>
    <xf numFmtId="0" fontId="28" fillId="12" borderId="44" xfId="0" applyFont="1" applyFill="1" applyBorder="1" applyAlignment="1" applyProtection="1">
      <alignment horizontal="center" vertical="center"/>
    </xf>
    <xf numFmtId="0" fontId="28" fillId="12" borderId="46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11" fillId="8" borderId="29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/>
    </xf>
    <xf numFmtId="0" fontId="11" fillId="8" borderId="18" xfId="0" applyFont="1" applyFill="1" applyBorder="1" applyAlignment="1" applyProtection="1">
      <alignment horizontal="center"/>
    </xf>
    <xf numFmtId="0" fontId="0" fillId="6" borderId="13" xfId="0" applyFont="1" applyFill="1" applyBorder="1" applyAlignment="1" applyProtection="1">
      <alignment horizontal="left" indent="1"/>
    </xf>
    <xf numFmtId="0" fontId="0" fillId="6" borderId="14" xfId="0" applyFont="1" applyFill="1" applyBorder="1" applyAlignment="1" applyProtection="1">
      <alignment horizontal="left" indent="1"/>
    </xf>
    <xf numFmtId="0" fontId="0" fillId="6" borderId="20" xfId="0" applyFont="1" applyFill="1" applyBorder="1" applyAlignment="1" applyProtection="1">
      <alignment horizontal="left" indent="1"/>
    </xf>
    <xf numFmtId="0" fontId="0" fillId="6" borderId="13" xfId="0" applyFill="1" applyBorder="1" applyAlignment="1" applyProtection="1">
      <alignment horizontal="left" indent="1"/>
    </xf>
    <xf numFmtId="0" fontId="0" fillId="6" borderId="14" xfId="0" applyFill="1" applyBorder="1" applyAlignment="1" applyProtection="1">
      <alignment horizontal="left" indent="1"/>
    </xf>
    <xf numFmtId="0" fontId="0" fillId="6" borderId="20" xfId="0" applyFill="1" applyBorder="1" applyAlignment="1" applyProtection="1">
      <alignment horizontal="left" indent="1"/>
    </xf>
    <xf numFmtId="0" fontId="15" fillId="0" borderId="0" xfId="0" applyFont="1" applyAlignment="1" applyProtection="1">
      <alignment horizontal="center"/>
    </xf>
    <xf numFmtId="0" fontId="11" fillId="8" borderId="45" xfId="0" applyFont="1" applyFill="1" applyBorder="1" applyAlignment="1" applyProtection="1">
      <alignment horizontal="center" vertical="center"/>
    </xf>
    <xf numFmtId="0" fontId="11" fillId="8" borderId="44" xfId="0" applyFont="1" applyFill="1" applyBorder="1" applyAlignment="1" applyProtection="1">
      <alignment horizontal="center" vertical="center"/>
    </xf>
    <xf numFmtId="0" fontId="11" fillId="8" borderId="50" xfId="0" applyFont="1" applyFill="1" applyBorder="1" applyAlignment="1" applyProtection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0" fillId="6" borderId="13" xfId="0" applyFill="1" applyBorder="1" applyAlignment="1" applyProtection="1">
      <alignment horizontal="left" vertical="center" indent="1"/>
    </xf>
    <xf numFmtId="0" fontId="0" fillId="6" borderId="29" xfId="0" applyFill="1" applyBorder="1" applyAlignment="1" applyProtection="1">
      <alignment horizontal="left" vertical="center" indent="1"/>
    </xf>
    <xf numFmtId="0" fontId="0" fillId="6" borderId="17" xfId="0" applyFill="1" applyBorder="1" applyAlignment="1" applyProtection="1">
      <alignment horizontal="left" vertical="center" indent="1"/>
    </xf>
    <xf numFmtId="0" fontId="0" fillId="6" borderId="18" xfId="0" applyFill="1" applyBorder="1" applyAlignment="1" applyProtection="1">
      <alignment horizontal="left" vertical="center" inden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7" fillId="7" borderId="4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/>
    </xf>
    <xf numFmtId="0" fontId="17" fillId="7" borderId="41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horizontal="center" vertical="center"/>
    </xf>
    <xf numFmtId="0" fontId="17" fillId="7" borderId="39" xfId="0" applyFont="1" applyFill="1" applyBorder="1" applyAlignment="1" applyProtection="1">
      <alignment horizontal="center" vertical="center"/>
    </xf>
    <xf numFmtId="0" fontId="51" fillId="7" borderId="4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21" fillId="11" borderId="42" xfId="0" applyFont="1" applyFill="1" applyBorder="1" applyAlignment="1" applyProtection="1">
      <alignment horizontal="center" vertical="center" wrapText="1"/>
    </xf>
    <xf numFmtId="0" fontId="12" fillId="11" borderId="36" xfId="0" applyFont="1" applyFill="1" applyBorder="1" applyAlignment="1" applyProtection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0" fontId="19" fillId="10" borderId="45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0" fontId="19" fillId="10" borderId="46" xfId="0" applyFont="1" applyFill="1" applyBorder="1" applyAlignment="1">
      <alignment horizontal="center" vertical="center"/>
    </xf>
    <xf numFmtId="0" fontId="19" fillId="10" borderId="36" xfId="0" applyFont="1" applyFill="1" applyBorder="1" applyAlignment="1">
      <alignment horizontal="center" vertical="center"/>
    </xf>
    <xf numFmtId="0" fontId="40" fillId="0" borderId="0" xfId="1" applyFont="1" applyAlignment="1" applyProtection="1">
      <alignment horizontal="center" vertical="center"/>
    </xf>
    <xf numFmtId="0" fontId="9" fillId="8" borderId="17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00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9868828896388133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384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Efficiency!$U$4:$U$13</c:f>
              <c:numCache>
                <c:formatCode>0.0</c:formatCode>
                <c:ptCount val="10"/>
                <c:pt idx="0">
                  <c:v>88.952106341173007</c:v>
                </c:pt>
                <c:pt idx="1">
                  <c:v>90.442086541504466</c:v>
                </c:pt>
                <c:pt idx="2">
                  <c:v>90.389775546820715</c:v>
                </c:pt>
                <c:pt idx="3">
                  <c:v>89.94197834297222</c:v>
                </c:pt>
                <c:pt idx="4">
                  <c:v>89.335535911436196</c:v>
                </c:pt>
                <c:pt idx="5">
                  <c:v>88.648730348742134</c:v>
                </c:pt>
                <c:pt idx="6">
                  <c:v>87.913529819901839</c:v>
                </c:pt>
                <c:pt idx="7">
                  <c:v>87.144160684154457</c:v>
                </c:pt>
                <c:pt idx="8">
                  <c:v>86.490462314307351</c:v>
                </c:pt>
                <c:pt idx="9">
                  <c:v>85.802576494730943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Efficiency!$AO$4:$AO$13</c:f>
              <c:numCache>
                <c:formatCode>0.0</c:formatCode>
                <c:ptCount val="10"/>
                <c:pt idx="0">
                  <c:v>84.925349104931342</c:v>
                </c:pt>
                <c:pt idx="1">
                  <c:v>87.619844526219765</c:v>
                </c:pt>
                <c:pt idx="2">
                  <c:v>88.056520655542101</c:v>
                </c:pt>
                <c:pt idx="3">
                  <c:v>87.901214262863149</c:v>
                </c:pt>
                <c:pt idx="4">
                  <c:v>87.507952680049186</c:v>
                </c:pt>
                <c:pt idx="5">
                  <c:v>86.996811990437692</c:v>
                </c:pt>
                <c:pt idx="6">
                  <c:v>86.418986728602277</c:v>
                </c:pt>
                <c:pt idx="7">
                  <c:v>85.799343557777519</c:v>
                </c:pt>
                <c:pt idx="8">
                  <c:v>85.330161503274923</c:v>
                </c:pt>
                <c:pt idx="9">
                  <c:v>84.830958843030999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Efficiency!$BI$4:$BI$13</c:f>
              <c:numCache>
                <c:formatCode>0.0</c:formatCode>
                <c:ptCount val="10"/>
                <c:pt idx="0">
                  <c:v>81.231357933419076</c:v>
                </c:pt>
                <c:pt idx="1">
                  <c:v>85.070653197685843</c:v>
                </c:pt>
                <c:pt idx="2">
                  <c:v>85.971301004792778</c:v>
                </c:pt>
                <c:pt idx="3">
                  <c:v>86.081798658813625</c:v>
                </c:pt>
                <c:pt idx="4">
                  <c:v>85.870667558954338</c:v>
                </c:pt>
                <c:pt idx="5">
                  <c:v>85.499230205483101</c:v>
                </c:pt>
                <c:pt idx="6">
                  <c:v>85.037370099426639</c:v>
                </c:pt>
                <c:pt idx="7">
                  <c:v>84.519832844178779</c:v>
                </c:pt>
                <c:pt idx="8">
                  <c:v>84.158770159547799</c:v>
                </c:pt>
                <c:pt idx="9">
                  <c:v>83.763601580763606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522320"/>
        <c:axId val="353103312"/>
      </c:scatterChart>
      <c:valAx>
        <c:axId val="361522320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2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103312"/>
        <c:crosses val="autoZero"/>
        <c:crossBetween val="midCat"/>
        <c:majorUnit val="0.25"/>
        <c:minorUnit val="0.125"/>
      </c:valAx>
      <c:valAx>
        <c:axId val="353103312"/>
        <c:scaling>
          <c:orientation val="minMax"/>
          <c:max val="9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0709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522320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30768028996377"/>
          <c:y val="0.68932428425526249"/>
          <c:w val="0.12461751371987591"/>
          <c:h val="0.1578844644419475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44" r="0.750000000000009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Minimum Current Limit</a:t>
            </a:r>
          </a:p>
        </c:rich>
      </c:tx>
      <c:layout>
        <c:manualLayout>
          <c:xMode val="edge"/>
          <c:yMode val="edge"/>
          <c:x val="0.2609016999260903"/>
          <c:y val="1.0899182561307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25832358538553"/>
          <c:y val="0.10866027305170009"/>
          <c:w val="0.81528175940313463"/>
          <c:h val="0.72752930406860061"/>
        </c:manualLayout>
      </c:layout>
      <c:scatterChart>
        <c:scatterStyle val="lineMarker"/>
        <c:varyColors val="0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1"/>
            <c:trendlineLbl>
              <c:layout>
                <c:manualLayout>
                  <c:x val="-0.44526377661772321"/>
                  <c:y val="0.3250322183841461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="1" baseline="0">
                        <a:solidFill>
                          <a:srgbClr val="FF0000"/>
                        </a:solidFill>
                      </a:rPr>
                      <a:t>y = -0.0059x + 2.8294</a:t>
                    </a:r>
                    <a:endParaRPr lang="en-US" sz="1200" b="1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Constants!$A$27:$A$28</c:f>
              <c:numCache>
                <c:formatCode>General</c:formatCode>
                <c:ptCount val="2"/>
                <c:pt idx="0">
                  <c:v>5</c:v>
                </c:pt>
                <c:pt idx="1">
                  <c:v>90</c:v>
                </c:pt>
              </c:numCache>
            </c:numRef>
          </c:xVal>
          <c:yVal>
            <c:numRef>
              <c:f>Constants!$B$27:$B$28</c:f>
              <c:numCache>
                <c:formatCode>0.00</c:formatCode>
                <c:ptCount val="2"/>
                <c:pt idx="0">
                  <c:v>2.8</c:v>
                </c:pt>
                <c:pt idx="1">
                  <c:v>2.2999999999999998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269120"/>
        <c:axId val="392269680"/>
      </c:scatterChart>
      <c:valAx>
        <c:axId val="392269120"/>
        <c:scaling>
          <c:orientation val="minMax"/>
          <c:max val="9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Duty Cycle</a:t>
                </a:r>
                <a:r>
                  <a:rPr lang="en-US" sz="1100" baseline="0"/>
                  <a:t> (%)</a:t>
                </a:r>
              </a:p>
            </c:rich>
          </c:tx>
          <c:layout>
            <c:manualLayout>
              <c:xMode val="edge"/>
              <c:yMode val="edge"/>
              <c:x val="0.41820509686843466"/>
              <c:y val="0.917452566385604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92269680"/>
        <c:crosses val="autoZero"/>
        <c:crossBetween val="midCat"/>
        <c:majorUnit val="10"/>
        <c:minorUnit val="10"/>
      </c:valAx>
      <c:valAx>
        <c:axId val="392269680"/>
        <c:scaling>
          <c:orientation val="minMax"/>
          <c:max val="3"/>
          <c:min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ILIM_min</a:t>
                </a:r>
              </a:p>
            </c:rich>
          </c:tx>
          <c:layout>
            <c:manualLayout>
              <c:xMode val="edge"/>
              <c:yMode val="edge"/>
              <c:x val="9.0060582781920067E-3"/>
              <c:y val="0.364130133600673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392269120"/>
        <c:crosses val="autoZero"/>
        <c:crossBetween val="midCat"/>
        <c:majorUnit val="0.25"/>
        <c:minorUnit val="0.25"/>
      </c:valAx>
    </c:plotArea>
    <c:legend>
      <c:legendPos val="r"/>
      <c:layout>
        <c:manualLayout>
          <c:xMode val="edge"/>
          <c:yMode val="edge"/>
          <c:x val="0.67002531557169764"/>
          <c:y val="0.13924063306800549"/>
          <c:w val="0.2491294117647059"/>
          <c:h val="0.14876996187284319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3718035245594304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Efficiency!$B$15:$B$24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Efficiency!$U$15:$U$24</c:f>
              <c:numCache>
                <c:formatCode>0.0</c:formatCode>
                <c:ptCount val="10"/>
                <c:pt idx="0">
                  <c:v>89.539182427617632</c:v>
                </c:pt>
                <c:pt idx="1">
                  <c:v>90.848958999160217</c:v>
                </c:pt>
                <c:pt idx="2">
                  <c:v>90.58998416189975</c:v>
                </c:pt>
                <c:pt idx="3">
                  <c:v>89.930425818849059</c:v>
                </c:pt>
                <c:pt idx="4">
                  <c:v>89.110730460090039</c:v>
                </c:pt>
                <c:pt idx="5">
                  <c:v>88.209568654771772</c:v>
                </c:pt>
                <c:pt idx="6">
                  <c:v>87.258280625716068</c:v>
                </c:pt>
                <c:pt idx="7">
                  <c:v>86.269984019587923</c:v>
                </c:pt>
                <c:pt idx="8">
                  <c:v>85.390850019885477</c:v>
                </c:pt>
                <c:pt idx="9">
                  <c:v>84.469937032351353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Efficiency!$V$15:$V$24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Efficiency!$AO$15:$AO$24</c:f>
              <c:numCache>
                <c:formatCode>0.0</c:formatCode>
                <c:ptCount val="10"/>
                <c:pt idx="0">
                  <c:v>85.682536157615971</c:v>
                </c:pt>
                <c:pt idx="1">
                  <c:v>88.272261394853857</c:v>
                </c:pt>
                <c:pt idx="2">
                  <c:v>88.555882284659589</c:v>
                </c:pt>
                <c:pt idx="3">
                  <c:v>88.236707191732094</c:v>
                </c:pt>
                <c:pt idx="4">
                  <c:v>87.676498464179076</c:v>
                </c:pt>
                <c:pt idx="5">
                  <c:v>86.997562677588022</c:v>
                </c:pt>
                <c:pt idx="6">
                  <c:v>86.251667378767877</c:v>
                </c:pt>
                <c:pt idx="7">
                  <c:v>85.463594996922964</c:v>
                </c:pt>
                <c:pt idx="8">
                  <c:v>84.825046678615436</c:v>
                </c:pt>
                <c:pt idx="9">
                  <c:v>84.153795477427494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Efficiency!$AP$15:$AP$24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Efficiency!$BI$15:$BI$24</c:f>
              <c:numCache>
                <c:formatCode>0.0</c:formatCode>
                <c:ptCount val="10"/>
                <c:pt idx="0">
                  <c:v>82.029365112807312</c:v>
                </c:pt>
                <c:pt idx="1">
                  <c:v>85.817041173273978</c:v>
                </c:pt>
                <c:pt idx="2">
                  <c:v>86.598546274676835</c:v>
                </c:pt>
                <c:pt idx="3">
                  <c:v>86.573254113602232</c:v>
                </c:pt>
                <c:pt idx="4">
                  <c:v>86.220958686021035</c:v>
                </c:pt>
                <c:pt idx="5">
                  <c:v>85.706646799563657</c:v>
                </c:pt>
                <c:pt idx="6">
                  <c:v>85.10155262190996</c:v>
                </c:pt>
                <c:pt idx="7">
                  <c:v>84.440869092954344</c:v>
                </c:pt>
                <c:pt idx="8">
                  <c:v>83.937534307712198</c:v>
                </c:pt>
                <c:pt idx="9">
                  <c:v>83.398815385858512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481200"/>
        <c:axId val="393481760"/>
      </c:scatterChart>
      <c:valAx>
        <c:axId val="393481200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4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481760"/>
        <c:crosses val="autoZero"/>
        <c:crossBetween val="midCat"/>
        <c:majorUnit val="0.25"/>
        <c:minorUnit val="0.125"/>
      </c:valAx>
      <c:valAx>
        <c:axId val="393481760"/>
        <c:scaling>
          <c:orientation val="minMax"/>
          <c:max val="9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0723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481200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109267591551061"/>
          <c:y val="0.68932428425526249"/>
          <c:w val="0.12461751371987591"/>
          <c:h val="0.157884464441947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66" r="0.750000000000009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the A8584</a:t>
            </a:r>
            <a:r>
              <a:rPr lang="en-US"/>
              <a:t>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5305336832895892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Efficiency!$O$4:$O$13</c:f>
              <c:numCache>
                <c:formatCode>0.0</c:formatCode>
                <c:ptCount val="10"/>
                <c:pt idx="0">
                  <c:v>26.656174924261368</c:v>
                </c:pt>
                <c:pt idx="1">
                  <c:v>27.134784195229752</c:v>
                </c:pt>
                <c:pt idx="2">
                  <c:v>27.846503329575388</c:v>
                </c:pt>
                <c:pt idx="3">
                  <c:v>28.803538875236143</c:v>
                </c:pt>
                <c:pt idx="4">
                  <c:v>30.020889268431368</c:v>
                </c:pt>
                <c:pt idx="5">
                  <c:v>31.516859601937178</c:v>
                </c:pt>
                <c:pt idx="6">
                  <c:v>33.313719629354225</c:v>
                </c:pt>
                <c:pt idx="7">
                  <c:v>35.438554217043276</c:v>
                </c:pt>
                <c:pt idx="8">
                  <c:v>37.906094684817305</c:v>
                </c:pt>
                <c:pt idx="9">
                  <c:v>40.765434370363252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Efficiency!$AI$4:$AI$13</c:f>
              <c:numCache>
                <c:formatCode>0.0</c:formatCode>
                <c:ptCount val="10"/>
                <c:pt idx="0">
                  <c:v>27.501397231196307</c:v>
                </c:pt>
                <c:pt idx="1">
                  <c:v>28.055889878297663</c:v>
                </c:pt>
                <c:pt idx="2">
                  <c:v>28.768003471791332</c:v>
                </c:pt>
                <c:pt idx="3">
                  <c:v>29.645049908653007</c:v>
                </c:pt>
                <c:pt idx="4">
                  <c:v>30.69556894104182</c:v>
                </c:pt>
                <c:pt idx="5">
                  <c:v>31.929517052142593</c:v>
                </c:pt>
                <c:pt idx="6">
                  <c:v>33.358495758575643</c:v>
                </c:pt>
                <c:pt idx="7">
                  <c:v>34.996030024389064</c:v>
                </c:pt>
                <c:pt idx="8">
                  <c:v>36.842685288354183</c:v>
                </c:pt>
                <c:pt idx="9">
                  <c:v>38.924535850291171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Efficiency!$BC$4:$BC$13</c:f>
              <c:numCache>
                <c:formatCode>0.0</c:formatCode>
                <c:ptCount val="10"/>
                <c:pt idx="0">
                  <c:v>28.435959561135135</c:v>
                </c:pt>
                <c:pt idx="1">
                  <c:v>29.192297118264392</c:v>
                </c:pt>
                <c:pt idx="2">
                  <c:v>30.068653785184058</c:v>
                </c:pt>
                <c:pt idx="3">
                  <c:v>31.07058688359988</c:v>
                </c:pt>
                <c:pt idx="4">
                  <c:v>32.204367692854156</c:v>
                </c:pt>
                <c:pt idx="5">
                  <c:v>33.477081818533129</c:v>
                </c:pt>
                <c:pt idx="6">
                  <c:v>34.896746688702123</c:v>
                </c:pt>
                <c:pt idx="7">
                  <c:v>36.472450195241954</c:v>
                </c:pt>
                <c:pt idx="8">
                  <c:v>38.201875989450478</c:v>
                </c:pt>
                <c:pt idx="9">
                  <c:v>40.103223636680312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Efficiency!$H$76:$H$77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Efficiency!$I$76:$I$77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61072"/>
        <c:axId val="147561632"/>
      </c:scatterChart>
      <c:valAx>
        <c:axId val="147561072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4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561632"/>
        <c:crosses val="autoZero"/>
        <c:crossBetween val="midCat"/>
        <c:majorUnit val="0.25"/>
        <c:minorUnit val="0.125"/>
      </c:valAx>
      <c:valAx>
        <c:axId val="147561632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6991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561072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267997750281216"/>
          <c:y val="0.15375943069877787"/>
          <c:w val="0.16859142607174118"/>
          <c:h val="0.1594616677099464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66" r="0.7500000000000096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the A8584</a:t>
            </a:r>
            <a:r>
              <a:rPr lang="en-US"/>
              <a:t>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19352955880514935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51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Efficiency!$B$15:$B$24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Efficiency!$O$15:$O$24</c:f>
              <c:numCache>
                <c:formatCode>0.0</c:formatCode>
                <c:ptCount val="10"/>
                <c:pt idx="0">
                  <c:v>86.698982149032702</c:v>
                </c:pt>
                <c:pt idx="1">
                  <c:v>87.302073974724863</c:v>
                </c:pt>
                <c:pt idx="2">
                  <c:v>88.227958155500005</c:v>
                </c:pt>
                <c:pt idx="3">
                  <c:v>89.49561357928927</c:v>
                </c:pt>
                <c:pt idx="4">
                  <c:v>91.128202679034757</c:v>
                </c:pt>
                <c:pt idx="5">
                  <c:v>93.153947157414919</c:v>
                </c:pt>
                <c:pt idx="6">
                  <c:v>95.607258286091763</c:v>
                </c:pt>
                <c:pt idx="7">
                  <c:v>98.530218134449782</c:v>
                </c:pt>
                <c:pt idx="8">
                  <c:v>101.9490747381991</c:v>
                </c:pt>
                <c:pt idx="9">
                  <c:v>105.93994024859768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Efficiency!$V$15:$V$24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Efficiency!$AI$15:$AI$24</c:f>
              <c:numCache>
                <c:formatCode>0.0</c:formatCode>
                <c:ptCount val="10"/>
                <c:pt idx="0">
                  <c:v>87.530848559667504</c:v>
                </c:pt>
                <c:pt idx="1">
                  <c:v>88.168152014987925</c:v>
                </c:pt>
                <c:pt idx="2">
                  <c:v>89.022000415280928</c:v>
                </c:pt>
                <c:pt idx="3">
                  <c:v>90.10331741015473</c:v>
                </c:pt>
                <c:pt idx="4">
                  <c:v>91.424810828350985</c:v>
                </c:pt>
                <c:pt idx="5">
                  <c:v>93.001280116202778</c:v>
                </c:pt>
                <c:pt idx="6">
                  <c:v>94.849990099546844</c:v>
                </c:pt>
                <c:pt idx="7">
                  <c:v>96.991130567386151</c:v>
                </c:pt>
                <c:pt idx="8">
                  <c:v>99.427258558645704</c:v>
                </c:pt>
                <c:pt idx="9">
                  <c:v>102.19680038434223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Efficiency!$AP$15:$AP$24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Efficiency!$BC$15:$BC$24</c:f>
              <c:numCache>
                <c:formatCode>0.0</c:formatCode>
                <c:ptCount val="10"/>
                <c:pt idx="0">
                  <c:v>88.458438878903607</c:v>
                </c:pt>
                <c:pt idx="1">
                  <c:v>89.276802954345669</c:v>
                </c:pt>
                <c:pt idx="2">
                  <c:v>90.259045146742721</c:v>
                </c:pt>
                <c:pt idx="3">
                  <c:v>91.413105818276307</c:v>
                </c:pt>
                <c:pt idx="4">
                  <c:v>92.747937794548932</c:v>
                </c:pt>
                <c:pt idx="5">
                  <c:v>94.273663714824039</c:v>
                </c:pt>
                <c:pt idx="6">
                  <c:v>96.001761040470996</c:v>
                </c:pt>
                <c:pt idx="7">
                  <c:v>97.945281693725519</c:v>
                </c:pt>
                <c:pt idx="8">
                  <c:v>100.10169820000806</c:v>
                </c:pt>
                <c:pt idx="9">
                  <c:v>102.49695065132509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Efficiency!$H$76:$H$77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Efficiency!$I$76:$I$77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551776"/>
        <c:axId val="362552336"/>
      </c:scatterChart>
      <c:valAx>
        <c:axId val="362551776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7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552336"/>
        <c:crosses val="autoZero"/>
        <c:crossBetween val="midCat"/>
        <c:majorUnit val="0.25"/>
        <c:minorUnit val="0.125"/>
      </c:valAx>
      <c:valAx>
        <c:axId val="362552336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043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551776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863235845519328"/>
          <c:y val="0.15375943069877787"/>
          <c:w val="0.14875015623047133"/>
          <c:h val="0.1594616677099464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88" r="0.7500000000000098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D1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0860892388451527"/>
          <c:y val="2.08453859585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51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Efficiency!$N$4:$N$13</c:f>
              <c:numCache>
                <c:formatCode>0.0</c:formatCode>
                <c:ptCount val="10"/>
                <c:pt idx="0">
                  <c:v>27.559963660297129</c:v>
                </c:pt>
                <c:pt idx="1">
                  <c:v>30.344851458847003</c:v>
                </c:pt>
                <c:pt idx="2">
                  <c:v>33.343266152068026</c:v>
                </c:pt>
                <c:pt idx="3">
                  <c:v>36.54395610518575</c:v>
                </c:pt>
                <c:pt idx="4">
                  <c:v>39.935701898050056</c:v>
                </c:pt>
                <c:pt idx="5">
                  <c:v>43.507189288012732</c:v>
                </c:pt>
                <c:pt idx="6">
                  <c:v>47.2468622020927</c:v>
                </c:pt>
                <c:pt idx="7">
                  <c:v>51.142747210298623</c:v>
                </c:pt>
                <c:pt idx="8">
                  <c:v>54.393586159414347</c:v>
                </c:pt>
                <c:pt idx="9">
                  <c:v>57.627187352278661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Efficiency!$AH$4:$AH$13</c:f>
              <c:numCache>
                <c:formatCode>0.0</c:formatCode>
                <c:ptCount val="10"/>
                <c:pt idx="0">
                  <c:v>28.210576831430561</c:v>
                </c:pt>
                <c:pt idx="1">
                  <c:v>31.71484231283786</c:v>
                </c:pt>
                <c:pt idx="2">
                  <c:v>35.500729901785412</c:v>
                </c:pt>
                <c:pt idx="3">
                  <c:v>39.55663918271118</c:v>
                </c:pt>
                <c:pt idx="4">
                  <c:v>43.87137400206484</c:v>
                </c:pt>
                <c:pt idx="5">
                  <c:v>48.434080637995152</c:v>
                </c:pt>
                <c:pt idx="6">
                  <c:v>53.234184647805876</c:v>
                </c:pt>
                <c:pt idx="7">
                  <c:v>58.261324795040835</c:v>
                </c:pt>
                <c:pt idx="8">
                  <c:v>62.4801566240859</c:v>
                </c:pt>
                <c:pt idx="9">
                  <c:v>66.706643174332214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Efficiency!$BB$4:$BB$13</c:f>
              <c:numCache>
                <c:formatCode>0.0</c:formatCode>
                <c:ptCount val="10"/>
                <c:pt idx="0">
                  <c:v>28.540670035190168</c:v>
                </c:pt>
                <c:pt idx="1">
                  <c:v>32.407175732092078</c:v>
                </c:pt>
                <c:pt idx="2">
                  <c:v>36.58663124515747</c:v>
                </c:pt>
                <c:pt idx="3">
                  <c:v>41.066734680517655</c:v>
                </c:pt>
                <c:pt idx="4">
                  <c:v>45.835715371302058</c:v>
                </c:pt>
                <c:pt idx="5">
                  <c:v>50.882283548920192</c:v>
                </c:pt>
                <c:pt idx="6">
                  <c:v>56.195581740686876</c:v>
                </c:pt>
                <c:pt idx="7">
                  <c:v>61.765137190927341</c:v>
                </c:pt>
                <c:pt idx="8">
                  <c:v>66.437173916355988</c:v>
                </c:pt>
                <c:pt idx="9">
                  <c:v>71.122024398201091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538176"/>
        <c:axId val="392538736"/>
      </c:scatterChart>
      <c:valAx>
        <c:axId val="392538176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7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538736"/>
        <c:crosses val="autoZero"/>
        <c:crossBetween val="midCat"/>
        <c:majorUnit val="0.25"/>
        <c:minorUnit val="0.125"/>
      </c:valAx>
      <c:valAx>
        <c:axId val="392538736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043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538176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672759655043148"/>
          <c:y val="0.10912902623573729"/>
          <c:w val="0.12461751371987591"/>
          <c:h val="0.157884464441947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88" r="0.7500000000000098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D1</a:t>
            </a:r>
            <a:r>
              <a:rPr lang="en-US"/>
              <a:t>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5305336832895892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51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Efficiency!$B$15:$B$24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Efficiency!$N$15:$N$24</c:f>
              <c:numCache>
                <c:formatCode>0.0</c:formatCode>
                <c:ptCount val="10"/>
                <c:pt idx="0">
                  <c:v>87.097196830348153</c:v>
                </c:pt>
                <c:pt idx="1">
                  <c:v>89.427040173938792</c:v>
                </c:pt>
                <c:pt idx="2">
                  <c:v>91.976078015414998</c:v>
                </c:pt>
                <c:pt idx="3">
                  <c:v>94.73097936317329</c:v>
                </c:pt>
                <c:pt idx="4">
                  <c:v>97.678373432444133</c:v>
                </c:pt>
                <c:pt idx="5">
                  <c:v>100.80466596388602</c:v>
                </c:pt>
                <c:pt idx="6">
                  <c:v>104.09582202453842</c:v>
                </c:pt>
                <c:pt idx="7">
                  <c:v>107.53710042465579</c:v>
                </c:pt>
                <c:pt idx="8">
                  <c:v>110.32828426338274</c:v>
                </c:pt>
                <c:pt idx="9">
                  <c:v>113.0949491083008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Efficiency!$V$15:$V$24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Efficiency!$AH$15:$AH$24</c:f>
              <c:numCache>
                <c:formatCode>0.0</c:formatCode>
                <c:ptCount val="10"/>
                <c:pt idx="0">
                  <c:v>87.626532297614062</c:v>
                </c:pt>
                <c:pt idx="1">
                  <c:v>90.559602050378786</c:v>
                </c:pt>
                <c:pt idx="2">
                  <c:v>93.785757160437541</c:v>
                </c:pt>
                <c:pt idx="3">
                  <c:v>97.292056740739596</c:v>
                </c:pt>
                <c:pt idx="4">
                  <c:v>101.06599211165528</c:v>
                </c:pt>
                <c:pt idx="5">
                  <c:v>105.09540675594175</c:v>
                </c:pt>
                <c:pt idx="6">
                  <c:v>109.36841318261939</c:v>
                </c:pt>
                <c:pt idx="7">
                  <c:v>113.87330420367749</c:v>
                </c:pt>
                <c:pt idx="8">
                  <c:v>117.57199860935931</c:v>
                </c:pt>
                <c:pt idx="9">
                  <c:v>121.2823796651479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Efficiency!$AP$15:$AP$24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Efficiency!$BB$15:$BB$24</c:f>
              <c:numCache>
                <c:formatCode>0.0</c:formatCode>
                <c:ptCount val="10"/>
                <c:pt idx="0">
                  <c:v>87.893974786777562</c:v>
                </c:pt>
                <c:pt idx="1">
                  <c:v>91.129195523532914</c:v>
                </c:pt>
                <c:pt idx="2">
                  <c:v>94.691605819470027</c:v>
                </c:pt>
                <c:pt idx="3">
                  <c:v>98.567790254896693</c:v>
                </c:pt>
                <c:pt idx="4">
                  <c:v>102.74491133996084</c:v>
                </c:pt>
                <c:pt idx="5">
                  <c:v>107.21064893170657</c:v>
                </c:pt>
                <c:pt idx="6">
                  <c:v>111.95314119933084</c:v>
                </c:pt>
                <c:pt idx="7">
                  <c:v>116.96092615304485</c:v>
                </c:pt>
                <c:pt idx="8">
                  <c:v>121.07676079737325</c:v>
                </c:pt>
                <c:pt idx="9">
                  <c:v>125.21347011413125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101968"/>
        <c:axId val="439939136"/>
      </c:scatterChart>
      <c:valAx>
        <c:axId val="394101968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07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939136"/>
        <c:crosses val="autoZero"/>
        <c:crossBetween val="midCat"/>
        <c:majorUnit val="0.25"/>
        <c:minorUnit val="0.125"/>
      </c:valAx>
      <c:valAx>
        <c:axId val="439939136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043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101968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672759655043148"/>
          <c:y val="0.10912902623573729"/>
          <c:w val="0.12461751371987591"/>
          <c:h val="0.157884464441947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88" r="0.7500000000000098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Typical Vout </a:t>
            </a:r>
            <a:r>
              <a:rPr lang="en-US" sz="1200" baseline="0"/>
              <a:t>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6268841394825637"/>
          <c:y val="2.0845385958554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Dropout!$C$4</c:f>
              <c:strCache>
                <c:ptCount val="1"/>
                <c:pt idx="0">
                  <c:v>2.50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12.000000000000002</c:v>
                </c:pt>
                <c:pt idx="1">
                  <c:v>11.795000000000002</c:v>
                </c:pt>
                <c:pt idx="2">
                  <c:v>11.590000000000002</c:v>
                </c:pt>
                <c:pt idx="3">
                  <c:v>11.385000000000002</c:v>
                </c:pt>
                <c:pt idx="4">
                  <c:v>11.180000000000001</c:v>
                </c:pt>
                <c:pt idx="5">
                  <c:v>10.975000000000001</c:v>
                </c:pt>
                <c:pt idx="6">
                  <c:v>10.770000000000001</c:v>
                </c:pt>
                <c:pt idx="7">
                  <c:v>10.565000000000001</c:v>
                </c:pt>
                <c:pt idx="8">
                  <c:v>10.360000000000001</c:v>
                </c:pt>
                <c:pt idx="9">
                  <c:v>10.155000000000001</c:v>
                </c:pt>
                <c:pt idx="10">
                  <c:v>9.9500000000000011</c:v>
                </c:pt>
                <c:pt idx="11">
                  <c:v>9.745000000000001</c:v>
                </c:pt>
                <c:pt idx="12">
                  <c:v>9.5400000000000009</c:v>
                </c:pt>
                <c:pt idx="13">
                  <c:v>9.3350000000000009</c:v>
                </c:pt>
                <c:pt idx="14">
                  <c:v>9.1300000000000008</c:v>
                </c:pt>
                <c:pt idx="15">
                  <c:v>8.9250000000000007</c:v>
                </c:pt>
                <c:pt idx="16">
                  <c:v>8.7200000000000006</c:v>
                </c:pt>
                <c:pt idx="17">
                  <c:v>8.5150000000000006</c:v>
                </c:pt>
                <c:pt idx="18">
                  <c:v>8.31</c:v>
                </c:pt>
                <c:pt idx="19">
                  <c:v>8.1050000000000004</c:v>
                </c:pt>
                <c:pt idx="20">
                  <c:v>7.9000000000000012</c:v>
                </c:pt>
                <c:pt idx="21">
                  <c:v>7.6950000000000012</c:v>
                </c:pt>
                <c:pt idx="22">
                  <c:v>7.4900000000000011</c:v>
                </c:pt>
                <c:pt idx="23">
                  <c:v>7.285000000000001</c:v>
                </c:pt>
                <c:pt idx="24">
                  <c:v>7.080000000000001</c:v>
                </c:pt>
                <c:pt idx="25">
                  <c:v>6.8750000000000009</c:v>
                </c:pt>
                <c:pt idx="26">
                  <c:v>6.6700000000000008</c:v>
                </c:pt>
                <c:pt idx="27">
                  <c:v>6.4650000000000007</c:v>
                </c:pt>
                <c:pt idx="28">
                  <c:v>6.2600000000000007</c:v>
                </c:pt>
                <c:pt idx="29">
                  <c:v>6.0550000000000006</c:v>
                </c:pt>
                <c:pt idx="30">
                  <c:v>5.8500000000000005</c:v>
                </c:pt>
                <c:pt idx="31">
                  <c:v>5.6450000000000005</c:v>
                </c:pt>
                <c:pt idx="32">
                  <c:v>5.44</c:v>
                </c:pt>
                <c:pt idx="33">
                  <c:v>5.2350000000000003</c:v>
                </c:pt>
                <c:pt idx="34">
                  <c:v>5.03</c:v>
                </c:pt>
                <c:pt idx="35">
                  <c:v>4.8250000000000002</c:v>
                </c:pt>
                <c:pt idx="36">
                  <c:v>4.62</c:v>
                </c:pt>
                <c:pt idx="37">
                  <c:v>4.415</c:v>
                </c:pt>
                <c:pt idx="38">
                  <c:v>4.21</c:v>
                </c:pt>
                <c:pt idx="39">
                  <c:v>4.0049999999999999</c:v>
                </c:pt>
                <c:pt idx="40">
                  <c:v>3.8</c:v>
                </c:pt>
              </c:numCache>
            </c:numRef>
          </c:xVal>
          <c:yVal>
            <c:numRef>
              <c:f>Dropout!$Q$4:$Q$44</c:f>
              <c:numCache>
                <c:formatCode>0.000</c:formatCode>
                <c:ptCount val="41"/>
                <c:pt idx="0">
                  <c:v>3.3223709369024856</c:v>
                </c:pt>
                <c:pt idx="1">
                  <c:v>3.3223709369024856</c:v>
                </c:pt>
                <c:pt idx="2">
                  <c:v>3.3223709369024856</c:v>
                </c:pt>
                <c:pt idx="3">
                  <c:v>3.3223709369024856</c:v>
                </c:pt>
                <c:pt idx="4">
                  <c:v>3.3223709369024856</c:v>
                </c:pt>
                <c:pt idx="5">
                  <c:v>3.3223709369024856</c:v>
                </c:pt>
                <c:pt idx="6">
                  <c:v>3.3223709369024856</c:v>
                </c:pt>
                <c:pt idx="7">
                  <c:v>3.3223709369024856</c:v>
                </c:pt>
                <c:pt idx="8">
                  <c:v>3.3223709369024856</c:v>
                </c:pt>
                <c:pt idx="9">
                  <c:v>3.3223709369024856</c:v>
                </c:pt>
                <c:pt idx="10">
                  <c:v>3.3223709369024856</c:v>
                </c:pt>
                <c:pt idx="11">
                  <c:v>3.3223709369024856</c:v>
                </c:pt>
                <c:pt idx="12">
                  <c:v>3.3223709369024856</c:v>
                </c:pt>
                <c:pt idx="13">
                  <c:v>3.3223709369024856</c:v>
                </c:pt>
                <c:pt idx="14">
                  <c:v>3.3223709369024856</c:v>
                </c:pt>
                <c:pt idx="15">
                  <c:v>3.3223709369024856</c:v>
                </c:pt>
                <c:pt idx="16">
                  <c:v>3.3223709369024856</c:v>
                </c:pt>
                <c:pt idx="17">
                  <c:v>3.3223709369024856</c:v>
                </c:pt>
                <c:pt idx="18">
                  <c:v>3.3223709369024856</c:v>
                </c:pt>
                <c:pt idx="19">
                  <c:v>3.3223709369024856</c:v>
                </c:pt>
                <c:pt idx="20">
                  <c:v>3.3223709369024856</c:v>
                </c:pt>
                <c:pt idx="21">
                  <c:v>3.3223709369024856</c:v>
                </c:pt>
                <c:pt idx="22">
                  <c:v>3.3223709369024856</c:v>
                </c:pt>
                <c:pt idx="23">
                  <c:v>3.3223709369024856</c:v>
                </c:pt>
                <c:pt idx="24">
                  <c:v>3.3223709369024856</c:v>
                </c:pt>
                <c:pt idx="25">
                  <c:v>3.3223709369024856</c:v>
                </c:pt>
                <c:pt idx="26">
                  <c:v>3.3223709369024856</c:v>
                </c:pt>
                <c:pt idx="27">
                  <c:v>3.3223709369024856</c:v>
                </c:pt>
                <c:pt idx="28">
                  <c:v>3.3223709369024856</c:v>
                </c:pt>
                <c:pt idx="29">
                  <c:v>3.3223709369024856</c:v>
                </c:pt>
                <c:pt idx="30">
                  <c:v>3.3223709369024856</c:v>
                </c:pt>
                <c:pt idx="31">
                  <c:v>3.3223709369024856</c:v>
                </c:pt>
                <c:pt idx="32">
                  <c:v>3.3223709369024856</c:v>
                </c:pt>
                <c:pt idx="33">
                  <c:v>3.3223709369024856</c:v>
                </c:pt>
                <c:pt idx="34">
                  <c:v>3.3223709369024856</c:v>
                </c:pt>
                <c:pt idx="35">
                  <c:v>3.3223709369024856</c:v>
                </c:pt>
                <c:pt idx="36">
                  <c:v>3.3223709369024856</c:v>
                </c:pt>
                <c:pt idx="37">
                  <c:v>3.3223709369024856</c:v>
                </c:pt>
                <c:pt idx="38">
                  <c:v>3.3223709369024856</c:v>
                </c:pt>
                <c:pt idx="39">
                  <c:v>3.2125858829876179</c:v>
                </c:pt>
                <c:pt idx="40">
                  <c:v>3.0164500135538495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Dropout!$R$4</c:f>
              <c:strCache>
                <c:ptCount val="1"/>
                <c:pt idx="0">
                  <c:v>1.67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12.000000000000002</c:v>
                </c:pt>
                <c:pt idx="1">
                  <c:v>11.795000000000002</c:v>
                </c:pt>
                <c:pt idx="2">
                  <c:v>11.590000000000002</c:v>
                </c:pt>
                <c:pt idx="3">
                  <c:v>11.385000000000002</c:v>
                </c:pt>
                <c:pt idx="4">
                  <c:v>11.180000000000001</c:v>
                </c:pt>
                <c:pt idx="5">
                  <c:v>10.975000000000001</c:v>
                </c:pt>
                <c:pt idx="6">
                  <c:v>10.770000000000001</c:v>
                </c:pt>
                <c:pt idx="7">
                  <c:v>10.565000000000001</c:v>
                </c:pt>
                <c:pt idx="8">
                  <c:v>10.360000000000001</c:v>
                </c:pt>
                <c:pt idx="9">
                  <c:v>10.155000000000001</c:v>
                </c:pt>
                <c:pt idx="10">
                  <c:v>9.9500000000000011</c:v>
                </c:pt>
                <c:pt idx="11">
                  <c:v>9.745000000000001</c:v>
                </c:pt>
                <c:pt idx="12">
                  <c:v>9.5400000000000009</c:v>
                </c:pt>
                <c:pt idx="13">
                  <c:v>9.3350000000000009</c:v>
                </c:pt>
                <c:pt idx="14">
                  <c:v>9.1300000000000008</c:v>
                </c:pt>
                <c:pt idx="15">
                  <c:v>8.9250000000000007</c:v>
                </c:pt>
                <c:pt idx="16">
                  <c:v>8.7200000000000006</c:v>
                </c:pt>
                <c:pt idx="17">
                  <c:v>8.5150000000000006</c:v>
                </c:pt>
                <c:pt idx="18">
                  <c:v>8.31</c:v>
                </c:pt>
                <c:pt idx="19">
                  <c:v>8.1050000000000004</c:v>
                </c:pt>
                <c:pt idx="20">
                  <c:v>7.9000000000000012</c:v>
                </c:pt>
                <c:pt idx="21">
                  <c:v>7.6950000000000012</c:v>
                </c:pt>
                <c:pt idx="22">
                  <c:v>7.4900000000000011</c:v>
                </c:pt>
                <c:pt idx="23">
                  <c:v>7.285000000000001</c:v>
                </c:pt>
                <c:pt idx="24">
                  <c:v>7.080000000000001</c:v>
                </c:pt>
                <c:pt idx="25">
                  <c:v>6.8750000000000009</c:v>
                </c:pt>
                <c:pt idx="26">
                  <c:v>6.6700000000000008</c:v>
                </c:pt>
                <c:pt idx="27">
                  <c:v>6.4650000000000007</c:v>
                </c:pt>
                <c:pt idx="28">
                  <c:v>6.2600000000000007</c:v>
                </c:pt>
                <c:pt idx="29">
                  <c:v>6.0550000000000006</c:v>
                </c:pt>
                <c:pt idx="30">
                  <c:v>5.8500000000000005</c:v>
                </c:pt>
                <c:pt idx="31">
                  <c:v>5.6450000000000005</c:v>
                </c:pt>
                <c:pt idx="32">
                  <c:v>5.44</c:v>
                </c:pt>
                <c:pt idx="33">
                  <c:v>5.2350000000000003</c:v>
                </c:pt>
                <c:pt idx="34">
                  <c:v>5.03</c:v>
                </c:pt>
                <c:pt idx="35">
                  <c:v>4.8250000000000002</c:v>
                </c:pt>
                <c:pt idx="36">
                  <c:v>4.62</c:v>
                </c:pt>
                <c:pt idx="37">
                  <c:v>4.415</c:v>
                </c:pt>
                <c:pt idx="38">
                  <c:v>4.21</c:v>
                </c:pt>
                <c:pt idx="39">
                  <c:v>4.0049999999999999</c:v>
                </c:pt>
                <c:pt idx="40">
                  <c:v>3.8</c:v>
                </c:pt>
              </c:numCache>
            </c:numRef>
          </c:xVal>
          <c:yVal>
            <c:numRef>
              <c:f>Dropout!$AF$4:$AF$44</c:f>
              <c:numCache>
                <c:formatCode>0.000</c:formatCode>
                <c:ptCount val="41"/>
                <c:pt idx="0">
                  <c:v>3.3223709369024856</c:v>
                </c:pt>
                <c:pt idx="1">
                  <c:v>3.3223709369024856</c:v>
                </c:pt>
                <c:pt idx="2">
                  <c:v>3.3223709369024856</c:v>
                </c:pt>
                <c:pt idx="3">
                  <c:v>3.3223709369024856</c:v>
                </c:pt>
                <c:pt idx="4">
                  <c:v>3.3223709369024856</c:v>
                </c:pt>
                <c:pt idx="5">
                  <c:v>3.3223709369024856</c:v>
                </c:pt>
                <c:pt idx="6">
                  <c:v>3.3223709369024856</c:v>
                </c:pt>
                <c:pt idx="7">
                  <c:v>3.3223709369024856</c:v>
                </c:pt>
                <c:pt idx="8">
                  <c:v>3.3223709369024856</c:v>
                </c:pt>
                <c:pt idx="9">
                  <c:v>3.3223709369024856</c:v>
                </c:pt>
                <c:pt idx="10">
                  <c:v>3.3223709369024856</c:v>
                </c:pt>
                <c:pt idx="11">
                  <c:v>3.3223709369024856</c:v>
                </c:pt>
                <c:pt idx="12">
                  <c:v>3.3223709369024856</c:v>
                </c:pt>
                <c:pt idx="13">
                  <c:v>3.3223709369024856</c:v>
                </c:pt>
                <c:pt idx="14">
                  <c:v>3.3223709369024856</c:v>
                </c:pt>
                <c:pt idx="15">
                  <c:v>3.3223709369024856</c:v>
                </c:pt>
                <c:pt idx="16">
                  <c:v>3.3223709369024856</c:v>
                </c:pt>
                <c:pt idx="17">
                  <c:v>3.3223709369024856</c:v>
                </c:pt>
                <c:pt idx="18">
                  <c:v>3.3223709369024856</c:v>
                </c:pt>
                <c:pt idx="19">
                  <c:v>3.3223709369024856</c:v>
                </c:pt>
                <c:pt idx="20">
                  <c:v>3.3223709369024856</c:v>
                </c:pt>
                <c:pt idx="21">
                  <c:v>3.3223709369024856</c:v>
                </c:pt>
                <c:pt idx="22">
                  <c:v>3.3223709369024856</c:v>
                </c:pt>
                <c:pt idx="23">
                  <c:v>3.3223709369024856</c:v>
                </c:pt>
                <c:pt idx="24">
                  <c:v>3.3223709369024856</c:v>
                </c:pt>
                <c:pt idx="25">
                  <c:v>3.3223709369024856</c:v>
                </c:pt>
                <c:pt idx="26">
                  <c:v>3.3223709369024856</c:v>
                </c:pt>
                <c:pt idx="27">
                  <c:v>3.3223709369024856</c:v>
                </c:pt>
                <c:pt idx="28">
                  <c:v>3.3223709369024856</c:v>
                </c:pt>
                <c:pt idx="29">
                  <c:v>3.3223709369024856</c:v>
                </c:pt>
                <c:pt idx="30">
                  <c:v>3.3223709369024856</c:v>
                </c:pt>
                <c:pt idx="31">
                  <c:v>3.3223709369024856</c:v>
                </c:pt>
                <c:pt idx="32">
                  <c:v>3.3223709369024856</c:v>
                </c:pt>
                <c:pt idx="33">
                  <c:v>3.3223709369024856</c:v>
                </c:pt>
                <c:pt idx="34">
                  <c:v>3.3223709369024856</c:v>
                </c:pt>
                <c:pt idx="35">
                  <c:v>3.3223709369024856</c:v>
                </c:pt>
                <c:pt idx="36">
                  <c:v>3.3223709369024856</c:v>
                </c:pt>
                <c:pt idx="37">
                  <c:v>3.3223709369024856</c:v>
                </c:pt>
                <c:pt idx="38">
                  <c:v>3.3223709369024856</c:v>
                </c:pt>
                <c:pt idx="39">
                  <c:v>3.3223709369024856</c:v>
                </c:pt>
                <c:pt idx="40">
                  <c:v>3.2464684580436773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Dropout!$AG$4</c:f>
              <c:strCache>
                <c:ptCount val="1"/>
                <c:pt idx="0">
                  <c:v>0.83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12.000000000000002</c:v>
                </c:pt>
                <c:pt idx="1">
                  <c:v>11.795000000000002</c:v>
                </c:pt>
                <c:pt idx="2">
                  <c:v>11.590000000000002</c:v>
                </c:pt>
                <c:pt idx="3">
                  <c:v>11.385000000000002</c:v>
                </c:pt>
                <c:pt idx="4">
                  <c:v>11.180000000000001</c:v>
                </c:pt>
                <c:pt idx="5">
                  <c:v>10.975000000000001</c:v>
                </c:pt>
                <c:pt idx="6">
                  <c:v>10.770000000000001</c:v>
                </c:pt>
                <c:pt idx="7">
                  <c:v>10.565000000000001</c:v>
                </c:pt>
                <c:pt idx="8">
                  <c:v>10.360000000000001</c:v>
                </c:pt>
                <c:pt idx="9">
                  <c:v>10.155000000000001</c:v>
                </c:pt>
                <c:pt idx="10">
                  <c:v>9.9500000000000011</c:v>
                </c:pt>
                <c:pt idx="11">
                  <c:v>9.745000000000001</c:v>
                </c:pt>
                <c:pt idx="12">
                  <c:v>9.5400000000000009</c:v>
                </c:pt>
                <c:pt idx="13">
                  <c:v>9.3350000000000009</c:v>
                </c:pt>
                <c:pt idx="14">
                  <c:v>9.1300000000000008</c:v>
                </c:pt>
                <c:pt idx="15">
                  <c:v>8.9250000000000007</c:v>
                </c:pt>
                <c:pt idx="16">
                  <c:v>8.7200000000000006</c:v>
                </c:pt>
                <c:pt idx="17">
                  <c:v>8.5150000000000006</c:v>
                </c:pt>
                <c:pt idx="18">
                  <c:v>8.31</c:v>
                </c:pt>
                <c:pt idx="19">
                  <c:v>8.1050000000000004</c:v>
                </c:pt>
                <c:pt idx="20">
                  <c:v>7.9000000000000012</c:v>
                </c:pt>
                <c:pt idx="21">
                  <c:v>7.6950000000000012</c:v>
                </c:pt>
                <c:pt idx="22">
                  <c:v>7.4900000000000011</c:v>
                </c:pt>
                <c:pt idx="23">
                  <c:v>7.285000000000001</c:v>
                </c:pt>
                <c:pt idx="24">
                  <c:v>7.080000000000001</c:v>
                </c:pt>
                <c:pt idx="25">
                  <c:v>6.8750000000000009</c:v>
                </c:pt>
                <c:pt idx="26">
                  <c:v>6.6700000000000008</c:v>
                </c:pt>
                <c:pt idx="27">
                  <c:v>6.4650000000000007</c:v>
                </c:pt>
                <c:pt idx="28">
                  <c:v>6.2600000000000007</c:v>
                </c:pt>
                <c:pt idx="29">
                  <c:v>6.0550000000000006</c:v>
                </c:pt>
                <c:pt idx="30">
                  <c:v>5.8500000000000005</c:v>
                </c:pt>
                <c:pt idx="31">
                  <c:v>5.6450000000000005</c:v>
                </c:pt>
                <c:pt idx="32">
                  <c:v>5.44</c:v>
                </c:pt>
                <c:pt idx="33">
                  <c:v>5.2350000000000003</c:v>
                </c:pt>
                <c:pt idx="34">
                  <c:v>5.03</c:v>
                </c:pt>
                <c:pt idx="35">
                  <c:v>4.8250000000000002</c:v>
                </c:pt>
                <c:pt idx="36">
                  <c:v>4.62</c:v>
                </c:pt>
                <c:pt idx="37">
                  <c:v>4.415</c:v>
                </c:pt>
                <c:pt idx="38">
                  <c:v>4.21</c:v>
                </c:pt>
                <c:pt idx="39">
                  <c:v>4.0049999999999999</c:v>
                </c:pt>
                <c:pt idx="40">
                  <c:v>3.8</c:v>
                </c:pt>
              </c:numCache>
            </c:numRef>
          </c:xVal>
          <c:yVal>
            <c:numRef>
              <c:f>Dropout!$AU$4:$AU$44</c:f>
              <c:numCache>
                <c:formatCode>0.000</c:formatCode>
                <c:ptCount val="41"/>
                <c:pt idx="0">
                  <c:v>3.3223709369024856</c:v>
                </c:pt>
                <c:pt idx="1">
                  <c:v>3.3223709369024856</c:v>
                </c:pt>
                <c:pt idx="2">
                  <c:v>3.3223709369024856</c:v>
                </c:pt>
                <c:pt idx="3">
                  <c:v>3.3223709369024856</c:v>
                </c:pt>
                <c:pt idx="4">
                  <c:v>3.3223709369024856</c:v>
                </c:pt>
                <c:pt idx="5">
                  <c:v>3.3223709369024856</c:v>
                </c:pt>
                <c:pt idx="6">
                  <c:v>3.3223709369024856</c:v>
                </c:pt>
                <c:pt idx="7">
                  <c:v>3.3223709369024856</c:v>
                </c:pt>
                <c:pt idx="8">
                  <c:v>3.3223709369024856</c:v>
                </c:pt>
                <c:pt idx="9">
                  <c:v>3.3223709369024856</c:v>
                </c:pt>
                <c:pt idx="10">
                  <c:v>3.3223709369024856</c:v>
                </c:pt>
                <c:pt idx="11">
                  <c:v>3.3223709369024856</c:v>
                </c:pt>
                <c:pt idx="12">
                  <c:v>3.3223709369024856</c:v>
                </c:pt>
                <c:pt idx="13">
                  <c:v>3.3223709369024856</c:v>
                </c:pt>
                <c:pt idx="14">
                  <c:v>3.3223709369024856</c:v>
                </c:pt>
                <c:pt idx="15">
                  <c:v>3.3223709369024856</c:v>
                </c:pt>
                <c:pt idx="16">
                  <c:v>3.3223709369024856</c:v>
                </c:pt>
                <c:pt idx="17">
                  <c:v>3.3223709369024856</c:v>
                </c:pt>
                <c:pt idx="18">
                  <c:v>3.3223709369024856</c:v>
                </c:pt>
                <c:pt idx="19">
                  <c:v>3.3223709369024856</c:v>
                </c:pt>
                <c:pt idx="20">
                  <c:v>3.3223709369024856</c:v>
                </c:pt>
                <c:pt idx="21">
                  <c:v>3.3223709369024856</c:v>
                </c:pt>
                <c:pt idx="22">
                  <c:v>3.3223709369024856</c:v>
                </c:pt>
                <c:pt idx="23">
                  <c:v>3.3223709369024856</c:v>
                </c:pt>
                <c:pt idx="24">
                  <c:v>3.3223709369024856</c:v>
                </c:pt>
                <c:pt idx="25">
                  <c:v>3.3223709369024856</c:v>
                </c:pt>
                <c:pt idx="26">
                  <c:v>3.3223709369024856</c:v>
                </c:pt>
                <c:pt idx="27">
                  <c:v>3.3223709369024856</c:v>
                </c:pt>
                <c:pt idx="28">
                  <c:v>3.3223709369024856</c:v>
                </c:pt>
                <c:pt idx="29">
                  <c:v>3.3223709369024856</c:v>
                </c:pt>
                <c:pt idx="30">
                  <c:v>3.3223709369024856</c:v>
                </c:pt>
                <c:pt idx="31">
                  <c:v>3.3223709369024856</c:v>
                </c:pt>
                <c:pt idx="32">
                  <c:v>3.3223709369024856</c:v>
                </c:pt>
                <c:pt idx="33">
                  <c:v>3.3223709369024856</c:v>
                </c:pt>
                <c:pt idx="34">
                  <c:v>3.3223709369024856</c:v>
                </c:pt>
                <c:pt idx="35">
                  <c:v>3.3223709369024856</c:v>
                </c:pt>
                <c:pt idx="36">
                  <c:v>3.3223709369024856</c:v>
                </c:pt>
                <c:pt idx="37">
                  <c:v>3.3223709369024856</c:v>
                </c:pt>
                <c:pt idx="38">
                  <c:v>3.3223709369024856</c:v>
                </c:pt>
                <c:pt idx="39">
                  <c:v>3.3223709369024856</c:v>
                </c:pt>
                <c:pt idx="40">
                  <c:v>3.3223709369024856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Dropout!$H$113:$H$114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Dropout!$I$113:$I$114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352144"/>
        <c:axId val="365352704"/>
      </c:scatterChart>
      <c:valAx>
        <c:axId val="365352144"/>
        <c:scaling>
          <c:orientation val="minMax"/>
          <c:max val="11.8"/>
          <c:min val="3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04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352704"/>
        <c:crosses val="autoZero"/>
        <c:crossBetween val="midCat"/>
        <c:majorUnit val="0.8"/>
        <c:minorUnit val="0.4"/>
      </c:valAx>
      <c:valAx>
        <c:axId val="365352704"/>
        <c:scaling>
          <c:orientation val="minMax"/>
          <c:max val="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1.5705224346956686E-2"/>
              <c:y val="0.307160412479821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35214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942600924884387"/>
          <c:y val="0.111918426514677"/>
          <c:w val="0.1468136795400575"/>
          <c:h val="0.2152496732887468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66" r="0.75000000000000966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Worst Case Vout 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388788901387327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451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Dropout!$C$47</c:f>
              <c:strCache>
                <c:ptCount val="1"/>
                <c:pt idx="0">
                  <c:v>2.50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12.000000000000002</c:v>
                </c:pt>
                <c:pt idx="1">
                  <c:v>11.795000000000002</c:v>
                </c:pt>
                <c:pt idx="2">
                  <c:v>11.590000000000002</c:v>
                </c:pt>
                <c:pt idx="3">
                  <c:v>11.385000000000002</c:v>
                </c:pt>
                <c:pt idx="4">
                  <c:v>11.180000000000001</c:v>
                </c:pt>
                <c:pt idx="5">
                  <c:v>10.975000000000001</c:v>
                </c:pt>
                <c:pt idx="6">
                  <c:v>10.770000000000001</c:v>
                </c:pt>
                <c:pt idx="7">
                  <c:v>10.565000000000001</c:v>
                </c:pt>
                <c:pt idx="8">
                  <c:v>10.360000000000001</c:v>
                </c:pt>
                <c:pt idx="9">
                  <c:v>10.155000000000001</c:v>
                </c:pt>
                <c:pt idx="10">
                  <c:v>9.9500000000000011</c:v>
                </c:pt>
                <c:pt idx="11">
                  <c:v>9.745000000000001</c:v>
                </c:pt>
                <c:pt idx="12">
                  <c:v>9.5400000000000009</c:v>
                </c:pt>
                <c:pt idx="13">
                  <c:v>9.3350000000000009</c:v>
                </c:pt>
                <c:pt idx="14">
                  <c:v>9.1300000000000008</c:v>
                </c:pt>
                <c:pt idx="15">
                  <c:v>8.9250000000000007</c:v>
                </c:pt>
                <c:pt idx="16">
                  <c:v>8.7200000000000006</c:v>
                </c:pt>
                <c:pt idx="17">
                  <c:v>8.5150000000000006</c:v>
                </c:pt>
                <c:pt idx="18">
                  <c:v>8.31</c:v>
                </c:pt>
                <c:pt idx="19">
                  <c:v>8.1050000000000004</c:v>
                </c:pt>
                <c:pt idx="20">
                  <c:v>7.9000000000000012</c:v>
                </c:pt>
                <c:pt idx="21">
                  <c:v>7.6950000000000012</c:v>
                </c:pt>
                <c:pt idx="22">
                  <c:v>7.4900000000000011</c:v>
                </c:pt>
                <c:pt idx="23">
                  <c:v>7.285000000000001</c:v>
                </c:pt>
                <c:pt idx="24">
                  <c:v>7.080000000000001</c:v>
                </c:pt>
                <c:pt idx="25">
                  <c:v>6.8750000000000009</c:v>
                </c:pt>
                <c:pt idx="26">
                  <c:v>6.6700000000000008</c:v>
                </c:pt>
                <c:pt idx="27">
                  <c:v>6.4650000000000007</c:v>
                </c:pt>
                <c:pt idx="28">
                  <c:v>6.2600000000000007</c:v>
                </c:pt>
                <c:pt idx="29">
                  <c:v>6.0550000000000006</c:v>
                </c:pt>
                <c:pt idx="30">
                  <c:v>5.8500000000000005</c:v>
                </c:pt>
                <c:pt idx="31">
                  <c:v>5.6450000000000005</c:v>
                </c:pt>
                <c:pt idx="32">
                  <c:v>5.44</c:v>
                </c:pt>
                <c:pt idx="33">
                  <c:v>5.2350000000000003</c:v>
                </c:pt>
                <c:pt idx="34">
                  <c:v>5.03</c:v>
                </c:pt>
                <c:pt idx="35">
                  <c:v>4.8250000000000002</c:v>
                </c:pt>
                <c:pt idx="36">
                  <c:v>4.62</c:v>
                </c:pt>
                <c:pt idx="37">
                  <c:v>4.415</c:v>
                </c:pt>
                <c:pt idx="38">
                  <c:v>4.21</c:v>
                </c:pt>
                <c:pt idx="39">
                  <c:v>4.0049999999999999</c:v>
                </c:pt>
                <c:pt idx="40">
                  <c:v>3.8</c:v>
                </c:pt>
              </c:numCache>
            </c:numRef>
          </c:xVal>
          <c:yVal>
            <c:numRef>
              <c:f>Dropout!$Q$47:$Q$87</c:f>
              <c:numCache>
                <c:formatCode>0.000</c:formatCode>
                <c:ptCount val="41"/>
                <c:pt idx="0">
                  <c:v>3.3223709369024856</c:v>
                </c:pt>
                <c:pt idx="1">
                  <c:v>3.3223709369024856</c:v>
                </c:pt>
                <c:pt idx="2">
                  <c:v>3.3223709369024856</c:v>
                </c:pt>
                <c:pt idx="3">
                  <c:v>3.3223709369024856</c:v>
                </c:pt>
                <c:pt idx="4">
                  <c:v>3.3223709369024856</c:v>
                </c:pt>
                <c:pt idx="5">
                  <c:v>3.3223709369024856</c:v>
                </c:pt>
                <c:pt idx="6">
                  <c:v>3.3223709369024856</c:v>
                </c:pt>
                <c:pt idx="7">
                  <c:v>3.3223709369024856</c:v>
                </c:pt>
                <c:pt idx="8">
                  <c:v>3.3223709369024856</c:v>
                </c:pt>
                <c:pt idx="9">
                  <c:v>3.3223709369024856</c:v>
                </c:pt>
                <c:pt idx="10">
                  <c:v>3.3223709369024856</c:v>
                </c:pt>
                <c:pt idx="11">
                  <c:v>3.3223709369024856</c:v>
                </c:pt>
                <c:pt idx="12">
                  <c:v>3.3223709369024856</c:v>
                </c:pt>
                <c:pt idx="13">
                  <c:v>3.3223709369024856</c:v>
                </c:pt>
                <c:pt idx="14">
                  <c:v>3.3223709369024856</c:v>
                </c:pt>
                <c:pt idx="15">
                  <c:v>3.3223709369024856</c:v>
                </c:pt>
                <c:pt idx="16">
                  <c:v>3.3223709369024856</c:v>
                </c:pt>
                <c:pt idx="17">
                  <c:v>3.3223709369024856</c:v>
                </c:pt>
                <c:pt idx="18">
                  <c:v>3.3223709369024856</c:v>
                </c:pt>
                <c:pt idx="19">
                  <c:v>3.3223709369024856</c:v>
                </c:pt>
                <c:pt idx="20">
                  <c:v>3.3223709369024856</c:v>
                </c:pt>
                <c:pt idx="21">
                  <c:v>3.3223709369024856</c:v>
                </c:pt>
                <c:pt idx="22">
                  <c:v>3.3223709369024856</c:v>
                </c:pt>
                <c:pt idx="23">
                  <c:v>3.3223709369024856</c:v>
                </c:pt>
                <c:pt idx="24">
                  <c:v>3.3223709369024856</c:v>
                </c:pt>
                <c:pt idx="25">
                  <c:v>3.3223709369024856</c:v>
                </c:pt>
                <c:pt idx="26">
                  <c:v>3.3223709369024856</c:v>
                </c:pt>
                <c:pt idx="27">
                  <c:v>3.3223709369024856</c:v>
                </c:pt>
                <c:pt idx="28">
                  <c:v>3.3223709369024856</c:v>
                </c:pt>
                <c:pt idx="29">
                  <c:v>3.3223709369024856</c:v>
                </c:pt>
                <c:pt idx="30">
                  <c:v>3.3223709369024856</c:v>
                </c:pt>
                <c:pt idx="31">
                  <c:v>3.3223709369024856</c:v>
                </c:pt>
                <c:pt idx="32">
                  <c:v>3.3223709369024856</c:v>
                </c:pt>
                <c:pt idx="33">
                  <c:v>3.3223709369024856</c:v>
                </c:pt>
                <c:pt idx="34">
                  <c:v>3.3223709369024856</c:v>
                </c:pt>
                <c:pt idx="35">
                  <c:v>3.3223709369024856</c:v>
                </c:pt>
                <c:pt idx="36">
                  <c:v>3.3223709369024856</c:v>
                </c:pt>
                <c:pt idx="37">
                  <c:v>3.3223709369024856</c:v>
                </c:pt>
                <c:pt idx="38">
                  <c:v>3.2337502999326406</c:v>
                </c:pt>
                <c:pt idx="39">
                  <c:v>3.0449349137579436</c:v>
                </c:pt>
                <c:pt idx="40">
                  <c:v>2.8575048139857255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Dropout!$R$47</c:f>
              <c:strCache>
                <c:ptCount val="1"/>
                <c:pt idx="0">
                  <c:v>1.67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12.000000000000002</c:v>
                </c:pt>
                <c:pt idx="1">
                  <c:v>11.795000000000002</c:v>
                </c:pt>
                <c:pt idx="2">
                  <c:v>11.590000000000002</c:v>
                </c:pt>
                <c:pt idx="3">
                  <c:v>11.385000000000002</c:v>
                </c:pt>
                <c:pt idx="4">
                  <c:v>11.180000000000001</c:v>
                </c:pt>
                <c:pt idx="5">
                  <c:v>10.975000000000001</c:v>
                </c:pt>
                <c:pt idx="6">
                  <c:v>10.770000000000001</c:v>
                </c:pt>
                <c:pt idx="7">
                  <c:v>10.565000000000001</c:v>
                </c:pt>
                <c:pt idx="8">
                  <c:v>10.360000000000001</c:v>
                </c:pt>
                <c:pt idx="9">
                  <c:v>10.155000000000001</c:v>
                </c:pt>
                <c:pt idx="10">
                  <c:v>9.9500000000000011</c:v>
                </c:pt>
                <c:pt idx="11">
                  <c:v>9.745000000000001</c:v>
                </c:pt>
                <c:pt idx="12">
                  <c:v>9.5400000000000009</c:v>
                </c:pt>
                <c:pt idx="13">
                  <c:v>9.3350000000000009</c:v>
                </c:pt>
                <c:pt idx="14">
                  <c:v>9.1300000000000008</c:v>
                </c:pt>
                <c:pt idx="15">
                  <c:v>8.9250000000000007</c:v>
                </c:pt>
                <c:pt idx="16">
                  <c:v>8.7200000000000006</c:v>
                </c:pt>
                <c:pt idx="17">
                  <c:v>8.5150000000000006</c:v>
                </c:pt>
                <c:pt idx="18">
                  <c:v>8.31</c:v>
                </c:pt>
                <c:pt idx="19">
                  <c:v>8.1050000000000004</c:v>
                </c:pt>
                <c:pt idx="20">
                  <c:v>7.9000000000000012</c:v>
                </c:pt>
                <c:pt idx="21">
                  <c:v>7.6950000000000012</c:v>
                </c:pt>
                <c:pt idx="22">
                  <c:v>7.4900000000000011</c:v>
                </c:pt>
                <c:pt idx="23">
                  <c:v>7.285000000000001</c:v>
                </c:pt>
                <c:pt idx="24">
                  <c:v>7.080000000000001</c:v>
                </c:pt>
                <c:pt idx="25">
                  <c:v>6.8750000000000009</c:v>
                </c:pt>
                <c:pt idx="26">
                  <c:v>6.6700000000000008</c:v>
                </c:pt>
                <c:pt idx="27">
                  <c:v>6.4650000000000007</c:v>
                </c:pt>
                <c:pt idx="28">
                  <c:v>6.2600000000000007</c:v>
                </c:pt>
                <c:pt idx="29">
                  <c:v>6.0550000000000006</c:v>
                </c:pt>
                <c:pt idx="30">
                  <c:v>5.8500000000000005</c:v>
                </c:pt>
                <c:pt idx="31">
                  <c:v>5.6450000000000005</c:v>
                </c:pt>
                <c:pt idx="32">
                  <c:v>5.44</c:v>
                </c:pt>
                <c:pt idx="33">
                  <c:v>5.2350000000000003</c:v>
                </c:pt>
                <c:pt idx="34">
                  <c:v>5.03</c:v>
                </c:pt>
                <c:pt idx="35">
                  <c:v>4.8250000000000002</c:v>
                </c:pt>
                <c:pt idx="36">
                  <c:v>4.62</c:v>
                </c:pt>
                <c:pt idx="37">
                  <c:v>4.415</c:v>
                </c:pt>
                <c:pt idx="38">
                  <c:v>4.21</c:v>
                </c:pt>
                <c:pt idx="39">
                  <c:v>4.0049999999999999</c:v>
                </c:pt>
                <c:pt idx="40">
                  <c:v>3.8</c:v>
                </c:pt>
              </c:numCache>
            </c:numRef>
          </c:xVal>
          <c:yVal>
            <c:numRef>
              <c:f>Dropout!$AF$47:$AF$87</c:f>
              <c:numCache>
                <c:formatCode>0.000</c:formatCode>
                <c:ptCount val="41"/>
                <c:pt idx="0">
                  <c:v>3.3223709369024856</c:v>
                </c:pt>
                <c:pt idx="1">
                  <c:v>3.3223709369024856</c:v>
                </c:pt>
                <c:pt idx="2">
                  <c:v>3.3223709369024856</c:v>
                </c:pt>
                <c:pt idx="3">
                  <c:v>3.3223709369024856</c:v>
                </c:pt>
                <c:pt idx="4">
                  <c:v>3.3223709369024856</c:v>
                </c:pt>
                <c:pt idx="5">
                  <c:v>3.3223709369024856</c:v>
                </c:pt>
                <c:pt idx="6">
                  <c:v>3.3223709369024856</c:v>
                </c:pt>
                <c:pt idx="7">
                  <c:v>3.3223709369024856</c:v>
                </c:pt>
                <c:pt idx="8">
                  <c:v>3.3223709369024856</c:v>
                </c:pt>
                <c:pt idx="9">
                  <c:v>3.3223709369024856</c:v>
                </c:pt>
                <c:pt idx="10">
                  <c:v>3.3223709369024856</c:v>
                </c:pt>
                <c:pt idx="11">
                  <c:v>3.3223709369024856</c:v>
                </c:pt>
                <c:pt idx="12">
                  <c:v>3.3223709369024856</c:v>
                </c:pt>
                <c:pt idx="13">
                  <c:v>3.3223709369024856</c:v>
                </c:pt>
                <c:pt idx="14">
                  <c:v>3.3223709369024856</c:v>
                </c:pt>
                <c:pt idx="15">
                  <c:v>3.3223709369024856</c:v>
                </c:pt>
                <c:pt idx="16">
                  <c:v>3.3223709369024856</c:v>
                </c:pt>
                <c:pt idx="17">
                  <c:v>3.3223709369024856</c:v>
                </c:pt>
                <c:pt idx="18">
                  <c:v>3.3223709369024856</c:v>
                </c:pt>
                <c:pt idx="19">
                  <c:v>3.3223709369024856</c:v>
                </c:pt>
                <c:pt idx="20">
                  <c:v>3.3223709369024856</c:v>
                </c:pt>
                <c:pt idx="21">
                  <c:v>3.3223709369024856</c:v>
                </c:pt>
                <c:pt idx="22">
                  <c:v>3.3223709369024856</c:v>
                </c:pt>
                <c:pt idx="23">
                  <c:v>3.3223709369024856</c:v>
                </c:pt>
                <c:pt idx="24">
                  <c:v>3.3223709369024856</c:v>
                </c:pt>
                <c:pt idx="25">
                  <c:v>3.3223709369024856</c:v>
                </c:pt>
                <c:pt idx="26">
                  <c:v>3.3223709369024856</c:v>
                </c:pt>
                <c:pt idx="27">
                  <c:v>3.3223709369024856</c:v>
                </c:pt>
                <c:pt idx="28">
                  <c:v>3.3223709369024856</c:v>
                </c:pt>
                <c:pt idx="29">
                  <c:v>3.3223709369024856</c:v>
                </c:pt>
                <c:pt idx="30">
                  <c:v>3.3223709369024856</c:v>
                </c:pt>
                <c:pt idx="31">
                  <c:v>3.3223709369024856</c:v>
                </c:pt>
                <c:pt idx="32">
                  <c:v>3.3223709369024856</c:v>
                </c:pt>
                <c:pt idx="33">
                  <c:v>3.3223709369024856</c:v>
                </c:pt>
                <c:pt idx="34">
                  <c:v>3.3223709369024856</c:v>
                </c:pt>
                <c:pt idx="35">
                  <c:v>3.3223709369024856</c:v>
                </c:pt>
                <c:pt idx="36">
                  <c:v>3.3223709369024856</c:v>
                </c:pt>
                <c:pt idx="37">
                  <c:v>3.3223709369024856</c:v>
                </c:pt>
                <c:pt idx="38">
                  <c:v>3.3223709369024856</c:v>
                </c:pt>
                <c:pt idx="39">
                  <c:v>3.2693962906509659</c:v>
                </c:pt>
                <c:pt idx="40">
                  <c:v>3.0812612323219701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Dropout!$AG$47</c:f>
              <c:strCache>
                <c:ptCount val="1"/>
                <c:pt idx="0">
                  <c:v>0.83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12.000000000000002</c:v>
                </c:pt>
                <c:pt idx="1">
                  <c:v>11.795000000000002</c:v>
                </c:pt>
                <c:pt idx="2">
                  <c:v>11.590000000000002</c:v>
                </c:pt>
                <c:pt idx="3">
                  <c:v>11.385000000000002</c:v>
                </c:pt>
                <c:pt idx="4">
                  <c:v>11.180000000000001</c:v>
                </c:pt>
                <c:pt idx="5">
                  <c:v>10.975000000000001</c:v>
                </c:pt>
                <c:pt idx="6">
                  <c:v>10.770000000000001</c:v>
                </c:pt>
                <c:pt idx="7">
                  <c:v>10.565000000000001</c:v>
                </c:pt>
                <c:pt idx="8">
                  <c:v>10.360000000000001</c:v>
                </c:pt>
                <c:pt idx="9">
                  <c:v>10.155000000000001</c:v>
                </c:pt>
                <c:pt idx="10">
                  <c:v>9.9500000000000011</c:v>
                </c:pt>
                <c:pt idx="11">
                  <c:v>9.745000000000001</c:v>
                </c:pt>
                <c:pt idx="12">
                  <c:v>9.5400000000000009</c:v>
                </c:pt>
                <c:pt idx="13">
                  <c:v>9.3350000000000009</c:v>
                </c:pt>
                <c:pt idx="14">
                  <c:v>9.1300000000000008</c:v>
                </c:pt>
                <c:pt idx="15">
                  <c:v>8.9250000000000007</c:v>
                </c:pt>
                <c:pt idx="16">
                  <c:v>8.7200000000000006</c:v>
                </c:pt>
                <c:pt idx="17">
                  <c:v>8.5150000000000006</c:v>
                </c:pt>
                <c:pt idx="18">
                  <c:v>8.31</c:v>
                </c:pt>
                <c:pt idx="19">
                  <c:v>8.1050000000000004</c:v>
                </c:pt>
                <c:pt idx="20">
                  <c:v>7.9000000000000012</c:v>
                </c:pt>
                <c:pt idx="21">
                  <c:v>7.6950000000000012</c:v>
                </c:pt>
                <c:pt idx="22">
                  <c:v>7.4900000000000011</c:v>
                </c:pt>
                <c:pt idx="23">
                  <c:v>7.285000000000001</c:v>
                </c:pt>
                <c:pt idx="24">
                  <c:v>7.080000000000001</c:v>
                </c:pt>
                <c:pt idx="25">
                  <c:v>6.8750000000000009</c:v>
                </c:pt>
                <c:pt idx="26">
                  <c:v>6.6700000000000008</c:v>
                </c:pt>
                <c:pt idx="27">
                  <c:v>6.4650000000000007</c:v>
                </c:pt>
                <c:pt idx="28">
                  <c:v>6.2600000000000007</c:v>
                </c:pt>
                <c:pt idx="29">
                  <c:v>6.0550000000000006</c:v>
                </c:pt>
                <c:pt idx="30">
                  <c:v>5.8500000000000005</c:v>
                </c:pt>
                <c:pt idx="31">
                  <c:v>5.6450000000000005</c:v>
                </c:pt>
                <c:pt idx="32">
                  <c:v>5.44</c:v>
                </c:pt>
                <c:pt idx="33">
                  <c:v>5.2350000000000003</c:v>
                </c:pt>
                <c:pt idx="34">
                  <c:v>5.03</c:v>
                </c:pt>
                <c:pt idx="35">
                  <c:v>4.8250000000000002</c:v>
                </c:pt>
                <c:pt idx="36">
                  <c:v>4.62</c:v>
                </c:pt>
                <c:pt idx="37">
                  <c:v>4.415</c:v>
                </c:pt>
                <c:pt idx="38">
                  <c:v>4.21</c:v>
                </c:pt>
                <c:pt idx="39">
                  <c:v>4.0049999999999999</c:v>
                </c:pt>
                <c:pt idx="40">
                  <c:v>3.8</c:v>
                </c:pt>
              </c:numCache>
            </c:numRef>
          </c:xVal>
          <c:yVal>
            <c:numRef>
              <c:f>Dropout!$AU$47:$AU$87</c:f>
              <c:numCache>
                <c:formatCode>0.000</c:formatCode>
                <c:ptCount val="41"/>
                <c:pt idx="0">
                  <c:v>3.3223709369024856</c:v>
                </c:pt>
                <c:pt idx="1">
                  <c:v>3.3223709369024856</c:v>
                </c:pt>
                <c:pt idx="2">
                  <c:v>3.3223709369024856</c:v>
                </c:pt>
                <c:pt idx="3">
                  <c:v>3.3223709369024856</c:v>
                </c:pt>
                <c:pt idx="4">
                  <c:v>3.3223709369024856</c:v>
                </c:pt>
                <c:pt idx="5">
                  <c:v>3.3223709369024856</c:v>
                </c:pt>
                <c:pt idx="6">
                  <c:v>3.3223709369024856</c:v>
                </c:pt>
                <c:pt idx="7">
                  <c:v>3.3223709369024856</c:v>
                </c:pt>
                <c:pt idx="8">
                  <c:v>3.3223709369024856</c:v>
                </c:pt>
                <c:pt idx="9">
                  <c:v>3.3223709369024856</c:v>
                </c:pt>
                <c:pt idx="10">
                  <c:v>3.3223709369024856</c:v>
                </c:pt>
                <c:pt idx="11">
                  <c:v>3.3223709369024856</c:v>
                </c:pt>
                <c:pt idx="12">
                  <c:v>3.3223709369024856</c:v>
                </c:pt>
                <c:pt idx="13">
                  <c:v>3.3223709369024856</c:v>
                </c:pt>
                <c:pt idx="14">
                  <c:v>3.3223709369024856</c:v>
                </c:pt>
                <c:pt idx="15">
                  <c:v>3.3223709369024856</c:v>
                </c:pt>
                <c:pt idx="16">
                  <c:v>3.3223709369024856</c:v>
                </c:pt>
                <c:pt idx="17">
                  <c:v>3.3223709369024856</c:v>
                </c:pt>
                <c:pt idx="18">
                  <c:v>3.3223709369024856</c:v>
                </c:pt>
                <c:pt idx="19">
                  <c:v>3.3223709369024856</c:v>
                </c:pt>
                <c:pt idx="20">
                  <c:v>3.3223709369024856</c:v>
                </c:pt>
                <c:pt idx="21">
                  <c:v>3.3223709369024856</c:v>
                </c:pt>
                <c:pt idx="22">
                  <c:v>3.3223709369024856</c:v>
                </c:pt>
                <c:pt idx="23">
                  <c:v>3.3223709369024856</c:v>
                </c:pt>
                <c:pt idx="24">
                  <c:v>3.3223709369024856</c:v>
                </c:pt>
                <c:pt idx="25">
                  <c:v>3.3223709369024856</c:v>
                </c:pt>
                <c:pt idx="26">
                  <c:v>3.3223709369024856</c:v>
                </c:pt>
                <c:pt idx="27">
                  <c:v>3.3223709369024856</c:v>
                </c:pt>
                <c:pt idx="28">
                  <c:v>3.3223709369024856</c:v>
                </c:pt>
                <c:pt idx="29">
                  <c:v>3.3223709369024856</c:v>
                </c:pt>
                <c:pt idx="30">
                  <c:v>3.3223709369024856</c:v>
                </c:pt>
                <c:pt idx="31">
                  <c:v>3.3223709369024856</c:v>
                </c:pt>
                <c:pt idx="32">
                  <c:v>3.3223709369024856</c:v>
                </c:pt>
                <c:pt idx="33">
                  <c:v>3.3223709369024856</c:v>
                </c:pt>
                <c:pt idx="34">
                  <c:v>3.3223709369024856</c:v>
                </c:pt>
                <c:pt idx="35">
                  <c:v>3.3223709369024856</c:v>
                </c:pt>
                <c:pt idx="36">
                  <c:v>3.3223709369024856</c:v>
                </c:pt>
                <c:pt idx="37">
                  <c:v>3.3223709369024856</c:v>
                </c:pt>
                <c:pt idx="38">
                  <c:v>3.3223709369024856</c:v>
                </c:pt>
                <c:pt idx="39">
                  <c:v>3.3223709369024856</c:v>
                </c:pt>
                <c:pt idx="40">
                  <c:v>3.2755248661368159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Dropout!$H$113:$H$114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Dropout!$I$113:$I$114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373760"/>
        <c:axId val="365374320"/>
      </c:scatterChart>
      <c:valAx>
        <c:axId val="365373760"/>
        <c:scaling>
          <c:orientation val="minMax"/>
          <c:max val="11.8"/>
          <c:min val="3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07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374320"/>
        <c:crosses val="autoZero"/>
        <c:crossBetween val="midCat"/>
        <c:majorUnit val="0.8"/>
        <c:minorUnit val="0.4"/>
      </c:valAx>
      <c:valAx>
        <c:axId val="365374320"/>
        <c:scaling>
          <c:orientation val="minMax"/>
          <c:max val="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1.5705224346956693E-2"/>
              <c:y val="0.307160412479821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37376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7752124734408534"/>
          <c:y val="0.12028662735149764"/>
          <c:w val="0.15673431446069308"/>
          <c:h val="0.19572387133616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88" r="0.7500000000000098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DC Bias</a:t>
            </a:r>
            <a:r>
              <a:rPr lang="en-US" sz="1600" baseline="0"/>
              <a:t> Effect on 22uF/16V/X7R/1210</a:t>
            </a:r>
            <a:endParaRPr lang="en-US" sz="1600"/>
          </a:p>
        </c:rich>
      </c:tx>
      <c:layout>
        <c:manualLayout>
          <c:xMode val="edge"/>
          <c:yMode val="edge"/>
          <c:x val="0.14362228054826517"/>
          <c:y val="2.17983651226158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11863517060374"/>
          <c:y val="0.12319251646677708"/>
          <c:w val="0.82715987168270766"/>
          <c:h val="0.72752930406860061"/>
        </c:manualLayout>
      </c:layout>
      <c:scatterChart>
        <c:scatterStyle val="lineMarker"/>
        <c:varyColors val="0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poly"/>
            <c:order val="3"/>
            <c:dispRSqr val="0"/>
            <c:dispEq val="1"/>
            <c:trendlineLbl>
              <c:layout>
                <c:manualLayout>
                  <c:x val="-0.16527850685331"/>
                  <c:y val="4.7561343660380284E-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Constants!$B$44:$B$48</c:f>
              <c:numCache>
                <c:formatCode>0.0</c:formatCode>
                <c:ptCount val="5"/>
                <c:pt idx="0">
                  <c:v>0.8</c:v>
                </c:pt>
                <c:pt idx="1">
                  <c:v>2</c:v>
                </c:pt>
                <c:pt idx="2">
                  <c:v>3.3</c:v>
                </c:pt>
                <c:pt idx="3">
                  <c:v>5</c:v>
                </c:pt>
                <c:pt idx="4">
                  <c:v>8</c:v>
                </c:pt>
              </c:numCache>
            </c:numRef>
          </c:xVal>
          <c:yVal>
            <c:numRef>
              <c:f>Constants!$C$44:$C$48</c:f>
              <c:numCache>
                <c:formatCode>0.00</c:formatCode>
                <c:ptCount val="5"/>
                <c:pt idx="0">
                  <c:v>22</c:v>
                </c:pt>
                <c:pt idx="1">
                  <c:v>21.8</c:v>
                </c:pt>
                <c:pt idx="2">
                  <c:v>21.2</c:v>
                </c:pt>
                <c:pt idx="3">
                  <c:v>19.899999999999999</c:v>
                </c:pt>
                <c:pt idx="4">
                  <c:v>16.899999999999999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347216"/>
        <c:axId val="365347776"/>
      </c:scatterChart>
      <c:valAx>
        <c:axId val="365347216"/>
        <c:scaling>
          <c:orientation val="minMax"/>
          <c:max val="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DC Bias (V)</a:t>
                </a:r>
              </a:p>
            </c:rich>
          </c:tx>
          <c:layout>
            <c:manualLayout>
              <c:xMode val="edge"/>
              <c:yMode val="edge"/>
              <c:x val="0.44261184018664335"/>
              <c:y val="0.917452566385604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65347776"/>
        <c:crosses val="autoZero"/>
        <c:crossBetween val="midCat"/>
        <c:majorUnit val="1"/>
        <c:minorUnit val="1"/>
      </c:valAx>
      <c:valAx>
        <c:axId val="365347776"/>
        <c:scaling>
          <c:orientation val="minMax"/>
          <c:max val="22"/>
          <c:min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Capacitance</a:t>
                </a:r>
              </a:p>
            </c:rich>
          </c:tx>
          <c:layout>
            <c:manualLayout>
              <c:xMode val="edge"/>
              <c:yMode val="edge"/>
              <c:x val="1.1942840478273547E-2"/>
              <c:y val="0.3641299605941636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365347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05144356955573"/>
          <c:y val="0.14972044025831921"/>
          <c:w val="0.2491294117647059"/>
          <c:h val="0.1240132066287117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428623</xdr:colOff>
      <xdr:row>70</xdr:row>
      <xdr:rowOff>57150</xdr:rowOff>
    </xdr:from>
    <xdr:to>
      <xdr:col>8</xdr:col>
      <xdr:colOff>76200</xdr:colOff>
      <xdr:row>87</xdr:row>
      <xdr:rowOff>136521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3" y="15106650"/>
          <a:ext cx="6886577" cy="3317871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9</xdr:col>
      <xdr:colOff>19051</xdr:colOff>
      <xdr:row>9</xdr:row>
      <xdr:rowOff>38100</xdr:rowOff>
    </xdr:from>
    <xdr:to>
      <xdr:col>14</xdr:col>
      <xdr:colOff>590551</xdr:colOff>
      <xdr:row>21</xdr:row>
      <xdr:rowOff>200945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67651" y="2152650"/>
          <a:ext cx="3657600" cy="296319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</xdr:row>
      <xdr:rowOff>171450</xdr:rowOff>
    </xdr:from>
    <xdr:to>
      <xdr:col>5</xdr:col>
      <xdr:colOff>473075</xdr:colOff>
      <xdr:row>31</xdr:row>
      <xdr:rowOff>95250</xdr:rowOff>
    </xdr:to>
    <xdr:pic>
      <xdr:nvPicPr>
        <xdr:cNvPr id="1025" name="Picture 0" descr="A8600SAA19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3857625"/>
          <a:ext cx="34544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2</xdr:row>
      <xdr:rowOff>228601</xdr:rowOff>
    </xdr:from>
    <xdr:to>
      <xdr:col>15</xdr:col>
      <xdr:colOff>28575</xdr:colOff>
      <xdr:row>15</xdr:row>
      <xdr:rowOff>6645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77175" y="809626"/>
          <a:ext cx="3657600" cy="294986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76200</xdr:rowOff>
    </xdr:from>
    <xdr:to>
      <xdr:col>14</xdr:col>
      <xdr:colOff>219075</xdr:colOff>
      <xdr:row>48</xdr:row>
      <xdr:rowOff>57150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48</xdr:row>
      <xdr:rowOff>133350</xdr:rowOff>
    </xdr:from>
    <xdr:to>
      <xdr:col>14</xdr:col>
      <xdr:colOff>219075</xdr:colOff>
      <xdr:row>72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24</xdr:row>
      <xdr:rowOff>80963</xdr:rowOff>
    </xdr:from>
    <xdr:to>
      <xdr:col>28</xdr:col>
      <xdr:colOff>419100</xdr:colOff>
      <xdr:row>48</xdr:row>
      <xdr:rowOff>61913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285750</xdr:colOff>
      <xdr:row>48</xdr:row>
      <xdr:rowOff>142875</xdr:rowOff>
    </xdr:from>
    <xdr:to>
      <xdr:col>28</xdr:col>
      <xdr:colOff>419100</xdr:colOff>
      <xdr:row>72</xdr:row>
      <xdr:rowOff>123825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38100</xdr:colOff>
      <xdr:row>24</xdr:row>
      <xdr:rowOff>85725</xdr:rowOff>
    </xdr:from>
    <xdr:to>
      <xdr:col>43</xdr:col>
      <xdr:colOff>171450</xdr:colOff>
      <xdr:row>48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38100</xdr:colOff>
      <xdr:row>48</xdr:row>
      <xdr:rowOff>152400</xdr:rowOff>
    </xdr:from>
    <xdr:to>
      <xdr:col>43</xdr:col>
      <xdr:colOff>171450</xdr:colOff>
      <xdr:row>72</xdr:row>
      <xdr:rowOff>133350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87</xdr:row>
      <xdr:rowOff>66675</xdr:rowOff>
    </xdr:from>
    <xdr:to>
      <xdr:col>14</xdr:col>
      <xdr:colOff>247649</xdr:colOff>
      <xdr:row>111</xdr:row>
      <xdr:rowOff>47625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87</xdr:row>
      <xdr:rowOff>66675</xdr:rowOff>
    </xdr:from>
    <xdr:to>
      <xdr:col>29</xdr:col>
      <xdr:colOff>19050</xdr:colOff>
      <xdr:row>111</xdr:row>
      <xdr:rowOff>47625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0</xdr:row>
      <xdr:rowOff>95250</xdr:rowOff>
    </xdr:from>
    <xdr:to>
      <xdr:col>14</xdr:col>
      <xdr:colOff>247650</xdr:colOff>
      <xdr:row>12</xdr:row>
      <xdr:rowOff>19050</xdr:rowOff>
    </xdr:to>
    <xdr:pic>
      <xdr:nvPicPr>
        <xdr:cNvPr id="15" name="Picture 14" descr="A8600A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91350" y="95250"/>
          <a:ext cx="3200400" cy="2400300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285750</xdr:colOff>
      <xdr:row>0</xdr:row>
      <xdr:rowOff>95250</xdr:rowOff>
    </xdr:from>
    <xdr:to>
      <xdr:col>19</xdr:col>
      <xdr:colOff>438150</xdr:colOff>
      <xdr:row>12</xdr:row>
      <xdr:rowOff>19050</xdr:rowOff>
    </xdr:to>
    <xdr:pic>
      <xdr:nvPicPr>
        <xdr:cNvPr id="16" name="Picture 15" descr="A8600AC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29850" y="95250"/>
          <a:ext cx="3200400" cy="24003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12</xdr:row>
      <xdr:rowOff>95251</xdr:rowOff>
    </xdr:from>
    <xdr:to>
      <xdr:col>14</xdr:col>
      <xdr:colOff>247650</xdr:colOff>
      <xdr:row>23</xdr:row>
      <xdr:rowOff>73724</xdr:rowOff>
    </xdr:to>
    <xdr:pic>
      <xdr:nvPicPr>
        <xdr:cNvPr id="17" name="Picture 16" descr="8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91350" y="2571751"/>
          <a:ext cx="3200400" cy="2188273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285750</xdr:colOff>
      <xdr:row>12</xdr:row>
      <xdr:rowOff>95251</xdr:rowOff>
    </xdr:from>
    <xdr:to>
      <xdr:col>19</xdr:col>
      <xdr:colOff>438150</xdr:colOff>
      <xdr:row>23</xdr:row>
      <xdr:rowOff>73724</xdr:rowOff>
    </xdr:to>
    <xdr:pic>
      <xdr:nvPicPr>
        <xdr:cNvPr id="18" name="Picture 17" descr="82_1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229850" y="2571751"/>
          <a:ext cx="3200400" cy="2188273"/>
        </a:xfrm>
        <a:prstGeom prst="rect">
          <a:avLst/>
        </a:prstGeom>
      </xdr:spPr>
    </xdr:pic>
    <xdr:clientData/>
  </xdr:twoCellAnchor>
  <xdr:twoCellAnchor>
    <xdr:from>
      <xdr:col>9</xdr:col>
      <xdr:colOff>114300</xdr:colOff>
      <xdr:row>41</xdr:row>
      <xdr:rowOff>161925</xdr:rowOff>
    </xdr:from>
    <xdr:to>
      <xdr:col>16</xdr:col>
      <xdr:colOff>133350</xdr:colOff>
      <xdr:row>59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114300</xdr:colOff>
      <xdr:row>24</xdr:row>
      <xdr:rowOff>66675</xdr:rowOff>
    </xdr:from>
    <xdr:to>
      <xdr:col>16</xdr:col>
      <xdr:colOff>142875</xdr:colOff>
      <xdr:row>41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228600</xdr:colOff>
      <xdr:row>0</xdr:row>
      <xdr:rowOff>266701</xdr:rowOff>
    </xdr:from>
    <xdr:to>
      <xdr:col>14</xdr:col>
      <xdr:colOff>180975</xdr:colOff>
      <xdr:row>2</xdr:row>
      <xdr:rowOff>1</xdr:rowOff>
    </xdr:to>
    <xdr:sp macro="" textlink="">
      <xdr:nvSpPr>
        <xdr:cNvPr id="10" name="TextBox 9"/>
        <xdr:cNvSpPr txBox="1"/>
      </xdr:nvSpPr>
      <xdr:spPr>
        <a:xfrm>
          <a:off x="7124700" y="266701"/>
          <a:ext cx="30003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LX Rising</a:t>
          </a:r>
          <a:r>
            <a:rPr lang="en-US" sz="1200" b="1" baseline="0"/>
            <a:t> Slew Rate</a:t>
          </a:r>
          <a:endParaRPr lang="en-US" sz="1200" b="1"/>
        </a:p>
      </xdr:txBody>
    </xdr:sp>
    <xdr:clientData/>
  </xdr:twoCellAnchor>
  <xdr:twoCellAnchor>
    <xdr:from>
      <xdr:col>14</xdr:col>
      <xdr:colOff>438150</xdr:colOff>
      <xdr:row>0</xdr:row>
      <xdr:rowOff>276225</xdr:rowOff>
    </xdr:from>
    <xdr:to>
      <xdr:col>19</xdr:col>
      <xdr:colOff>390525</xdr:colOff>
      <xdr:row>2</xdr:row>
      <xdr:rowOff>9525</xdr:rowOff>
    </xdr:to>
    <xdr:sp macro="" textlink="">
      <xdr:nvSpPr>
        <xdr:cNvPr id="12" name="TextBox 11"/>
        <xdr:cNvSpPr txBox="1"/>
      </xdr:nvSpPr>
      <xdr:spPr>
        <a:xfrm>
          <a:off x="10382250" y="276225"/>
          <a:ext cx="30003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LX Falling</a:t>
          </a:r>
          <a:r>
            <a:rPr lang="en-US" sz="1200" b="1" baseline="0"/>
            <a:t> Slew Rate</a:t>
          </a:r>
          <a:endParaRPr lang="en-US" sz="1200" b="1"/>
        </a:p>
      </xdr:txBody>
    </xdr:sp>
    <xdr:clientData/>
  </xdr:twoCellAnchor>
  <xdr:twoCellAnchor>
    <xdr:from>
      <xdr:col>9</xdr:col>
      <xdr:colOff>390526</xdr:colOff>
      <xdr:row>19</xdr:row>
      <xdr:rowOff>9525</xdr:rowOff>
    </xdr:from>
    <xdr:to>
      <xdr:col>14</xdr:col>
      <xdr:colOff>19050</xdr:colOff>
      <xdr:row>20</xdr:row>
      <xdr:rowOff>85725</xdr:rowOff>
    </xdr:to>
    <xdr:sp macro="" textlink="">
      <xdr:nvSpPr>
        <xdr:cNvPr id="13" name="TextBox 12"/>
        <xdr:cNvSpPr txBox="1"/>
      </xdr:nvSpPr>
      <xdr:spPr>
        <a:xfrm>
          <a:off x="7286626" y="3895725"/>
          <a:ext cx="267652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  <xdr:twoCellAnchor>
    <xdr:from>
      <xdr:col>14</xdr:col>
      <xdr:colOff>571501</xdr:colOff>
      <xdr:row>19</xdr:row>
      <xdr:rowOff>19051</xdr:rowOff>
    </xdr:from>
    <xdr:to>
      <xdr:col>19</xdr:col>
      <xdr:colOff>238125</xdr:colOff>
      <xdr:row>20</xdr:row>
      <xdr:rowOff>95251</xdr:rowOff>
    </xdr:to>
    <xdr:sp macro="" textlink="">
      <xdr:nvSpPr>
        <xdr:cNvPr id="14" name="TextBox 13"/>
        <xdr:cNvSpPr txBox="1"/>
      </xdr:nvSpPr>
      <xdr:spPr>
        <a:xfrm>
          <a:off x="10515601" y="3905251"/>
          <a:ext cx="271462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91"/>
  <sheetViews>
    <sheetView tabSelected="1" workbookViewId="0">
      <selection activeCell="B48" sqref="B48"/>
    </sheetView>
  </sheetViews>
  <sheetFormatPr defaultRowHeight="14.4" x14ac:dyDescent="0.3"/>
  <cols>
    <col min="1" max="1" width="20.6640625" style="4" customWidth="1"/>
    <col min="2" max="4" width="12.6640625" style="6" customWidth="1"/>
    <col min="5" max="5" width="15.6640625" style="5" customWidth="1"/>
    <col min="6" max="6" width="15.6640625" style="6" customWidth="1"/>
    <col min="7" max="8" width="9.109375" style="6"/>
    <col min="9" max="10" width="9.109375" style="6" customWidth="1"/>
    <col min="11" max="11" width="9.109375" style="6"/>
    <col min="12" max="12" width="9.6640625" style="6" bestFit="1" customWidth="1"/>
    <col min="13" max="16" width="9.109375" style="6"/>
  </cols>
  <sheetData>
    <row r="1" spans="1:16" ht="24" customHeight="1" thickBot="1" x14ac:dyDescent="0.35">
      <c r="A1" s="335" t="s">
        <v>316</v>
      </c>
      <c r="B1" s="336"/>
      <c r="C1" s="336"/>
      <c r="D1" s="336"/>
      <c r="E1" s="336"/>
      <c r="F1" s="336"/>
      <c r="G1" s="336"/>
      <c r="H1" s="336"/>
      <c r="I1" s="337"/>
    </row>
    <row r="2" spans="1:16" ht="24" customHeight="1" thickBot="1" x14ac:dyDescent="0.35">
      <c r="A2" s="359" t="s">
        <v>174</v>
      </c>
      <c r="B2" s="360"/>
      <c r="C2" s="360"/>
      <c r="D2" s="360"/>
      <c r="E2" s="360"/>
      <c r="F2" s="360"/>
      <c r="G2" s="360"/>
      <c r="H2" s="360"/>
      <c r="I2" s="361"/>
    </row>
    <row r="3" spans="1:16" s="2" customFormat="1" ht="18" customHeight="1" thickBot="1" x14ac:dyDescent="0.4">
      <c r="A3" s="115" t="s">
        <v>143</v>
      </c>
      <c r="B3" s="62" t="s">
        <v>33</v>
      </c>
      <c r="C3" s="62" t="s">
        <v>34</v>
      </c>
      <c r="D3" s="62" t="s">
        <v>35</v>
      </c>
      <c r="E3" s="63" t="s">
        <v>36</v>
      </c>
      <c r="F3" s="364" t="s">
        <v>38</v>
      </c>
      <c r="G3" s="365"/>
      <c r="H3" s="365"/>
      <c r="I3" s="366"/>
      <c r="J3" s="3"/>
      <c r="K3" s="3"/>
      <c r="L3" s="3"/>
      <c r="M3" s="3"/>
      <c r="N3" s="3"/>
      <c r="O3" s="3"/>
      <c r="P3" s="3"/>
    </row>
    <row r="4" spans="1:16" ht="15" thickBot="1" x14ac:dyDescent="0.35">
      <c r="A4" s="64" t="s">
        <v>117</v>
      </c>
      <c r="B4" s="24">
        <v>8</v>
      </c>
      <c r="C4" s="24">
        <v>12</v>
      </c>
      <c r="D4" s="24">
        <v>16</v>
      </c>
      <c r="E4" s="25" t="s">
        <v>2</v>
      </c>
      <c r="F4" s="367" t="str">
        <f>IF(B4&lt;Constants!D7,"Vin_min is lower than UVLO Stop_max","Steady-state input operating voltages")</f>
        <v>Steady-state input operating voltages</v>
      </c>
      <c r="G4" s="368"/>
      <c r="H4" s="368"/>
      <c r="I4" s="369"/>
    </row>
    <row r="5" spans="1:16" ht="15" thickBot="1" x14ac:dyDescent="0.35">
      <c r="A5" s="65" t="s">
        <v>53</v>
      </c>
      <c r="B5" s="255" t="s">
        <v>24</v>
      </c>
      <c r="C5" s="259">
        <v>3.3</v>
      </c>
      <c r="D5" s="29" t="s">
        <v>24</v>
      </c>
      <c r="E5" s="13" t="s">
        <v>2</v>
      </c>
      <c r="F5" s="370" t="s">
        <v>98</v>
      </c>
      <c r="G5" s="371"/>
      <c r="H5" s="371"/>
      <c r="I5" s="372"/>
    </row>
    <row r="6" spans="1:16" ht="16.2" thickBot="1" x14ac:dyDescent="0.4">
      <c r="A6" s="65" t="s">
        <v>78</v>
      </c>
      <c r="B6" s="256" t="s">
        <v>24</v>
      </c>
      <c r="C6" s="258" t="s">
        <v>24</v>
      </c>
      <c r="D6" s="257">
        <v>2.5</v>
      </c>
      <c r="E6" s="25" t="s">
        <v>71</v>
      </c>
      <c r="F6" s="370" t="s">
        <v>99</v>
      </c>
      <c r="G6" s="371"/>
      <c r="H6" s="371"/>
      <c r="I6" s="372"/>
    </row>
    <row r="7" spans="1:16" ht="16.2" thickBot="1" x14ac:dyDescent="0.35">
      <c r="A7" s="82" t="s">
        <v>48</v>
      </c>
      <c r="B7" s="83" t="s">
        <v>24</v>
      </c>
      <c r="C7" s="84">
        <v>25</v>
      </c>
      <c r="D7" s="85" t="s">
        <v>24</v>
      </c>
      <c r="E7" s="86" t="s">
        <v>79</v>
      </c>
      <c r="F7" s="380" t="s">
        <v>52</v>
      </c>
      <c r="G7" s="378"/>
      <c r="H7" s="378"/>
      <c r="I7" s="379"/>
    </row>
    <row r="8" spans="1:16" ht="15" thickBot="1" x14ac:dyDescent="0.35">
      <c r="A8" s="65" t="s">
        <v>146</v>
      </c>
      <c r="B8" s="14" t="s">
        <v>24</v>
      </c>
      <c r="C8" s="26" t="s">
        <v>24</v>
      </c>
      <c r="D8" s="28">
        <v>1.6</v>
      </c>
      <c r="E8" s="25" t="s">
        <v>26</v>
      </c>
      <c r="F8" s="370" t="s">
        <v>168</v>
      </c>
      <c r="G8" s="371"/>
      <c r="H8" s="371"/>
      <c r="I8" s="372"/>
    </row>
    <row r="9" spans="1:16" ht="15" thickBot="1" x14ac:dyDescent="0.35">
      <c r="A9" s="65" t="s">
        <v>145</v>
      </c>
      <c r="B9" s="31" t="s">
        <v>24</v>
      </c>
      <c r="C9" s="30" t="s">
        <v>24</v>
      </c>
      <c r="D9" s="28">
        <v>1.6</v>
      </c>
      <c r="E9" s="25" t="s">
        <v>26</v>
      </c>
      <c r="F9" s="370" t="s">
        <v>168</v>
      </c>
      <c r="G9" s="371"/>
      <c r="H9" s="371"/>
      <c r="I9" s="372"/>
    </row>
    <row r="10" spans="1:16" ht="15" thickBot="1" x14ac:dyDescent="0.35">
      <c r="A10" s="64" t="s">
        <v>144</v>
      </c>
      <c r="B10" s="28">
        <v>-20</v>
      </c>
      <c r="C10" s="32" t="s">
        <v>24</v>
      </c>
      <c r="D10" s="28">
        <v>20</v>
      </c>
      <c r="E10" s="25" t="s">
        <v>26</v>
      </c>
      <c r="F10" s="370" t="s">
        <v>62</v>
      </c>
      <c r="G10" s="371"/>
      <c r="H10" s="371"/>
      <c r="I10" s="372"/>
    </row>
    <row r="11" spans="1:16" ht="15" thickBot="1" x14ac:dyDescent="0.35">
      <c r="A11" s="66" t="s">
        <v>74</v>
      </c>
      <c r="B11" s="27" t="s">
        <v>24</v>
      </c>
      <c r="C11" s="57">
        <v>0.75</v>
      </c>
      <c r="D11" s="29" t="s">
        <v>24</v>
      </c>
      <c r="E11" s="58" t="s">
        <v>39</v>
      </c>
      <c r="F11" s="341" t="s">
        <v>70</v>
      </c>
      <c r="G11" s="342"/>
      <c r="H11" s="342"/>
      <c r="I11" s="343"/>
    </row>
    <row r="12" spans="1:16" ht="16.2" thickBot="1" x14ac:dyDescent="0.35">
      <c r="A12" s="59" t="s">
        <v>155</v>
      </c>
      <c r="B12" s="60" t="s">
        <v>24</v>
      </c>
      <c r="C12" s="56">
        <v>34</v>
      </c>
      <c r="D12" s="76" t="s">
        <v>24</v>
      </c>
      <c r="E12" s="61" t="s">
        <v>25</v>
      </c>
      <c r="F12" s="353" t="s">
        <v>311</v>
      </c>
      <c r="G12" s="354"/>
      <c r="H12" s="354"/>
      <c r="I12" s="355"/>
    </row>
    <row r="13" spans="1:16" ht="16.2" thickBot="1" x14ac:dyDescent="0.35">
      <c r="A13" s="77" t="s">
        <v>112</v>
      </c>
      <c r="B13" s="78" t="s">
        <v>24</v>
      </c>
      <c r="C13" s="79" t="s">
        <v>24</v>
      </c>
      <c r="D13" s="80">
        <v>85</v>
      </c>
      <c r="E13" s="81" t="s">
        <v>111</v>
      </c>
      <c r="F13" s="344" t="s">
        <v>178</v>
      </c>
      <c r="G13" s="345"/>
      <c r="H13" s="345"/>
      <c r="I13" s="346"/>
    </row>
    <row r="14" spans="1:16" ht="18" customHeight="1" thickBot="1" x14ac:dyDescent="0.35">
      <c r="A14" s="374" t="s">
        <v>266</v>
      </c>
      <c r="B14" s="375"/>
      <c r="C14" s="376"/>
      <c r="D14" s="283" t="s">
        <v>36</v>
      </c>
      <c r="E14" s="375" t="s">
        <v>38</v>
      </c>
      <c r="F14" s="375"/>
      <c r="G14" s="375"/>
      <c r="H14" s="375"/>
      <c r="I14" s="377"/>
    </row>
    <row r="15" spans="1:16" ht="16.2" thickBot="1" x14ac:dyDescent="0.35">
      <c r="A15" s="317" t="s">
        <v>257</v>
      </c>
      <c r="B15" s="278">
        <v>0.2</v>
      </c>
      <c r="C15" s="279">
        <v>0.32</v>
      </c>
      <c r="D15" s="280" t="s">
        <v>254</v>
      </c>
      <c r="E15" s="381" t="s">
        <v>274</v>
      </c>
      <c r="F15" s="382"/>
      <c r="G15" s="382"/>
      <c r="H15" s="382"/>
      <c r="I15" s="383"/>
      <c r="M15" s="310"/>
    </row>
    <row r="16" spans="1:16" ht="15" thickBot="1" x14ac:dyDescent="0.35">
      <c r="A16" s="177" t="s">
        <v>258</v>
      </c>
      <c r="B16" s="278">
        <v>2</v>
      </c>
      <c r="C16" s="279">
        <v>0.46</v>
      </c>
      <c r="D16" s="281" t="s">
        <v>254</v>
      </c>
      <c r="E16" s="380" t="s">
        <v>275</v>
      </c>
      <c r="F16" s="378"/>
      <c r="G16" s="378"/>
      <c r="H16" s="378"/>
      <c r="I16" s="379"/>
    </row>
    <row r="17" spans="1:16" ht="16.2" thickBot="1" x14ac:dyDescent="0.35">
      <c r="A17" s="177" t="s">
        <v>259</v>
      </c>
      <c r="B17" s="278">
        <v>4</v>
      </c>
      <c r="C17" s="279">
        <v>0.51</v>
      </c>
      <c r="D17" s="281" t="s">
        <v>254</v>
      </c>
      <c r="E17" s="380" t="s">
        <v>276</v>
      </c>
      <c r="F17" s="378"/>
      <c r="G17" s="378"/>
      <c r="H17" s="378"/>
      <c r="I17" s="379"/>
      <c r="K17" s="308"/>
      <c r="L17" s="309"/>
      <c r="M17" s="309"/>
      <c r="N17" s="309"/>
      <c r="O17" s="309"/>
      <c r="P17" s="309"/>
    </row>
    <row r="18" spans="1:16" ht="16.2" thickBot="1" x14ac:dyDescent="0.35">
      <c r="A18" s="177" t="s">
        <v>302</v>
      </c>
      <c r="B18" s="362">
        <v>-1</v>
      </c>
      <c r="C18" s="363"/>
      <c r="D18" s="281" t="s">
        <v>255</v>
      </c>
      <c r="E18" s="378" t="s">
        <v>301</v>
      </c>
      <c r="F18" s="378"/>
      <c r="G18" s="378"/>
      <c r="H18" s="378"/>
      <c r="I18" s="379"/>
      <c r="K18" s="323"/>
      <c r="L18" s="309"/>
      <c r="M18" s="309"/>
      <c r="N18" s="309"/>
      <c r="O18" s="309"/>
      <c r="P18" s="309"/>
    </row>
    <row r="19" spans="1:16" ht="16.2" thickBot="1" x14ac:dyDescent="0.35">
      <c r="A19" s="326" t="s">
        <v>303</v>
      </c>
      <c r="B19" s="384">
        <v>57</v>
      </c>
      <c r="C19" s="385"/>
      <c r="D19" s="61" t="s">
        <v>25</v>
      </c>
      <c r="E19" s="322" t="s">
        <v>304</v>
      </c>
      <c r="F19" s="324"/>
      <c r="G19" s="324"/>
      <c r="H19" s="324"/>
      <c r="I19" s="325"/>
    </row>
    <row r="20" spans="1:16" ht="32.1" customHeight="1" thickBot="1" x14ac:dyDescent="0.35">
      <c r="A20" s="356" t="s">
        <v>204</v>
      </c>
      <c r="B20" s="357"/>
      <c r="C20" s="357"/>
      <c r="D20" s="357"/>
      <c r="E20" s="357"/>
      <c r="F20" s="357"/>
      <c r="G20" s="357"/>
      <c r="H20" s="357"/>
      <c r="I20" s="358"/>
    </row>
    <row r="21" spans="1:16" s="2" customFormat="1" ht="18" customHeight="1" x14ac:dyDescent="0.35">
      <c r="A21" s="174" t="s">
        <v>32</v>
      </c>
      <c r="B21" s="307" t="s">
        <v>31</v>
      </c>
      <c r="C21" s="307" t="s">
        <v>36</v>
      </c>
      <c r="D21" s="350" t="s">
        <v>38</v>
      </c>
      <c r="E21" s="351"/>
      <c r="F21" s="351"/>
      <c r="G21" s="351"/>
      <c r="H21" s="351"/>
      <c r="I21" s="352"/>
      <c r="J21" s="3"/>
      <c r="K21" s="3"/>
      <c r="L21" s="3"/>
      <c r="M21" s="3"/>
      <c r="N21" s="3"/>
      <c r="O21" s="3"/>
      <c r="P21" s="3"/>
    </row>
    <row r="22" spans="1:16" s="2" customFormat="1" ht="18" customHeight="1" x14ac:dyDescent="0.35">
      <c r="A22" s="347" t="s">
        <v>285</v>
      </c>
      <c r="B22" s="348"/>
      <c r="C22" s="348"/>
      <c r="D22" s="348"/>
      <c r="E22" s="348"/>
      <c r="F22" s="348"/>
      <c r="G22" s="348"/>
      <c r="H22" s="348"/>
      <c r="I22" s="349"/>
      <c r="J22" s="3"/>
      <c r="K22" s="3"/>
      <c r="L22" s="3"/>
      <c r="M22" s="3"/>
      <c r="N22" s="3"/>
      <c r="O22" s="3"/>
      <c r="P22" s="3"/>
    </row>
    <row r="23" spans="1:16" ht="15" thickBot="1" x14ac:dyDescent="0.35">
      <c r="A23" s="67" t="s">
        <v>54</v>
      </c>
      <c r="B23" s="17">
        <f>Constants!C5*1000*Design!C5/Constants!C3/1000</f>
        <v>16.5</v>
      </c>
      <c r="C23" s="16" t="s">
        <v>69</v>
      </c>
      <c r="D23" s="21" t="s">
        <v>94</v>
      </c>
      <c r="E23" s="16"/>
      <c r="F23" s="18"/>
      <c r="G23" s="18"/>
      <c r="H23" s="18"/>
      <c r="I23" s="68"/>
      <c r="K23" s="311" t="s">
        <v>305</v>
      </c>
    </row>
    <row r="24" spans="1:16" ht="15" thickBot="1" x14ac:dyDescent="0.35">
      <c r="A24" s="126" t="s">
        <v>56</v>
      </c>
      <c r="B24" s="129">
        <v>16.489999999999998</v>
      </c>
      <c r="C24" s="128" t="s">
        <v>205</v>
      </c>
      <c r="D24" s="21" t="s">
        <v>102</v>
      </c>
      <c r="E24" s="16"/>
      <c r="F24" s="18"/>
      <c r="G24" s="18"/>
      <c r="H24" s="18"/>
      <c r="I24" s="68"/>
    </row>
    <row r="25" spans="1:16" ht="15" thickBot="1" x14ac:dyDescent="0.35">
      <c r="A25" s="67" t="s">
        <v>55</v>
      </c>
      <c r="B25" s="17">
        <f>1000/((1/Constants!C5*1000)-(1/Design!B23*1000))</f>
        <v>5.28</v>
      </c>
      <c r="C25" s="16" t="s">
        <v>69</v>
      </c>
      <c r="D25" s="21" t="s">
        <v>95</v>
      </c>
      <c r="E25" s="16"/>
      <c r="F25" s="18"/>
      <c r="G25" s="18"/>
      <c r="H25" s="18"/>
      <c r="I25" s="68"/>
    </row>
    <row r="26" spans="1:16" ht="15" thickBot="1" x14ac:dyDescent="0.35">
      <c r="A26" s="130" t="s">
        <v>57</v>
      </c>
      <c r="B26" s="129">
        <v>5.23</v>
      </c>
      <c r="C26" s="131" t="s">
        <v>205</v>
      </c>
      <c r="D26" s="107" t="s">
        <v>102</v>
      </c>
      <c r="E26" s="72"/>
      <c r="F26" s="74"/>
      <c r="G26" s="74"/>
      <c r="H26" s="74"/>
      <c r="I26" s="75"/>
    </row>
    <row r="27" spans="1:16" ht="15.6" x14ac:dyDescent="0.3">
      <c r="A27" s="338" t="s">
        <v>191</v>
      </c>
      <c r="B27" s="339"/>
      <c r="C27" s="339"/>
      <c r="D27" s="339"/>
      <c r="E27" s="339"/>
      <c r="F27" s="339"/>
      <c r="G27" s="339"/>
      <c r="H27" s="339"/>
      <c r="I27" s="340"/>
    </row>
    <row r="28" spans="1:16" ht="15.6" x14ac:dyDescent="0.3">
      <c r="A28" s="67" t="s">
        <v>166</v>
      </c>
      <c r="B28" s="306">
        <f>Constants!B3*(1+(1-D8/100)*IF(ISBLANK(B24),B23,B24)/((1+D9/100)*IF(ISBLANK(B26),B25,B26)))</f>
        <v>3.2104969211544536</v>
      </c>
      <c r="C28" s="306">
        <f>Constants!C3*(1+IF(ISBLANK(B24),B23,B24)/IF(ISBLANK(B26),B25,B26))</f>
        <v>3.3223709369024856</v>
      </c>
      <c r="D28" s="306">
        <f>Constants!D3*(1+(1+D8/100)*IF(ISBLANK(B24),B23,B24)/((1-D9/100)*IF(ISBLANK(B26),B25,B26)))</f>
        <v>3.4384432526543245</v>
      </c>
      <c r="E28" s="21" t="s">
        <v>165</v>
      </c>
      <c r="F28" s="18"/>
      <c r="G28" s="18"/>
      <c r="H28" s="18"/>
      <c r="I28" s="68"/>
    </row>
    <row r="29" spans="1:16" ht="15" thickBot="1" x14ac:dyDescent="0.35">
      <c r="A29" s="67" t="s">
        <v>264</v>
      </c>
      <c r="B29" s="19">
        <f ca="1">MIN(Efficiency!AR4:AR13,Efficiency!AR15:AR24)</f>
        <v>22.187774942676519</v>
      </c>
      <c r="C29" s="19">
        <f ca="1">AVERAGE(Efficiency!X4:X13,Efficiency!X15:X24)</f>
        <v>30.921169012792138</v>
      </c>
      <c r="D29" s="19">
        <f ca="1">MAX(Efficiency!D4:D13,Efficiency!D15:D24)</f>
        <v>48.710991922513195</v>
      </c>
      <c r="E29" s="21" t="s">
        <v>265</v>
      </c>
      <c r="F29" s="249"/>
      <c r="G29" s="18"/>
      <c r="H29" s="18"/>
      <c r="I29" s="68"/>
    </row>
    <row r="30" spans="1:16" ht="15.75" customHeight="1" x14ac:dyDescent="0.3">
      <c r="A30" s="338" t="s">
        <v>147</v>
      </c>
      <c r="B30" s="339"/>
      <c r="C30" s="339"/>
      <c r="D30" s="339"/>
      <c r="E30" s="339"/>
      <c r="F30" s="339"/>
      <c r="G30" s="339"/>
      <c r="H30" s="339"/>
      <c r="I30" s="340"/>
      <c r="L30" s="5"/>
    </row>
    <row r="31" spans="1:16" ht="15.75" customHeight="1" thickBot="1" x14ac:dyDescent="0.35">
      <c r="A31" s="67" t="s">
        <v>44</v>
      </c>
      <c r="B31" s="122">
        <f ca="1">MIN($B$29/100/Constants!D$16/0.000000001/1000000, Constants!D14)</f>
        <v>0.505</v>
      </c>
      <c r="C31" s="16" t="s">
        <v>17</v>
      </c>
      <c r="D31" s="22" t="s">
        <v>215</v>
      </c>
      <c r="E31" s="16"/>
      <c r="F31" s="18"/>
      <c r="G31" s="18"/>
      <c r="H31" s="18"/>
      <c r="I31" s="68"/>
    </row>
    <row r="32" spans="1:16" ht="15" thickBot="1" x14ac:dyDescent="0.35">
      <c r="A32" s="67" t="s">
        <v>42</v>
      </c>
      <c r="B32" s="121">
        <v>0.42499999999999999</v>
      </c>
      <c r="C32" s="16" t="s">
        <v>17</v>
      </c>
      <c r="D32" s="112" t="s">
        <v>213</v>
      </c>
      <c r="E32" s="173" t="str">
        <f ca="1">IF(D29&gt;B35," See the DROPOUT tab for operation approaching Vin_min "," ")</f>
        <v xml:space="preserve"> </v>
      </c>
      <c r="F32" s="152"/>
      <c r="G32" s="153"/>
      <c r="H32" s="144"/>
      <c r="I32" s="68"/>
      <c r="M32" s="5"/>
      <c r="N32" s="143"/>
    </row>
    <row r="33" spans="1:14" ht="15.6" x14ac:dyDescent="0.35">
      <c r="A33" s="126" t="s">
        <v>206</v>
      </c>
      <c r="B33" s="127">
        <f>(26730/IF(ISBLANK(B32),1000*B31,1000*B32)-1.8)</f>
        <v>61.094117647058823</v>
      </c>
      <c r="C33" s="128" t="s">
        <v>205</v>
      </c>
      <c r="D33" s="22" t="s">
        <v>90</v>
      </c>
      <c r="E33" s="16"/>
      <c r="F33" s="18"/>
      <c r="G33" s="18"/>
      <c r="H33" s="18"/>
      <c r="I33" s="68"/>
      <c r="L33" s="5"/>
    </row>
    <row r="34" spans="1:14" ht="15.6" x14ac:dyDescent="0.35">
      <c r="A34" s="67" t="s">
        <v>263</v>
      </c>
      <c r="B34" s="139">
        <f>100*IF(ISBLANK(B32),B31,B32)*1000000*Constants!C16/1000000000</f>
        <v>4.25</v>
      </c>
      <c r="C34" s="139">
        <f>100*IF(ISBLANK(B32),B31,B32)*1000000*Constants!D16/1000000000</f>
        <v>5.95</v>
      </c>
      <c r="D34" s="21" t="s">
        <v>306</v>
      </c>
      <c r="E34" s="251"/>
      <c r="F34" s="18"/>
      <c r="G34" s="18"/>
      <c r="H34" s="18"/>
      <c r="I34" s="68"/>
      <c r="K34" s="142"/>
      <c r="L34" s="5"/>
      <c r="M34" s="5"/>
      <c r="N34" s="143"/>
    </row>
    <row r="35" spans="1:14" ht="15.6" x14ac:dyDescent="0.35">
      <c r="A35" s="67" t="s">
        <v>262</v>
      </c>
      <c r="B35" s="252">
        <f>100*(1-IF(ISBLANK(B32),B31,B32)*1000000*Constants!D17/1000000000)</f>
        <v>91.5</v>
      </c>
      <c r="C35" s="253">
        <f>100*(1-IF(ISBLANK(B32),B31,B32)*1000000*Constants!C17/1000000000)</f>
        <v>95.75</v>
      </c>
      <c r="D35" s="21" t="s">
        <v>307</v>
      </c>
      <c r="E35" s="251"/>
      <c r="F35" s="250"/>
      <c r="G35" s="250"/>
      <c r="H35" s="250"/>
      <c r="I35" s="68"/>
      <c r="K35" s="142"/>
      <c r="L35" s="5"/>
      <c r="M35" s="5"/>
      <c r="N35" s="143"/>
    </row>
    <row r="36" spans="1:14" ht="16.2" thickBot="1" x14ac:dyDescent="0.4">
      <c r="A36" s="70" t="s">
        <v>217</v>
      </c>
      <c r="B36" s="122">
        <f ca="1">MIN(1.5*B31, 1.5*IF(ISBLANK(B32),B31,B32), C29/100/(Constants!C16/1000000000)/1000000)</f>
        <v>0.63749999999999996</v>
      </c>
      <c r="C36" s="72" t="s">
        <v>17</v>
      </c>
      <c r="D36" s="107" t="s">
        <v>283</v>
      </c>
      <c r="E36" s="72"/>
      <c r="F36" s="74"/>
      <c r="G36" s="74"/>
      <c r="H36" s="74"/>
      <c r="I36" s="75"/>
    </row>
    <row r="37" spans="1:14" ht="15.75" customHeight="1" x14ac:dyDescent="0.3">
      <c r="A37" s="338" t="s">
        <v>153</v>
      </c>
      <c r="B37" s="339"/>
      <c r="C37" s="339"/>
      <c r="D37" s="339"/>
      <c r="E37" s="339"/>
      <c r="F37" s="339"/>
      <c r="G37" s="339"/>
      <c r="H37" s="339"/>
      <c r="I37" s="340"/>
      <c r="K37" s="142"/>
      <c r="L37" s="5"/>
      <c r="M37" s="5"/>
      <c r="N37" s="143"/>
    </row>
    <row r="38" spans="1:14" ht="15" thickBot="1" x14ac:dyDescent="0.35">
      <c r="A38" s="67" t="s">
        <v>186</v>
      </c>
      <c r="B38" s="17">
        <f ca="1">MAX(1000000*(1+Constants!D4/100)*C5/((1+Constants!B15/100)*IF(ISBLANK(B32),B31,B32)*1000000)*(1-(1+Constants!D4/100)*C5/C4),1000000*1.33*(((1+Constants!D4/100)*C5+MAX(Efficiency!C4:C13))/((1+Constants!B15/100)*IF(ISBLANK(B32),B31,B32)*1000000)*(1-0.18/D29/100)))/(1+B10/100)</f>
        <v>16.397828154814331</v>
      </c>
      <c r="C38" s="16" t="s">
        <v>75</v>
      </c>
      <c r="D38" s="22" t="s">
        <v>187</v>
      </c>
      <c r="E38" s="16"/>
      <c r="F38" s="18"/>
      <c r="G38" s="18"/>
      <c r="H38" s="18"/>
      <c r="I38" s="69"/>
      <c r="J38" s="9"/>
      <c r="L38" s="5"/>
    </row>
    <row r="39" spans="1:14" ht="15" thickBot="1" x14ac:dyDescent="0.35">
      <c r="A39" s="126" t="s">
        <v>43</v>
      </c>
      <c r="B39" s="129">
        <v>22</v>
      </c>
      <c r="C39" s="128" t="s">
        <v>207</v>
      </c>
      <c r="D39" s="22" t="s">
        <v>193</v>
      </c>
      <c r="E39" s="16"/>
      <c r="F39" s="18"/>
      <c r="G39" s="18"/>
      <c r="H39" s="18"/>
      <c r="I39" s="68"/>
    </row>
    <row r="40" spans="1:14" ht="16.2" thickBot="1" x14ac:dyDescent="0.4">
      <c r="A40" s="145" t="s">
        <v>219</v>
      </c>
      <c r="B40" s="151">
        <v>50</v>
      </c>
      <c r="C40" s="146" t="s">
        <v>218</v>
      </c>
      <c r="D40" s="147" t="s">
        <v>220</v>
      </c>
      <c r="E40" s="148"/>
      <c r="F40" s="149"/>
      <c r="G40" s="149"/>
      <c r="H40" s="149"/>
      <c r="I40" s="150"/>
    </row>
    <row r="41" spans="1:14" ht="15.6" x14ac:dyDescent="0.35">
      <c r="A41" s="67" t="s">
        <v>50</v>
      </c>
      <c r="B41" s="17">
        <f ca="1">(C4-C5)/(IF(ISBLANK(B39),B38,B39)*0.000001)*(C29/100)/(IF(ISBLANK(B32),B31,B32)*1000000)</f>
        <v>0.2877156902794562</v>
      </c>
      <c r="C41" s="16" t="s">
        <v>72</v>
      </c>
      <c r="D41" s="22" t="s">
        <v>188</v>
      </c>
      <c r="E41" s="16"/>
      <c r="F41" s="18"/>
      <c r="G41" s="18"/>
      <c r="H41" s="18"/>
      <c r="I41" s="68"/>
      <c r="L41" s="5"/>
      <c r="M41" s="5"/>
      <c r="N41" s="5"/>
    </row>
    <row r="42" spans="1:14" ht="15.6" x14ac:dyDescent="0.35">
      <c r="A42" s="67" t="s">
        <v>49</v>
      </c>
      <c r="B42" s="17">
        <f ca="1">(D4-(1+Constants!B4/100)*C5)/((1+B10/100)*IF(ISBLANK(B39),B38,B39)*0.000001)*(B29/100)/((1+Constants!B15/100)*IF(ISBLANK(B32),B31,B32)*1000000)</f>
        <v>0.41966271293092705</v>
      </c>
      <c r="C42" s="16" t="s">
        <v>72</v>
      </c>
      <c r="D42" s="22" t="s">
        <v>154</v>
      </c>
      <c r="E42" s="16"/>
      <c r="F42" s="18"/>
      <c r="G42" s="18"/>
      <c r="H42" s="18"/>
      <c r="I42" s="68"/>
      <c r="L42" s="143"/>
    </row>
    <row r="43" spans="1:14" ht="16.2" thickBot="1" x14ac:dyDescent="0.4">
      <c r="A43" s="67" t="s">
        <v>200</v>
      </c>
      <c r="B43" s="17">
        <f ca="1">D6+B42/2</f>
        <v>2.7098313564654637</v>
      </c>
      <c r="C43" s="16" t="s">
        <v>73</v>
      </c>
      <c r="D43" s="22" t="s">
        <v>167</v>
      </c>
      <c r="E43" s="16"/>
      <c r="F43" s="18"/>
      <c r="G43" s="18"/>
      <c r="H43" s="18"/>
      <c r="I43" s="68"/>
    </row>
    <row r="44" spans="1:14" ht="16.2" thickBot="1" x14ac:dyDescent="0.35">
      <c r="A44" s="100" t="s">
        <v>159</v>
      </c>
      <c r="B44" s="102">
        <f ca="1">Constants!C30+Constants!C29*B29-B43</f>
        <v>-1.1339228627254894E-2</v>
      </c>
      <c r="C44" s="103" t="s">
        <v>13</v>
      </c>
      <c r="D44" s="104" t="s">
        <v>189</v>
      </c>
      <c r="E44" s="103"/>
      <c r="F44" s="105"/>
      <c r="G44" s="105"/>
      <c r="H44" s="105"/>
      <c r="I44" s="106"/>
      <c r="K44" s="389" t="s">
        <v>293</v>
      </c>
      <c r="L44" s="390"/>
      <c r="M44" s="391"/>
      <c r="N44" s="5"/>
    </row>
    <row r="45" spans="1:14" ht="15.75" customHeight="1" thickBot="1" x14ac:dyDescent="0.35">
      <c r="A45" s="338" t="s">
        <v>148</v>
      </c>
      <c r="B45" s="339"/>
      <c r="C45" s="339"/>
      <c r="D45" s="339"/>
      <c r="E45" s="339"/>
      <c r="F45" s="339"/>
      <c r="G45" s="339"/>
      <c r="H45" s="339"/>
      <c r="I45" s="340"/>
      <c r="K45" s="386" t="s">
        <v>295</v>
      </c>
      <c r="L45" s="387"/>
      <c r="M45" s="388"/>
    </row>
    <row r="46" spans="1:14" ht="15.75" customHeight="1" thickBot="1" x14ac:dyDescent="0.35">
      <c r="A46" s="110" t="s">
        <v>175</v>
      </c>
      <c r="B46" s="113">
        <v>50</v>
      </c>
      <c r="C46" s="111" t="s">
        <v>26</v>
      </c>
      <c r="D46" s="112" t="s">
        <v>184</v>
      </c>
      <c r="E46" s="108"/>
      <c r="F46" s="108"/>
      <c r="G46" s="108"/>
      <c r="H46" s="108"/>
      <c r="I46" s="109"/>
      <c r="K46" s="392" t="s">
        <v>294</v>
      </c>
      <c r="L46" s="393"/>
      <c r="M46" s="394"/>
    </row>
    <row r="47" spans="1:14" ht="15" thickBot="1" x14ac:dyDescent="0.35">
      <c r="A47" s="67" t="s">
        <v>152</v>
      </c>
      <c r="B47" s="139">
        <f>(IF(ISBLANK(B46),Constants!B37,B46))/Constants!B37*Constants!B38*Constants!B34/C5*Constants!B39/(IF(ISBLANK(B32),B31,B32))*D6/Constants!B35</f>
        <v>2.6737967914438503</v>
      </c>
      <c r="C47" s="20" t="s">
        <v>142</v>
      </c>
      <c r="D47" s="22" t="s">
        <v>314</v>
      </c>
      <c r="E47" s="136"/>
      <c r="F47" s="137"/>
      <c r="G47" s="137"/>
      <c r="H47" s="137"/>
      <c r="I47" s="138"/>
      <c r="K47" s="395"/>
      <c r="L47" s="393"/>
      <c r="M47" s="394"/>
    </row>
    <row r="48" spans="1:14" ht="15" thickBot="1" x14ac:dyDescent="0.35">
      <c r="A48" s="126" t="s">
        <v>133</v>
      </c>
      <c r="B48" s="140">
        <v>3</v>
      </c>
      <c r="C48" s="132" t="s">
        <v>142</v>
      </c>
      <c r="D48" s="22" t="s">
        <v>315</v>
      </c>
      <c r="E48" s="16"/>
      <c r="F48" s="18"/>
      <c r="G48" s="18"/>
      <c r="H48" s="18"/>
      <c r="I48" s="68"/>
      <c r="K48" s="313" t="s">
        <v>286</v>
      </c>
      <c r="L48" s="314"/>
      <c r="M48" s="315" t="s">
        <v>289</v>
      </c>
    </row>
    <row r="49" spans="1:13" ht="15" thickBot="1" x14ac:dyDescent="0.35">
      <c r="A49" s="67" t="s">
        <v>135</v>
      </c>
      <c r="B49" s="15">
        <f>IF(ISBLANK(L48), IF(ISBLANK(B48),B47,B48)*(1-Constants!B41/100)*(Constants!C49*$C$5^3+Constants!C50*$C$5^2+Constants!C51*$C$5+Constants!C52), L48*IF(ISBLANK(L51),1,L51))</f>
        <v>57.215468880000003</v>
      </c>
      <c r="C49" s="16" t="s">
        <v>76</v>
      </c>
      <c r="D49" s="22" t="s">
        <v>185</v>
      </c>
      <c r="E49" s="16"/>
      <c r="F49" s="18"/>
      <c r="G49" s="18"/>
      <c r="H49" s="18"/>
      <c r="I49" s="68"/>
      <c r="K49" s="313" t="s">
        <v>287</v>
      </c>
      <c r="L49" s="314"/>
      <c r="M49" s="315" t="s">
        <v>290</v>
      </c>
    </row>
    <row r="50" spans="1:13" ht="16.2" thickBot="1" x14ac:dyDescent="0.4">
      <c r="A50" s="100" t="s">
        <v>132</v>
      </c>
      <c r="B50" s="101">
        <f ca="1">IF(ISBLANK(L48), 1000*(B41*Constants!B42/1000/IF(ISBLANK(B48),B47,B48)+B41/(8*(IF(ISBLANK(B32),B31,B32))*1000000*B49/1000000)+(C4-C5)/(IF(ISBLANK(B39),B38,B39)/1000000)*Constants!B43/1000000000),
1000*(B41*L49/1000/IF(ISBLANK(L51),1,L51)+B41/(8*(IF(ISBLANK(B32),B31,B32))*1000000*L48*IF(ISBLANK(L51),1,L51)/1000000)+(C4-C5)/(IF(ISBLANK(B39),B38,B39)/1000000)*L50/1000000000/IF(ISBLANK(L51),1,L51)) )</f>
        <v>2.7662597584550133</v>
      </c>
      <c r="C50" s="72" t="s">
        <v>140</v>
      </c>
      <c r="D50" s="73" t="s">
        <v>141</v>
      </c>
      <c r="E50" s="72"/>
      <c r="F50" s="74"/>
      <c r="G50" s="74"/>
      <c r="H50" s="74"/>
      <c r="I50" s="75"/>
      <c r="K50" s="313" t="s">
        <v>288</v>
      </c>
      <c r="L50" s="314"/>
      <c r="M50" s="315" t="s">
        <v>30</v>
      </c>
    </row>
    <row r="51" spans="1:13" ht="16.2" thickBot="1" x14ac:dyDescent="0.35">
      <c r="A51" s="125" t="s">
        <v>203</v>
      </c>
      <c r="B51" s="123"/>
      <c r="C51" s="16"/>
      <c r="D51" s="124"/>
      <c r="E51" s="16"/>
      <c r="F51" s="18"/>
      <c r="G51" s="18"/>
      <c r="H51" s="18"/>
      <c r="I51" s="68"/>
      <c r="K51" s="100" t="s">
        <v>296</v>
      </c>
      <c r="L51" s="84"/>
      <c r="M51" s="316" t="s">
        <v>142</v>
      </c>
    </row>
    <row r="52" spans="1:13" ht="16.2" thickBot="1" x14ac:dyDescent="0.4">
      <c r="A52" s="133" t="s">
        <v>208</v>
      </c>
      <c r="B52" s="134">
        <f ca="1">MAX(MAX(D6*SQRT(B29/100*(1-B29/100)),D6*SQRT(C29/100*(1-C29/100)), D6*SQRT(D29/100*(1-D29/100))),IF((B29&lt;50)*AND(D29&gt;50),D6*SQRT(0.5*(1-0.5)),0))</f>
        <v>1.2495845455030679</v>
      </c>
      <c r="C52" s="128" t="s">
        <v>209</v>
      </c>
      <c r="D52" s="107" t="s">
        <v>201</v>
      </c>
      <c r="E52" s="16"/>
      <c r="F52" s="18"/>
      <c r="G52" s="18"/>
      <c r="H52" s="18"/>
      <c r="I52" s="68"/>
    </row>
    <row r="53" spans="1:13" ht="15.75" customHeight="1" x14ac:dyDescent="0.3">
      <c r="A53" s="338" t="s">
        <v>149</v>
      </c>
      <c r="B53" s="339"/>
      <c r="C53" s="339"/>
      <c r="D53" s="339"/>
      <c r="E53" s="339"/>
      <c r="F53" s="339"/>
      <c r="G53" s="339"/>
      <c r="H53" s="339"/>
      <c r="I53" s="340"/>
    </row>
    <row r="54" spans="1:13" x14ac:dyDescent="0.3">
      <c r="A54" s="126" t="s">
        <v>45</v>
      </c>
      <c r="B54" s="127">
        <f ca="1">IF(AND(B29&lt;50, D29&gt;50), 1000000*D6*0.5*(1-0.5)/((1+Constants!B15/100)*IF(ISBLANK(B32),B31,B32)*1000000*Constants!C9*Constants!B8/1000), MAX(1000000*D6*D29/100*(1-D29/100)/((1+Constants!B15/100)*IF(ISBLANK(B32),B31,B32)*1000000*Constants!C9*Constants!B8/1000), 1000000*D6*C29/100*(1-C29/100)/((1+Constants!B15/100)*IF(ISBLANK(B32),B31,B32)*1000000*Constants!C9*Constants!B8/1000), 1000000*D6*B29/100*(1-B29/100)/((1+Constants!B15/100)*IF(ISBLANK(B32),B31,B32)*1000000*Constants!C9*Constants!B8/1000)))</f>
        <v>11.663578236116589</v>
      </c>
      <c r="C54" s="128" t="s">
        <v>210</v>
      </c>
      <c r="D54" s="22" t="s">
        <v>82</v>
      </c>
      <c r="E54" s="16"/>
      <c r="F54" s="18"/>
      <c r="G54" s="18"/>
      <c r="H54" s="18"/>
      <c r="I54" s="68"/>
    </row>
    <row r="55" spans="1:13" ht="16.2" thickBot="1" x14ac:dyDescent="0.4">
      <c r="A55" s="70" t="s">
        <v>202</v>
      </c>
      <c r="B55" s="71">
        <f ca="1">D6*SQRT(D29/100*(1-D29/100))</f>
        <v>1.2495845455030679</v>
      </c>
      <c r="C55" s="72" t="s">
        <v>77</v>
      </c>
      <c r="D55" s="73" t="s">
        <v>47</v>
      </c>
      <c r="E55" s="72"/>
      <c r="F55" s="74"/>
      <c r="G55" s="74"/>
      <c r="H55" s="74"/>
      <c r="I55" s="75"/>
    </row>
    <row r="56" spans="1:13" ht="15.75" customHeight="1" x14ac:dyDescent="0.3">
      <c r="A56" s="338" t="s">
        <v>150</v>
      </c>
      <c r="B56" s="339"/>
      <c r="C56" s="339"/>
      <c r="D56" s="339"/>
      <c r="E56" s="339"/>
      <c r="F56" s="339"/>
      <c r="G56" s="339"/>
      <c r="H56" s="339"/>
      <c r="I56" s="340"/>
    </row>
    <row r="57" spans="1:13" ht="15" thickBot="1" x14ac:dyDescent="0.35">
      <c r="A57" s="67" t="s">
        <v>61</v>
      </c>
      <c r="B57" s="17">
        <f>1000000000*Constants!C25/1000000*C11/1000/Constants!C3</f>
        <v>18.75</v>
      </c>
      <c r="C57" s="16" t="s">
        <v>18</v>
      </c>
      <c r="D57" s="22" t="s">
        <v>68</v>
      </c>
      <c r="E57" s="16"/>
      <c r="F57" s="18"/>
      <c r="G57" s="18"/>
      <c r="H57" s="18"/>
      <c r="I57" s="68"/>
    </row>
    <row r="58" spans="1:13" ht="15" thickBot="1" x14ac:dyDescent="0.35">
      <c r="A58" s="126" t="s">
        <v>67</v>
      </c>
      <c r="B58" s="135">
        <v>22</v>
      </c>
      <c r="C58" s="128" t="s">
        <v>18</v>
      </c>
      <c r="D58" s="22" t="s">
        <v>160</v>
      </c>
      <c r="E58" s="16"/>
      <c r="F58" s="18"/>
      <c r="G58" s="18"/>
      <c r="H58" s="18"/>
      <c r="I58" s="68"/>
    </row>
    <row r="59" spans="1:13" x14ac:dyDescent="0.3">
      <c r="A59" s="67" t="s">
        <v>64</v>
      </c>
      <c r="B59" s="17">
        <f>1000*IF(ISBLANK(B58),B57,B58)/1000000000*Constants!C3/(Constants!C25/1000000)</f>
        <v>0.88</v>
      </c>
      <c r="C59" s="16" t="s">
        <v>39</v>
      </c>
      <c r="D59" s="22" t="s">
        <v>66</v>
      </c>
      <c r="E59" s="16"/>
      <c r="F59" s="18"/>
      <c r="G59" s="18"/>
      <c r="H59" s="18"/>
      <c r="I59" s="68"/>
    </row>
    <row r="60" spans="1:13" ht="15" thickBot="1" x14ac:dyDescent="0.35">
      <c r="A60" s="70" t="s">
        <v>65</v>
      </c>
      <c r="B60" s="71">
        <f>1000*IF(ISBLANK(B58),B57,B58)/1000000000*Constants!C26/1000/(Constants!C25/1000000)</f>
        <v>0.36299999999999999</v>
      </c>
      <c r="C60" s="72" t="s">
        <v>39</v>
      </c>
      <c r="D60" s="73" t="s">
        <v>83</v>
      </c>
      <c r="E60" s="72"/>
      <c r="F60" s="74"/>
      <c r="G60" s="74"/>
      <c r="H60" s="74"/>
      <c r="I60" s="75"/>
    </row>
    <row r="61" spans="1:13" ht="15.75" customHeight="1" x14ac:dyDescent="0.3">
      <c r="A61" s="338" t="s">
        <v>151</v>
      </c>
      <c r="B61" s="339"/>
      <c r="C61" s="339"/>
      <c r="D61" s="339"/>
      <c r="E61" s="339"/>
      <c r="F61" s="339"/>
      <c r="G61" s="339"/>
      <c r="H61" s="339"/>
      <c r="I61" s="340"/>
    </row>
    <row r="62" spans="1:13" ht="16.2" thickBot="1" x14ac:dyDescent="0.4">
      <c r="A62" s="67" t="s">
        <v>80</v>
      </c>
      <c r="B62" s="87">
        <f>1000*IF(ISBLANK(B32),B31,B32)/10</f>
        <v>42.5</v>
      </c>
      <c r="C62" s="16" t="s">
        <v>20</v>
      </c>
      <c r="D62" s="22" t="s">
        <v>92</v>
      </c>
      <c r="E62" s="16"/>
      <c r="F62" s="18"/>
      <c r="G62" s="18"/>
      <c r="H62" s="18"/>
      <c r="I62" s="68"/>
    </row>
    <row r="63" spans="1:13" ht="16.2" thickBot="1" x14ac:dyDescent="0.4">
      <c r="A63" s="67" t="s">
        <v>46</v>
      </c>
      <c r="B63" s="23">
        <v>39</v>
      </c>
      <c r="C63" s="16" t="s">
        <v>20</v>
      </c>
      <c r="D63" s="22" t="s">
        <v>273</v>
      </c>
      <c r="E63" s="16"/>
      <c r="F63" s="18"/>
      <c r="G63" s="18"/>
      <c r="H63" s="18"/>
      <c r="I63" s="68"/>
    </row>
    <row r="64" spans="1:13" ht="15.6" x14ac:dyDescent="0.35">
      <c r="A64" s="67" t="s">
        <v>91</v>
      </c>
      <c r="B64" s="19">
        <f ca="1">C5/AVERAGE(B41/2, D6)</f>
        <v>2.4963520682978282</v>
      </c>
      <c r="C64" s="20" t="s">
        <v>84</v>
      </c>
      <c r="D64" s="22" t="s">
        <v>96</v>
      </c>
      <c r="E64" s="16"/>
      <c r="F64" s="18"/>
      <c r="G64" s="18"/>
      <c r="H64" s="18"/>
      <c r="I64" s="68"/>
    </row>
    <row r="65" spans="1:9" ht="15.6" x14ac:dyDescent="0.35">
      <c r="A65" s="67" t="s">
        <v>85</v>
      </c>
      <c r="B65" s="17">
        <f ca="1">1/(6.28*B64*B49/1000000)/1000</f>
        <v>1.1148618636656669</v>
      </c>
      <c r="C65" s="20" t="s">
        <v>20</v>
      </c>
      <c r="D65" s="22" t="s">
        <v>291</v>
      </c>
      <c r="E65" s="16"/>
      <c r="F65" s="18"/>
      <c r="G65" s="18"/>
      <c r="H65" s="18"/>
      <c r="I65" s="68"/>
    </row>
    <row r="66" spans="1:9" ht="15.6" x14ac:dyDescent="0.35">
      <c r="A66" s="67" t="s">
        <v>86</v>
      </c>
      <c r="B66" s="19">
        <f>IF(ISBLANK(L48), 1/(6.28*Constants!B42/(IF(ISBLANK(B48),B47,B48))/1000*B49/1000000)/1000, 1/(6.28*IF(ISBLANK(L49),Constants!B42,L49)/(IF(ISBLANK(L51),1,L51))/1000*B49/1000000)/1000)</f>
        <v>1391.5438596140796</v>
      </c>
      <c r="C66" s="20" t="s">
        <v>20</v>
      </c>
      <c r="D66" s="22" t="s">
        <v>93</v>
      </c>
      <c r="E66" s="16"/>
      <c r="F66" s="18"/>
      <c r="G66" s="18"/>
      <c r="H66" s="18"/>
      <c r="I66" s="68"/>
    </row>
    <row r="67" spans="1:9" ht="15" thickBot="1" x14ac:dyDescent="0.35">
      <c r="A67" s="67" t="s">
        <v>14</v>
      </c>
      <c r="B67" s="19">
        <f>IF(ISBLANK(B63),B62,B63)*1000*(C5/Constants!C3)*((6.28*B49/1000000)/(Constants!C13*Constants!C11/1000000))/1000</f>
        <v>27.043041933155365</v>
      </c>
      <c r="C67" s="16" t="s">
        <v>69</v>
      </c>
      <c r="D67" s="22" t="s">
        <v>292</v>
      </c>
      <c r="E67" s="16"/>
      <c r="F67" s="18"/>
      <c r="G67" s="18"/>
      <c r="H67" s="18"/>
      <c r="I67" s="68"/>
    </row>
    <row r="68" spans="1:9" ht="15" thickBot="1" x14ac:dyDescent="0.35">
      <c r="A68" s="126" t="s">
        <v>89</v>
      </c>
      <c r="B68" s="129">
        <v>27.1</v>
      </c>
      <c r="C68" s="128" t="s">
        <v>205</v>
      </c>
      <c r="D68" s="22" t="s">
        <v>97</v>
      </c>
      <c r="E68" s="16"/>
      <c r="F68" s="18"/>
      <c r="G68" s="18"/>
      <c r="H68" s="18"/>
      <c r="I68" s="68"/>
    </row>
    <row r="69" spans="1:9" x14ac:dyDescent="0.3">
      <c r="A69" s="126" t="s">
        <v>15</v>
      </c>
      <c r="B69" s="127">
        <f ca="1">AVERAGE(1000000000/(6.28*IF(ISBLANK(B68),B67,B68)*1000*1.5*B65*1000), 4*1000000000/(6.28*IF(ISBLANK(B63),B62,B63)*1000*IF(ISBLANK(B68),B67,B68)*1000))</f>
        <v>2.0581518976094726</v>
      </c>
      <c r="C69" s="128" t="s">
        <v>18</v>
      </c>
      <c r="D69" s="22" t="s">
        <v>100</v>
      </c>
      <c r="E69" s="16"/>
      <c r="F69" s="18"/>
      <c r="G69" s="18"/>
      <c r="H69" s="18"/>
      <c r="I69" s="68"/>
    </row>
    <row r="70" spans="1:9" ht="15" thickBot="1" x14ac:dyDescent="0.35">
      <c r="A70" s="130" t="s">
        <v>16</v>
      </c>
      <c r="B70" s="312">
        <f>IF(B66&gt;10*IF(ISBLANK(B63),B62,B63), MIN(1000000000000/(6.28*IF(ISBLANK(B68),B67,B68)*1000*7.5*IF(ISBLANK(B63),B62,B63)*1000),1000000000000/(6.28*IF(ISBLANK(B68),B67,B68)*1000*IF(ISBLANK(B32),B31,B32)*1000000/2)),
1000000000000/(6.28*IF(ISBLANK(B68),B67,B68)*1000*B66*1000))</f>
        <v>20.088392946643818</v>
      </c>
      <c r="C70" s="131" t="s">
        <v>19</v>
      </c>
      <c r="D70" s="73" t="s">
        <v>101</v>
      </c>
      <c r="E70" s="72"/>
      <c r="F70" s="74"/>
      <c r="G70" s="74"/>
      <c r="H70" s="74"/>
      <c r="I70" s="75"/>
    </row>
    <row r="71" spans="1:9" x14ac:dyDescent="0.3">
      <c r="B71" s="5"/>
      <c r="C71" s="7"/>
    </row>
    <row r="72" spans="1:9" x14ac:dyDescent="0.3">
      <c r="B72" s="8"/>
      <c r="C72" s="10"/>
    </row>
    <row r="91" spans="1:9" x14ac:dyDescent="0.3">
      <c r="A91" s="373"/>
      <c r="B91" s="373"/>
      <c r="C91" s="373"/>
      <c r="D91" s="373"/>
      <c r="E91" s="373"/>
      <c r="F91" s="373"/>
      <c r="G91" s="373"/>
      <c r="H91" s="373"/>
      <c r="I91" s="373"/>
    </row>
  </sheetData>
  <sheetProtection algorithmName="SHA-512" hashValue="DvvhmJIPjDhJLlY4axWrslGYwAdFuA197E/Mg245OqLpq8b0itrrwRqLzadCFOoR4B6biLzebuGTZZDZlq0nww==" saltValue="YlPosBJPkLsnHXfI0fEIug==" spinCount="100000" sheet="1" objects="1" scenarios="1"/>
  <mergeCells count="35">
    <mergeCell ref="K45:M45"/>
    <mergeCell ref="K44:M44"/>
    <mergeCell ref="K46:M47"/>
    <mergeCell ref="F7:I7"/>
    <mergeCell ref="F8:I8"/>
    <mergeCell ref="F9:I9"/>
    <mergeCell ref="F10:I10"/>
    <mergeCell ref="F3:I3"/>
    <mergeCell ref="F4:I4"/>
    <mergeCell ref="F5:I5"/>
    <mergeCell ref="F6:I6"/>
    <mergeCell ref="A91:I91"/>
    <mergeCell ref="A14:C14"/>
    <mergeCell ref="E14:I14"/>
    <mergeCell ref="E18:I18"/>
    <mergeCell ref="E17:I17"/>
    <mergeCell ref="E16:I16"/>
    <mergeCell ref="E15:I15"/>
    <mergeCell ref="B19:C19"/>
    <mergeCell ref="A1:I1"/>
    <mergeCell ref="A53:I53"/>
    <mergeCell ref="A56:I56"/>
    <mergeCell ref="A61:I61"/>
    <mergeCell ref="A27:I27"/>
    <mergeCell ref="F11:I11"/>
    <mergeCell ref="F13:I13"/>
    <mergeCell ref="A22:I22"/>
    <mergeCell ref="A30:I30"/>
    <mergeCell ref="A37:I37"/>
    <mergeCell ref="A45:I45"/>
    <mergeCell ref="D21:I21"/>
    <mergeCell ref="F12:I12"/>
    <mergeCell ref="A20:I20"/>
    <mergeCell ref="A2:I2"/>
    <mergeCell ref="B18:C18"/>
  </mergeCells>
  <conditionalFormatting sqref="B44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rintOptions horizontalCentered="1"/>
  <pageMargins left="0.7" right="0.7" top="0.75" bottom="0.75" header="0.3" footer="0.3"/>
  <pageSetup scale="76" fitToHeight="2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A2" sqref="A2:I2"/>
    </sheetView>
  </sheetViews>
  <sheetFormatPr defaultRowHeight="14.4" x14ac:dyDescent="0.3"/>
  <cols>
    <col min="1" max="1" width="20.6640625" customWidth="1"/>
    <col min="2" max="4" width="12.6640625" customWidth="1"/>
    <col min="5" max="6" width="15.6640625" customWidth="1"/>
  </cols>
  <sheetData>
    <row r="1" spans="1:11" ht="21.6" thickBot="1" x14ac:dyDescent="0.35">
      <c r="A1" s="335" t="s">
        <v>316</v>
      </c>
      <c r="B1" s="336"/>
      <c r="C1" s="336"/>
      <c r="D1" s="336"/>
      <c r="E1" s="336"/>
      <c r="F1" s="336"/>
      <c r="G1" s="336"/>
      <c r="H1" s="336"/>
      <c r="I1" s="337"/>
    </row>
    <row r="2" spans="1:11" ht="24" customHeight="1" thickBot="1" x14ac:dyDescent="0.35">
      <c r="A2" s="359" t="s">
        <v>174</v>
      </c>
      <c r="B2" s="360"/>
      <c r="C2" s="360"/>
      <c r="D2" s="360"/>
      <c r="E2" s="360"/>
      <c r="F2" s="360"/>
      <c r="G2" s="360"/>
      <c r="H2" s="360"/>
      <c r="I2" s="361"/>
    </row>
    <row r="3" spans="1:11" ht="18.600000000000001" thickBot="1" x14ac:dyDescent="0.4">
      <c r="A3" s="115" t="s">
        <v>143</v>
      </c>
      <c r="B3" s="63" t="s">
        <v>33</v>
      </c>
      <c r="C3" s="62" t="s">
        <v>34</v>
      </c>
      <c r="D3" s="63" t="s">
        <v>35</v>
      </c>
      <c r="E3" s="63" t="s">
        <v>36</v>
      </c>
      <c r="F3" s="364" t="s">
        <v>38</v>
      </c>
      <c r="G3" s="365"/>
      <c r="H3" s="365"/>
      <c r="I3" s="366"/>
    </row>
    <row r="4" spans="1:11" ht="16.2" thickBot="1" x14ac:dyDescent="0.4">
      <c r="A4" s="64" t="s">
        <v>232</v>
      </c>
      <c r="B4" s="30" t="s">
        <v>24</v>
      </c>
      <c r="C4" s="23">
        <v>147</v>
      </c>
      <c r="D4" s="289" t="s">
        <v>24</v>
      </c>
      <c r="E4" s="175" t="s">
        <v>17</v>
      </c>
      <c r="F4" s="399" t="s">
        <v>229</v>
      </c>
      <c r="G4" s="400"/>
      <c r="H4" s="400"/>
      <c r="I4" s="401"/>
    </row>
    <row r="5" spans="1:11" ht="16.2" thickBot="1" x14ac:dyDescent="0.4">
      <c r="A5" s="64" t="s">
        <v>235</v>
      </c>
      <c r="B5" s="14" t="s">
        <v>24</v>
      </c>
      <c r="C5" s="290">
        <f>1000000000/(C4*1000000)</f>
        <v>6.8027210884353737</v>
      </c>
      <c r="D5" s="14" t="s">
        <v>24</v>
      </c>
      <c r="E5" s="175" t="s">
        <v>4</v>
      </c>
      <c r="F5" s="183" t="s">
        <v>234</v>
      </c>
      <c r="G5" s="184"/>
      <c r="H5" s="184"/>
      <c r="I5" s="185"/>
    </row>
    <row r="6" spans="1:11" ht="16.2" thickBot="1" x14ac:dyDescent="0.35">
      <c r="A6" s="177" t="s">
        <v>228</v>
      </c>
      <c r="B6" s="83" t="s">
        <v>24</v>
      </c>
      <c r="C6" s="84">
        <v>120</v>
      </c>
      <c r="D6" s="281" t="s">
        <v>24</v>
      </c>
      <c r="E6" s="86" t="s">
        <v>19</v>
      </c>
      <c r="F6" s="380" t="s">
        <v>230</v>
      </c>
      <c r="G6" s="378"/>
      <c r="H6" s="378"/>
      <c r="I6" s="379"/>
    </row>
    <row r="7" spans="1:11" ht="15" thickBot="1" x14ac:dyDescent="0.35">
      <c r="A7" s="64" t="s">
        <v>243</v>
      </c>
      <c r="B7" s="30" t="s">
        <v>24</v>
      </c>
      <c r="C7" s="23">
        <v>50</v>
      </c>
      <c r="D7" s="289" t="s">
        <v>24</v>
      </c>
      <c r="E7" s="13" t="s">
        <v>19</v>
      </c>
      <c r="F7" s="370" t="s">
        <v>244</v>
      </c>
      <c r="G7" s="371"/>
      <c r="H7" s="371"/>
      <c r="I7" s="372"/>
    </row>
    <row r="8" spans="1:11" ht="16.2" thickBot="1" x14ac:dyDescent="0.35">
      <c r="A8" s="187" t="s">
        <v>241</v>
      </c>
      <c r="B8" s="188" t="s">
        <v>24</v>
      </c>
      <c r="C8" s="327">
        <v>2.5</v>
      </c>
      <c r="D8" s="282" t="s">
        <v>24</v>
      </c>
      <c r="E8" s="176" t="s">
        <v>252</v>
      </c>
      <c r="F8" s="344" t="s">
        <v>240</v>
      </c>
      <c r="G8" s="345"/>
      <c r="H8" s="345"/>
      <c r="I8" s="346"/>
    </row>
    <row r="9" spans="1:11" ht="32.1" customHeight="1" thickBot="1" x14ac:dyDescent="0.35">
      <c r="A9" s="396" t="s">
        <v>204</v>
      </c>
      <c r="B9" s="397"/>
      <c r="C9" s="397"/>
      <c r="D9" s="397"/>
      <c r="E9" s="397"/>
      <c r="F9" s="397"/>
      <c r="G9" s="397"/>
      <c r="H9" s="397"/>
      <c r="I9" s="398"/>
    </row>
    <row r="10" spans="1:11" ht="18" customHeight="1" x14ac:dyDescent="0.3">
      <c r="A10" s="174" t="s">
        <v>32</v>
      </c>
      <c r="B10" s="116" t="s">
        <v>31</v>
      </c>
      <c r="C10" s="116" t="s">
        <v>36</v>
      </c>
      <c r="D10" s="350" t="s">
        <v>38</v>
      </c>
      <c r="E10" s="351"/>
      <c r="F10" s="351"/>
      <c r="G10" s="351"/>
      <c r="H10" s="351"/>
      <c r="I10" s="352"/>
    </row>
    <row r="11" spans="1:11" ht="15.6" x14ac:dyDescent="0.3">
      <c r="A11" s="347" t="s">
        <v>227</v>
      </c>
      <c r="B11" s="348"/>
      <c r="C11" s="348"/>
      <c r="D11" s="348"/>
      <c r="E11" s="348"/>
      <c r="F11" s="348"/>
      <c r="G11" s="348"/>
      <c r="H11" s="348"/>
      <c r="I11" s="349"/>
    </row>
    <row r="12" spans="1:11" ht="15.6" x14ac:dyDescent="0.35">
      <c r="A12" s="67" t="s">
        <v>231</v>
      </c>
      <c r="B12" s="17">
        <f>1000000000*(C5/1000000000)^2/(4*3.14^2*(C6/1000000000000+C7/1000000000000))</f>
        <v>6.9023522919202289</v>
      </c>
      <c r="C12" s="16" t="s">
        <v>30</v>
      </c>
      <c r="D12" s="21" t="s">
        <v>239</v>
      </c>
      <c r="E12" s="16"/>
      <c r="F12" s="18"/>
      <c r="G12" s="18"/>
      <c r="H12" s="18"/>
      <c r="I12" s="68"/>
    </row>
    <row r="13" spans="1:11" ht="16.2" thickBot="1" x14ac:dyDescent="0.4">
      <c r="A13" s="67" t="s">
        <v>277</v>
      </c>
      <c r="B13" s="284">
        <f>SQRT(B12*0.000000001/(C6*0.000000000001+C7*0.000000000001))</f>
        <v>6.3719755418090793</v>
      </c>
      <c r="C13" s="285" t="s">
        <v>84</v>
      </c>
      <c r="D13" s="21" t="s">
        <v>237</v>
      </c>
      <c r="E13" s="136"/>
      <c r="F13" s="137"/>
      <c r="G13" s="137"/>
      <c r="H13" s="137"/>
      <c r="I13" s="138"/>
    </row>
    <row r="14" spans="1:11" ht="16.2" thickBot="1" x14ac:dyDescent="0.4">
      <c r="A14" s="126" t="s">
        <v>280</v>
      </c>
      <c r="B14" s="288">
        <v>6.34</v>
      </c>
      <c r="C14" s="132" t="s">
        <v>84</v>
      </c>
      <c r="D14" s="21" t="s">
        <v>279</v>
      </c>
      <c r="E14" s="136"/>
      <c r="F14" s="137"/>
      <c r="G14" s="137"/>
      <c r="H14" s="137"/>
      <c r="I14" s="138"/>
    </row>
    <row r="15" spans="1:11" ht="16.2" thickBot="1" x14ac:dyDescent="0.4">
      <c r="A15" s="67" t="s">
        <v>278</v>
      </c>
      <c r="B15" s="286">
        <f>1000000000000/C8*(C5/1000000000)/B14</f>
        <v>429.19375952273651</v>
      </c>
      <c r="C15" s="287" t="s">
        <v>19</v>
      </c>
      <c r="D15" s="21" t="s">
        <v>238</v>
      </c>
      <c r="E15" s="16"/>
      <c r="F15" s="18"/>
      <c r="G15" s="18"/>
      <c r="H15" s="18"/>
      <c r="I15" s="68"/>
    </row>
    <row r="16" spans="1:11" ht="16.2" thickBot="1" x14ac:dyDescent="0.4">
      <c r="A16" s="126" t="s">
        <v>281</v>
      </c>
      <c r="B16" s="328">
        <v>470</v>
      </c>
      <c r="C16" s="128" t="s">
        <v>19</v>
      </c>
      <c r="D16" s="21" t="s">
        <v>309</v>
      </c>
      <c r="E16" s="16"/>
      <c r="F16" s="18"/>
      <c r="G16" s="18"/>
      <c r="H16" s="18"/>
      <c r="I16" s="68"/>
      <c r="K16" s="12" t="s">
        <v>308</v>
      </c>
    </row>
    <row r="17" spans="1:9" ht="16.2" thickBot="1" x14ac:dyDescent="0.4">
      <c r="A17" s="180" t="s">
        <v>233</v>
      </c>
      <c r="B17" s="186">
        <f>1000*0.5*B16/1000000000000*Design!D4^2*IF(ISBLANK(Design!B32),Design!B31,Design!B32)*1000000</f>
        <v>25.568000000000001</v>
      </c>
      <c r="C17" s="181" t="s">
        <v>236</v>
      </c>
      <c r="D17" s="182" t="s">
        <v>242</v>
      </c>
      <c r="E17" s="178"/>
      <c r="F17" s="178"/>
      <c r="G17" s="178"/>
      <c r="H17" s="178"/>
      <c r="I17" s="179"/>
    </row>
    <row r="33" spans="3:3" x14ac:dyDescent="0.3">
      <c r="C33" s="12" t="s">
        <v>251</v>
      </c>
    </row>
  </sheetData>
  <mergeCells count="10">
    <mergeCell ref="F8:I8"/>
    <mergeCell ref="A9:I9"/>
    <mergeCell ref="D10:I10"/>
    <mergeCell ref="A11:I11"/>
    <mergeCell ref="A1:I1"/>
    <mergeCell ref="A2:I2"/>
    <mergeCell ref="F3:I3"/>
    <mergeCell ref="F4:I4"/>
    <mergeCell ref="F6:I6"/>
    <mergeCell ref="F7:I7"/>
  </mergeCells>
  <printOptions horizontalCentered="1"/>
  <pageMargins left="0.7" right="0.7" top="0.75" bottom="0.75" header="0.3" footer="0.3"/>
  <pageSetup scale="76" fitToHeight="2" orientation="portrait" horizontalDpi="4294967293" verticalDpi="0" r:id="rId1"/>
  <ignoredErrors>
    <ignoredError sqref="C5 B1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8"/>
  <sheetViews>
    <sheetView topLeftCell="A25" zoomScaleNormal="100" workbookViewId="0">
      <selection activeCell="AT36" sqref="AT36"/>
    </sheetView>
  </sheetViews>
  <sheetFormatPr defaultRowHeight="14.4" x14ac:dyDescent="0.3"/>
  <cols>
    <col min="1" max="5" width="6.6640625" style="1" customWidth="1"/>
    <col min="6" max="20" width="6.6640625" style="197" customWidth="1"/>
    <col min="21" max="61" width="6.6640625" customWidth="1"/>
  </cols>
  <sheetData>
    <row r="1" spans="1:61" ht="24" customHeight="1" thickBot="1" x14ac:dyDescent="0.35">
      <c r="A1" s="402" t="s">
        <v>190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4"/>
    </row>
    <row r="2" spans="1:61" s="260" customFormat="1" ht="18" customHeight="1" x14ac:dyDescent="0.3">
      <c r="A2" s="276"/>
      <c r="B2" s="318" t="s">
        <v>284</v>
      </c>
      <c r="C2" s="319">
        <f>Design!B4</f>
        <v>8</v>
      </c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1"/>
      <c r="V2" s="318" t="s">
        <v>284</v>
      </c>
      <c r="W2" s="319">
        <f>Design!C4</f>
        <v>12</v>
      </c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1"/>
      <c r="AP2" s="318" t="s">
        <v>284</v>
      </c>
      <c r="AQ2" s="319">
        <f>Design!D4</f>
        <v>16</v>
      </c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1"/>
    </row>
    <row r="3" spans="1:61" s="200" customFormat="1" ht="16.2" thickBot="1" x14ac:dyDescent="0.35">
      <c r="A3" s="277" t="s">
        <v>224</v>
      </c>
      <c r="B3" s="261" t="s">
        <v>103</v>
      </c>
      <c r="C3" s="254" t="s">
        <v>249</v>
      </c>
      <c r="D3" s="245" t="s">
        <v>247</v>
      </c>
      <c r="E3" s="245" t="s">
        <v>248</v>
      </c>
      <c r="F3" s="245" t="s">
        <v>104</v>
      </c>
      <c r="G3" s="245" t="s">
        <v>105</v>
      </c>
      <c r="H3" s="245" t="s">
        <v>106</v>
      </c>
      <c r="I3" s="245" t="s">
        <v>212</v>
      </c>
      <c r="J3" s="245" t="s">
        <v>267</v>
      </c>
      <c r="K3" s="245" t="s">
        <v>269</v>
      </c>
      <c r="L3" s="245" t="s">
        <v>270</v>
      </c>
      <c r="M3" s="245" t="s">
        <v>282</v>
      </c>
      <c r="N3" s="245" t="s">
        <v>299</v>
      </c>
      <c r="O3" s="245" t="s">
        <v>300</v>
      </c>
      <c r="P3" s="245" t="s">
        <v>122</v>
      </c>
      <c r="Q3" s="245" t="s">
        <v>261</v>
      </c>
      <c r="R3" s="245" t="s">
        <v>268</v>
      </c>
      <c r="S3" s="245" t="s">
        <v>271</v>
      </c>
      <c r="T3" s="245" t="s">
        <v>272</v>
      </c>
      <c r="U3" s="262" t="s">
        <v>256</v>
      </c>
      <c r="V3" s="261" t="s">
        <v>103</v>
      </c>
      <c r="W3" s="254" t="s">
        <v>249</v>
      </c>
      <c r="X3" s="245" t="s">
        <v>247</v>
      </c>
      <c r="Y3" s="245" t="s">
        <v>248</v>
      </c>
      <c r="Z3" s="245" t="s">
        <v>104</v>
      </c>
      <c r="AA3" s="245" t="s">
        <v>105</v>
      </c>
      <c r="AB3" s="245" t="s">
        <v>106</v>
      </c>
      <c r="AC3" s="245" t="s">
        <v>212</v>
      </c>
      <c r="AD3" s="245" t="s">
        <v>267</v>
      </c>
      <c r="AE3" s="245" t="s">
        <v>269</v>
      </c>
      <c r="AF3" s="245" t="s">
        <v>270</v>
      </c>
      <c r="AG3" s="245" t="s">
        <v>282</v>
      </c>
      <c r="AH3" s="245" t="s">
        <v>299</v>
      </c>
      <c r="AI3" s="245" t="s">
        <v>300</v>
      </c>
      <c r="AJ3" s="245" t="s">
        <v>122</v>
      </c>
      <c r="AK3" s="245" t="s">
        <v>261</v>
      </c>
      <c r="AL3" s="245" t="s">
        <v>268</v>
      </c>
      <c r="AM3" s="245" t="s">
        <v>271</v>
      </c>
      <c r="AN3" s="245" t="s">
        <v>272</v>
      </c>
      <c r="AO3" s="262" t="s">
        <v>256</v>
      </c>
      <c r="AP3" s="261" t="s">
        <v>103</v>
      </c>
      <c r="AQ3" s="254" t="s">
        <v>249</v>
      </c>
      <c r="AR3" s="245" t="s">
        <v>247</v>
      </c>
      <c r="AS3" s="245" t="s">
        <v>248</v>
      </c>
      <c r="AT3" s="245" t="s">
        <v>104</v>
      </c>
      <c r="AU3" s="245" t="s">
        <v>105</v>
      </c>
      <c r="AV3" s="245" t="s">
        <v>106</v>
      </c>
      <c r="AW3" s="245" t="s">
        <v>212</v>
      </c>
      <c r="AX3" s="245" t="s">
        <v>267</v>
      </c>
      <c r="AY3" s="245" t="s">
        <v>269</v>
      </c>
      <c r="AZ3" s="245" t="s">
        <v>270</v>
      </c>
      <c r="BA3" s="245" t="s">
        <v>282</v>
      </c>
      <c r="BB3" s="245" t="s">
        <v>299</v>
      </c>
      <c r="BC3" s="245" t="s">
        <v>300</v>
      </c>
      <c r="BD3" s="245" t="s">
        <v>122</v>
      </c>
      <c r="BE3" s="245" t="s">
        <v>261</v>
      </c>
      <c r="BF3" s="245" t="s">
        <v>268</v>
      </c>
      <c r="BG3" s="245" t="s">
        <v>271</v>
      </c>
      <c r="BH3" s="245" t="s">
        <v>272</v>
      </c>
      <c r="BI3" s="262" t="s">
        <v>256</v>
      </c>
    </row>
    <row r="4" spans="1:61" s="162" customFormat="1" ht="12.75" customHeight="1" x14ac:dyDescent="0.25">
      <c r="A4" s="201">
        <v>25</v>
      </c>
      <c r="B4" s="273">
        <v>0.25</v>
      </c>
      <c r="C4" s="203">
        <f ca="1">FORECAST(B4, OFFSET(Design!$C$15:$C$17,MATCH(B4,Design!$B$15:$B$17,1)-1,0,2), OFFSET(Design!$B$15:$B$17,MATCH(B4,Design!$B$15:$B$17,1)-1,0,2))+(N4-25)*Design!$B$18/1000</f>
        <v>0.32132892522859174</v>
      </c>
      <c r="D4" s="214">
        <f ca="1">IF(100*(Design!$C$28+C4+B4*IF(ISBLANK(Design!$B$40),Constants!$C$6,Design!$B$40)/1000*(1+Constants!$C$31/100*(O4-25)))/($C$2+C4-B4*P4/1000)&gt;Design!$C$35,Design!$C$35,100*(Design!$C$28+C4+B4*IF(ISBLANK(Design!$B$40),Constants!$C$6,Design!$B$40)/1000*(1+Constants!$C$31/100*(O4-25)))/($C$2+C4-B4*P4/1000))</f>
        <v>44.092623306591435</v>
      </c>
      <c r="E4" s="204">
        <f ca="1">IF(($C$2-B4*IF(ISBLANK(Design!$B$40),Constants!$C$6,Design!$B$40)/1000*(1+Constants!$C$31/100*(O4-25))-Design!$C$28) / (IF(ISBLANK(Design!$B$39),Design!$B$38,Design!$B$39)/1000000) * D4/100/(IF(ISBLANK(Design!$B$32),Design!$B$31,Design!$B$32)*1000000)&lt;0,0,($C$2-B4*IF(ISBLANK(Design!$B$40),Constants!$C$6,Design!$B$40)/1000*(1+Constants!$C$31/100*(O4-25))-Design!$C$28) / (IF(ISBLANK(Design!$B$39),Design!$B$38,Design!$B$39)/1000000) * D4/100/(IF(ISBLANK(Design!$B$32),Design!$B$31,Design!$B$32)*1000000))</f>
        <v>0.21999378727047827</v>
      </c>
      <c r="F4" s="205">
        <f>$C$2*Constants!$C$18/1000+IF(ISBLANK(Design!$B$32),Design!$B$31,Design!$B$32)*1000000*Constants!$D$22/1000000000*($C$2-Constants!$C$21)</f>
        <v>3.0374999999999999E-2</v>
      </c>
      <c r="G4" s="205">
        <f>$C$2*B4*($C$2/(Constants!$C$23*1000000000)*IF(ISBLANK(Design!$B$32),Design!$B$31,Design!$B$32)*1000000/2+$C$2/(Constants!$C$24*1000000000)*IF(ISBLANK(Design!$B$32),Design!$B$31,Design!$B$32)*1000000/2)</f>
        <v>4.3016059537798667E-3</v>
      </c>
      <c r="H4" s="205">
        <f t="shared" ref="H4:H10" ca="1" si="0">IF($D$78,1,D4/100*(B4^2+E4^2/12)*P4/1000)</f>
        <v>3.4094212303780536E-3</v>
      </c>
      <c r="I4" s="205">
        <f>Constants!$D$22/1000000000*Constants!$C$21*IF(ISBLANK(Design!$B$32),Design!$B$31,Design!$B$32)*1000000</f>
        <v>1.0624999999999999E-2</v>
      </c>
      <c r="J4" s="205">
        <f t="shared" ref="J4:J10" ca="1" si="1">SUM(F4:I4)</f>
        <v>4.8711027184157915E-2</v>
      </c>
      <c r="K4" s="205">
        <f t="shared" ref="K4:K10" ca="1" si="2">B4*C4*(1-D4/100)</f>
        <v>4.4911643163107487E-2</v>
      </c>
      <c r="L4" s="205">
        <f ca="1">B4^2*Design!$B$40/1000*(1+(O4-25)*(Constants!$C$31/100))</f>
        <v>3.145339898288585E-3</v>
      </c>
      <c r="M4" s="205">
        <f>0.5*Snubber!$B$16/1000000000000*$C$2^2*Design!$B$32*1000000</f>
        <v>6.3920000000000001E-3</v>
      </c>
      <c r="N4" s="206">
        <f ca="1">$A4+K4*Design!$B$19</f>
        <v>27.559963660297129</v>
      </c>
      <c r="O4" s="206">
        <f ca="1">J4*Design!$C$12+A4</f>
        <v>26.656174924261368</v>
      </c>
      <c r="P4" s="206">
        <f ca="1">Constants!$D$19+Constants!$D$19*Constants!$C$20/100*(O4-25)</f>
        <v>116.21894474425636</v>
      </c>
      <c r="Q4" s="205">
        <f ca="1">(1-Constants!$C$17/1000000000*Design!$B$32*1000000) * ($C$2+C4-B4*P4/1000) - (C4+B4*Design!$B$40/1000)</f>
        <v>7.6060236107796291</v>
      </c>
      <c r="R4" s="205">
        <f ca="1">IF(Q4&gt;Design!$C$28,Design!$C$28,Q4)</f>
        <v>3.3223709369024856</v>
      </c>
      <c r="S4" s="205">
        <f t="shared" ref="S4:S10" ca="1" si="3">SUM(J4:M4)</f>
        <v>0.10316001024555398</v>
      </c>
      <c r="T4" s="205">
        <f t="shared" ref="T4:T10" ca="1" si="4">R4*B4</f>
        <v>0.83059273422562141</v>
      </c>
      <c r="U4" s="263">
        <f t="shared" ref="U4:U10" ca="1" si="5">100*T4/(T4+S4)</f>
        <v>88.952106341173007</v>
      </c>
      <c r="V4" s="217">
        <v>0.25</v>
      </c>
      <c r="W4" s="218">
        <f ca="1">FORECAST(V4, OFFSET(Design!$C$15:$C$17,MATCH(V4,Design!$B$15:$B$17,1)-1,0,2), OFFSET(Design!$B$15:$B$17,MATCH(V4,Design!$B$15:$B$17,1)-1,0,2))+(AH4-25)*Design!$B$18/1000</f>
        <v>0.32067831205745834</v>
      </c>
      <c r="X4" s="219">
        <f ca="1">IF(100*(Design!$C$28+W4+V4*IF(ISBLANK(Design!$B$40),Constants!$C$6,Design!$B$40)/1000*(1+Constants!$C$31/100*(AI4-25)))/($W$2+W4-V4*AJ4/1000)&gt;Design!$C$35,Design!$C$35,100*(Design!$C$28+W4+V4*IF(ISBLANK(Design!$B$40),Constants!$C$6,Design!$B$40)/1000*(1+Constants!$C$31/100*(AI4-25)))/($W$2+W4-V4*AJ4/1000))</f>
        <v>29.74154196838748</v>
      </c>
      <c r="Y4" s="220">
        <f ca="1">($W$2-V4*IF(ISBLANK(Design!$B$40),Constants!$C$6,Design!$B$40)/1000*(1+Constants!$C$31/100*(AI4-25))-Design!$C$28) / (IF(ISBLANK(Design!$B$39),Design!$B$38,Design!$B$39)/1000000) * X4/100/(IF(ISBLANK(Design!$B$32),Design!$B$31,Design!$B$32)*1000000)</f>
        <v>0.27562635830701243</v>
      </c>
      <c r="Z4" s="221">
        <f>$W$2*Constants!$C$18/1000+IF(ISBLANK(Design!$B$32),Design!$B$31,Design!$B$32)*1000000*Constants!$D$22/1000000000*($W$2-Constants!$C$21)</f>
        <v>5.0874999999999997E-2</v>
      </c>
      <c r="AA4" s="221">
        <f>$W$2*V4*($W$2/(Constants!$C$23*1000000000)*IF(ISBLANK(Design!$B$32),Design!$B$31,Design!$B$32)*1000000/2+$W$2/(Constants!$C$24*1000000000)*IF(ISBLANK(Design!$B$32),Design!$B$31,Design!$B$32)*1000000/2)</f>
        <v>9.6786133960047004E-3</v>
      </c>
      <c r="AB4" s="221">
        <f t="shared" ref="AB4:AB10" ca="1" si="6">IF($D$78,1,X4/100*(V4^2+Y4^2/12)*AJ4/1000)</f>
        <v>2.3918934038867517E-3</v>
      </c>
      <c r="AC4" s="221">
        <f>Constants!$D$22/1000000000*Constants!$C$21*IF(ISBLANK(Design!$B$32),Design!$B$31,Design!$B$32)*1000000</f>
        <v>1.0624999999999999E-2</v>
      </c>
      <c r="AD4" s="221">
        <f t="shared" ref="AD4:AD10" ca="1" si="7">SUM(Z4:AC4)</f>
        <v>7.3570506799891439E-2</v>
      </c>
      <c r="AE4" s="221">
        <f t="shared" ref="AE4:AE10" ca="1" si="8">V4*W4*(1-X4/100)</f>
        <v>5.6325909323343207E-2</v>
      </c>
      <c r="AF4" s="221">
        <f ca="1">V4^2*Design!$B$40/1000*(1+(AI4-25)*(Constants!$C$31/100))</f>
        <v>3.1557202847456302E-3</v>
      </c>
      <c r="AG4" s="221">
        <f>0.5*Snubber!$B$16/1000000000000*$W$2^2*Design!$B$32*1000000</f>
        <v>1.4382000000000001E-2</v>
      </c>
      <c r="AH4" s="222">
        <f ca="1">$A4+AE4*Design!$B$19</f>
        <v>28.210576831430561</v>
      </c>
      <c r="AI4" s="222">
        <f ca="1">AD4*Design!$C$12+$A4</f>
        <v>27.501397231196307</v>
      </c>
      <c r="AJ4" s="222">
        <f ca="1">Constants!$D$19+Constants!$D$19*Constants!$C$20/100*(AI4-25)</f>
        <v>116.84102836216049</v>
      </c>
      <c r="AK4" s="221">
        <f ca="1">(1-Constants!$C$17/1000000000*Design!$B$32*1000000) * ($W$2+W4-V4*AJ4/1000) - (W4+V4*Design!$B$40/1000)</f>
        <v>11.435902350573365</v>
      </c>
      <c r="AL4" s="221">
        <f ca="1">IF(AK4&gt;Design!$C$28,Design!$C$28,AK4)</f>
        <v>3.3223709369024856</v>
      </c>
      <c r="AM4" s="221">
        <f t="shared" ref="AM4:AM10" ca="1" si="9">SUM(AD4:AG4)</f>
        <v>0.14743413640798028</v>
      </c>
      <c r="AN4" s="221">
        <f t="shared" ref="AN4:AN10" ca="1" si="10">AL4*V4</f>
        <v>0.83059273422562141</v>
      </c>
      <c r="AO4" s="267">
        <f t="shared" ref="AO4:AO10" ca="1" si="11">100*AN4/(AN4+AM4)</f>
        <v>84.925349104931342</v>
      </c>
      <c r="AP4" s="231">
        <v>0.25</v>
      </c>
      <c r="AQ4" s="232">
        <f ca="1">FORECAST(AP4, OFFSET(Design!$C$15:$C$17,MATCH(AP4,Design!$B$15:$B$17,1)-1,0,2), OFFSET(Design!$B$15:$B$17,MATCH(AP4,Design!$B$15:$B$17,1)-1,0,2))+(BB4-25)*Design!$B$18/1000</f>
        <v>0.32034821885369874</v>
      </c>
      <c r="AR4" s="233">
        <f ca="1">IF(100*(Design!$C$28+AQ4+AP4*IF(ISBLANK(Design!$B$40),Constants!$C$6,Design!$B$40)/1000*(1+Constants!$C$31/100*(BC4-25)))/($AQ$2+AQ4-AP4*BD4/1000)&gt;Design!$C$35,Design!$C$35,100*(Design!$C$28+AQ4+AP4*IF(ISBLANK(Design!$B$40),Constants!$C$6,Design!$B$40)/1000*(1+Constants!$C$31/100*(BC4-25)))/($AQ$2+AQ4-AP4*BD4/1000))</f>
        <v>22.43812887924997</v>
      </c>
      <c r="AS4" s="234">
        <f ca="1">($AQ$2-AP4*IF(ISBLANK(Design!$B$40),Constants!$C$6,Design!$B$40)/1000*(1+Constants!$C$31/100*(BC4-25))-Design!$C$28) / (IF(ISBLANK(Design!$B$39),Design!$B$38,Design!$B$39)/1000000) * AR4/100/(IF(ISBLANK(Design!$B$32),Design!$B$31,Design!$B$32)*1000000)</f>
        <v>0.30393370141645365</v>
      </c>
      <c r="AT4" s="235">
        <f>$AQ$2*Constants!$C$18/1000+IF(ISBLANK(Design!$B$32),Design!$B$31,Design!$B$32)*1000000*Constants!$D$22/1000000000*($AQ$2-Constants!$C$21)</f>
        <v>7.1374999999999994E-2</v>
      </c>
      <c r="AU4" s="235">
        <f>$AQ$2*AP4*($AQ$2/(Constants!$C$23*1000000000)*IF(ISBLANK(Design!$B$32),Design!$B$31,Design!$B$32)*1000000/2+$AQ$2/(Constants!$C$24*1000000000)*IF(ISBLANK(Design!$B$32),Design!$B$31,Design!$B$32)*1000000/2)</f>
        <v>1.7206423815119467E-2</v>
      </c>
      <c r="AV4" s="235">
        <f t="shared" ref="AV4:AV10" ca="1" si="12">IF($D$78,1,AR4/100*(AP4^2+AS4^2/12)*BD4/1000)</f>
        <v>1.851210335913948E-3</v>
      </c>
      <c r="AW4" s="235">
        <f>Constants!$D$22/1000000000*Constants!$C$21*IF(ISBLANK(Design!$B$32),Design!$B$31,Design!$B$32)*1000000</f>
        <v>1.0624999999999999E-2</v>
      </c>
      <c r="AX4" s="235">
        <f t="shared" ref="AX4:AX10" ca="1" si="13">SUM(AT4:AW4)</f>
        <v>0.1010576341510334</v>
      </c>
      <c r="AY4" s="235">
        <f t="shared" ref="AY4:AY10" ca="1" si="14">AP4*AQ4*(1-AR4/100)</f>
        <v>6.2117018161231025E-2</v>
      </c>
      <c r="AZ4" s="235">
        <f ca="1">AP4^2*Design!$B$40/1000*(1+(BC4-25)*(Constants!$C$31/100))</f>
        <v>3.1671978783601911E-3</v>
      </c>
      <c r="BA4" s="235">
        <f>0.5*Snubber!$B$16/1000000000000*$AQ$2^2*Design!$B$32*1000000</f>
        <v>2.5568E-2</v>
      </c>
      <c r="BB4" s="236">
        <f ca="1">$A4+AY4*Design!$B$19</f>
        <v>28.540670035190168</v>
      </c>
      <c r="BC4" s="236">
        <f ca="1">AX4*Design!$C$12+$A4</f>
        <v>28.435959561135135</v>
      </c>
      <c r="BD4" s="236">
        <f ca="1">Constants!$D$19+Constants!$D$19*Constants!$C$20/100*(BC4-25)</f>
        <v>117.52886623699546</v>
      </c>
      <c r="BE4" s="235">
        <f ca="1">(1-Constants!$C$17/1000000000*Design!$B$32*1000000) * ($AQ$2+AQ4-AP4*BD4/1000) - (AQ4+AP4*Design!$B$40/1000)</f>
        <v>15.265751728343238</v>
      </c>
      <c r="BF4" s="235">
        <f ca="1">IF(BE4&gt;Design!$C$28,Design!$C$28,BE4)</f>
        <v>3.3223709369024856</v>
      </c>
      <c r="BG4" s="235">
        <f t="shared" ref="BG4:BG10" ca="1" si="15">SUM(AX4:BA4)</f>
        <v>0.19190985019062462</v>
      </c>
      <c r="BH4" s="235">
        <f t="shared" ref="BH4:BH10" ca="1" si="16">BF4*AP4</f>
        <v>0.83059273422562141</v>
      </c>
      <c r="BI4" s="270">
        <f t="shared" ref="BI4:BI10" ca="1" si="17">100*BH4/(BH4+BG4)</f>
        <v>81.231357933419076</v>
      </c>
    </row>
    <row r="5" spans="1:61" s="162" customFormat="1" ht="13.2" x14ac:dyDescent="0.25">
      <c r="A5" s="154">
        <v>25</v>
      </c>
      <c r="B5" s="274">
        <f>B4+0.25</f>
        <v>0.5</v>
      </c>
      <c r="C5" s="156">
        <f ca="1">FORECAST(B5, OFFSET(Design!$C$15:$C$17,MATCH(B5,Design!$B$15:$B$17,1)-1,0,2), OFFSET(Design!$B$15:$B$17,MATCH(B5,Design!$B$15:$B$17,1)-1,0,2))+(N5-25)*Design!$B$18/1000</f>
        <v>0.33798848187448638</v>
      </c>
      <c r="D5" s="215">
        <f ca="1">IF(100*(Design!$C$28+C5+B5*IF(ISBLANK(Design!$B$40),Constants!$C$6,Design!$B$40)/1000*(1+Constants!$C$31/100*(O5-25)))/($C$2+C5-B5*P5/1000)&gt;Design!$C$35,Design!$C$35,100*(Design!$C$28+C5+B5*IF(ISBLANK(Design!$B$40),Constants!$C$6,Design!$B$40)/1000*(1+Constants!$C$31/100*(O5-25)))/($C$2+C5-B5*P5/1000))</f>
        <v>44.513302157886677</v>
      </c>
      <c r="E5" s="157">
        <f ca="1">IF(($C$2-B5*IF(ISBLANK(Design!$B$40),Constants!$C$6,Design!$B$40)/1000*(1+Constants!$C$31/100*(O5-25))-Design!$C$28) / (IF(ISBLANK(Design!$B$39),Design!$B$38,Design!$B$39)/1000000) * D5/100/(IF(ISBLANK(Design!$B$32),Design!$B$31,Design!$B$32)*1000000)&lt;0,0,($C$2-B5*IF(ISBLANK(Design!$B$40),Constants!$C$6,Design!$B$40)/1000*(1+Constants!$C$31/100*(O5-25))-Design!$C$28) / (IF(ISBLANK(Design!$B$39),Design!$B$38,Design!$B$39)/1000000) * D5/100/(IF(ISBLANK(Design!$B$32),Design!$B$31,Design!$B$32)*1000000))</f>
        <v>0.22149149409716234</v>
      </c>
      <c r="F5" s="207">
        <f>$C$2*Constants!$C$18/1000+IF(ISBLANK(Design!$B$32),Design!$B$31,Design!$B$32)*1000000*Constants!$D$22/1000000000*($C$2-Constants!$C$21)</f>
        <v>3.0374999999999999E-2</v>
      </c>
      <c r="G5" s="207">
        <f>$C$2*B5*($C$2/(Constants!$C$23*1000000000)*IF(ISBLANK(Design!$B$32),Design!$B$31,Design!$B$32)*1000000/2+$C$2/(Constants!$C$24*1000000000)*IF(ISBLANK(Design!$B$32),Design!$B$31,Design!$B$32)*1000000/2)</f>
        <v>8.6032119075597335E-3</v>
      </c>
      <c r="H5" s="207">
        <f t="shared" ca="1" si="0"/>
        <v>1.3184558540374192E-2</v>
      </c>
      <c r="I5" s="207">
        <f>Constants!$D$22/1000000000*Constants!$C$21*IF(ISBLANK(Design!$B$32),Design!$B$31,Design!$B$32)*1000000</f>
        <v>1.0624999999999999E-2</v>
      </c>
      <c r="J5" s="207">
        <f t="shared" ca="1" si="1"/>
        <v>6.2787770447933919E-2</v>
      </c>
      <c r="K5" s="207">
        <f t="shared" ca="1" si="2"/>
        <v>9.3769323839421118E-2</v>
      </c>
      <c r="L5" s="207">
        <f ca="1">B5^2*Design!$B$40/1000*(1+(O5-25)*(Constants!$C$31/100))</f>
        <v>1.2604871273590662E-2</v>
      </c>
      <c r="M5" s="207">
        <f>0.5*Snubber!$B$16/1000000000000*$C$2^2*Design!$B$32*1000000</f>
        <v>6.3920000000000001E-3</v>
      </c>
      <c r="N5" s="208">
        <f ca="1">$A5+K5*Design!$B$19</f>
        <v>30.344851458847003</v>
      </c>
      <c r="O5" s="208">
        <f ca="1">J5*Design!$C$12+A5</f>
        <v>27.134784195229752</v>
      </c>
      <c r="P5" s="208">
        <f ca="1">Constants!$D$19+Constants!$D$19*Constants!$C$20/100*(O5-25)</f>
        <v>116.5712011676891</v>
      </c>
      <c r="Q5" s="207">
        <f ca="1">(1-Constants!$C$17/1000000000*Design!$B$32*1000000) * ($C$2+C5-B5*P5/1000) - (C5+B5*Design!$B$40/1000)</f>
        <v>7.5648270269613036</v>
      </c>
      <c r="R5" s="207">
        <f ca="1">IF(Q5&gt;Design!$C$28,Design!$C$28,Q5)</f>
        <v>3.3223709369024856</v>
      </c>
      <c r="S5" s="207">
        <f t="shared" ca="1" si="3"/>
        <v>0.17555396556094571</v>
      </c>
      <c r="T5" s="207">
        <f t="shared" ca="1" si="4"/>
        <v>1.6611854684512428</v>
      </c>
      <c r="U5" s="264">
        <f t="shared" ca="1" si="5"/>
        <v>90.442086541504466</v>
      </c>
      <c r="V5" s="223">
        <f>V4+0.25</f>
        <v>0.5</v>
      </c>
      <c r="W5" s="158">
        <f ca="1">FORECAST(V5, OFFSET(Design!$C$15:$C$17,MATCH(V5,Design!$B$15:$B$17,1)-1,0,2), OFFSET(Design!$B$15:$B$17,MATCH(V5,Design!$B$15:$B$17,1)-1,0,2))+(AH5-25)*Design!$B$18/1000</f>
        <v>0.33661849102049551</v>
      </c>
      <c r="X5" s="224">
        <f ca="1">IF(100*(Design!$C$28+W5+V5*IF(ISBLANK(Design!$B$40),Constants!$C$6,Design!$B$40)/1000*(1+Constants!$C$31/100*(AI5-25)))/($W$2+W5-V5*AJ5/1000)&gt;Design!$C$35,Design!$C$35,100*(Design!$C$28+W5+V5*IF(ISBLANK(Design!$B$40),Constants!$C$6,Design!$B$40)/1000*(1+Constants!$C$31/100*(AI5-25)))/($W$2+W5-V5*AJ5/1000))</f>
        <v>30.007260893314417</v>
      </c>
      <c r="Y5" s="159">
        <f ca="1">($W$2-V5*IF(ISBLANK(Design!$B$40),Constants!$C$6,Design!$B$40)/1000*(1+Constants!$C$31/100*(AI5-25))-Design!$C$28) / (IF(ISBLANK(Design!$B$39),Design!$B$38,Design!$B$39)/1000000) * X5/100/(IF(ISBLANK(Design!$B$32),Design!$B$31,Design!$B$32)*1000000)</f>
        <v>0.2776820195657822</v>
      </c>
      <c r="Z5" s="225">
        <f>$W$2*Constants!$C$18/1000+IF(ISBLANK(Design!$B$32),Design!$B$31,Design!$B$32)*1000000*Constants!$D$22/1000000000*($W$2-Constants!$C$21)</f>
        <v>5.0874999999999997E-2</v>
      </c>
      <c r="AA5" s="225">
        <f>$W$2*V5*($W$2/(Constants!$C$23*1000000000)*IF(ISBLANK(Design!$B$32),Design!$B$31,Design!$B$32)*1000000/2+$W$2/(Constants!$C$24*1000000000)*IF(ISBLANK(Design!$B$32),Design!$B$31,Design!$B$32)*1000000/2)</f>
        <v>1.9357226792009401E-2</v>
      </c>
      <c r="AB5" s="225">
        <f t="shared" ca="1" si="6"/>
        <v>9.0218872755688882E-3</v>
      </c>
      <c r="AC5" s="225">
        <f>Constants!$D$22/1000000000*Constants!$C$21*IF(ISBLANK(Design!$B$32),Design!$B$31,Design!$B$32)*1000000</f>
        <v>1.0624999999999999E-2</v>
      </c>
      <c r="AD5" s="225">
        <f t="shared" ca="1" si="7"/>
        <v>8.9879114067578286E-2</v>
      </c>
      <c r="AE5" s="225">
        <f t="shared" ca="1" si="8"/>
        <v>0.11780425110241861</v>
      </c>
      <c r="AF5" s="225">
        <f ca="1">V5^2*Design!$B$40/1000*(1+(AI5-25)*(Constants!$C$31/100))</f>
        <v>1.2650120590271373E-2</v>
      </c>
      <c r="AG5" s="225">
        <f>0.5*Snubber!$B$16/1000000000000*$W$2^2*Design!$B$32*1000000</f>
        <v>1.4382000000000001E-2</v>
      </c>
      <c r="AH5" s="226">
        <f ca="1">$A5+AE5*Design!$B$19</f>
        <v>31.71484231283786</v>
      </c>
      <c r="AI5" s="226">
        <f ca="1">AD5*Design!$C$12+$A5</f>
        <v>28.055889878297663</v>
      </c>
      <c r="AJ5" s="226">
        <f ca="1">Constants!$D$19+Constants!$D$19*Constants!$C$20/100*(AI5-25)</f>
        <v>117.24913495042708</v>
      </c>
      <c r="AK5" s="225">
        <f ca="1">(1-Constants!$C$17/1000000000*Design!$B$32*1000000) * ($W$2+W5-V5*AJ5/1000) - (W5+V5*Design!$B$40/1000)</f>
        <v>11.394560690774112</v>
      </c>
      <c r="AL5" s="225">
        <f ca="1">IF(AK5&gt;Design!$C$28,Design!$C$28,AK5)</f>
        <v>3.3223709369024856</v>
      </c>
      <c r="AM5" s="225">
        <f t="shared" ca="1" si="9"/>
        <v>0.23471548576026829</v>
      </c>
      <c r="AN5" s="225">
        <f t="shared" ca="1" si="10"/>
        <v>1.6611854684512428</v>
      </c>
      <c r="AO5" s="268">
        <f t="shared" ca="1" si="11"/>
        <v>87.619844526219765</v>
      </c>
      <c r="AP5" s="237">
        <f>AP4+0.25</f>
        <v>0.5</v>
      </c>
      <c r="AQ5" s="160">
        <f ca="1">FORECAST(AP5, OFFSET(Design!$C$15:$C$17,MATCH(AP5,Design!$B$15:$B$17,1)-1,0,2), OFFSET(Design!$B$15:$B$17,MATCH(AP5,Design!$B$15:$B$17,1)-1,0,2))+(BB5-25)*Design!$B$18/1000</f>
        <v>0.33592615760124128</v>
      </c>
      <c r="AR5" s="238">
        <f ca="1">IF(100*(Design!$C$28+AQ5+AP5*IF(ISBLANK(Design!$B$40),Constants!$C$6,Design!$B$40)/1000*(1+Constants!$C$31/100*(BC5-25)))/($AQ$2+AQ5-AP5*BD5/1000)&gt;Design!$C$35,Design!$C$35,100*(Design!$C$28+AQ5+AP5*IF(ISBLANK(Design!$B$40),Constants!$C$6,Design!$B$40)/1000*(1+Constants!$C$31/100*(BC5-25)))/($AQ$2+AQ5-AP5*BD5/1000))</f>
        <v>22.631537616389679</v>
      </c>
      <c r="AS5" s="161">
        <f ca="1">($AQ$2-AP5*IF(ISBLANK(Design!$B$40),Constants!$C$6,Design!$B$40)/1000*(1+Constants!$C$31/100*(BC5-25))-Design!$C$28) / (IF(ISBLANK(Design!$B$39),Design!$B$38,Design!$B$39)/1000000) * AR5/100/(IF(ISBLANK(Design!$B$32),Design!$B$31,Design!$B$32)*1000000)</f>
        <v>0.30624505755235398</v>
      </c>
      <c r="AT5" s="239">
        <f>$AQ$2*Constants!$C$18/1000+IF(ISBLANK(Design!$B$32),Design!$B$31,Design!$B$32)*1000000*Constants!$D$22/1000000000*($AQ$2-Constants!$C$21)</f>
        <v>7.1374999999999994E-2</v>
      </c>
      <c r="AU5" s="239">
        <f>$AQ$2*AP5*($AQ$2/(Constants!$C$23*1000000000)*IF(ISBLANK(Design!$B$32),Design!$B$31,Design!$B$32)*1000000/2+$AQ$2/(Constants!$C$24*1000000000)*IF(ISBLANK(Design!$B$32),Design!$B$31,Design!$B$32)*1000000/2)</f>
        <v>3.4412847630238934E-2</v>
      </c>
      <c r="AV5" s="239">
        <f t="shared" ca="1" si="12"/>
        <v>6.8900087893020469E-3</v>
      </c>
      <c r="AW5" s="239">
        <f>Constants!$D$22/1000000000*Constants!$C$21*IF(ISBLANK(Design!$B$32),Design!$B$31,Design!$B$32)*1000000</f>
        <v>1.0624999999999999E-2</v>
      </c>
      <c r="AX5" s="239">
        <f t="shared" ca="1" si="13"/>
        <v>0.12330285641954097</v>
      </c>
      <c r="AY5" s="239">
        <f t="shared" ca="1" si="14"/>
        <v>0.12995045144021194</v>
      </c>
      <c r="AZ5" s="239">
        <f ca="1">AP5^2*Design!$B$40/1000*(1+(BC5-25)*(Constants!$C$31/100))</f>
        <v>1.270594659593474E-2</v>
      </c>
      <c r="BA5" s="239">
        <f>0.5*Snubber!$B$16/1000000000000*$AQ$2^2*Design!$B$32*1000000</f>
        <v>2.5568E-2</v>
      </c>
      <c r="BB5" s="240">
        <f ca="1">$A5+AY5*Design!$B$19</f>
        <v>32.407175732092078</v>
      </c>
      <c r="BC5" s="240">
        <f ca="1">AX5*Design!$C$12+$A5</f>
        <v>29.192297118264392</v>
      </c>
      <c r="BD5" s="240">
        <f ca="1">Constants!$D$19+Constants!$D$19*Constants!$C$20/100*(BC5-25)</f>
        <v>118.08553067904259</v>
      </c>
      <c r="BE5" s="239">
        <f ca="1">(1-Constants!$C$17/1000000000*Design!$B$32*1000000) * ($AQ$2+AQ5-AP5*BD5/1000) - (AQ5+AP5*Design!$B$40/1000)</f>
        <v>15.224189690489359</v>
      </c>
      <c r="BF5" s="239">
        <f ca="1">IF(BE5&gt;Design!$C$28,Design!$C$28,BE5)</f>
        <v>3.3223709369024856</v>
      </c>
      <c r="BG5" s="239">
        <f t="shared" ca="1" si="15"/>
        <v>0.29152725445568761</v>
      </c>
      <c r="BH5" s="239">
        <f t="shared" ca="1" si="16"/>
        <v>1.6611854684512428</v>
      </c>
      <c r="BI5" s="271">
        <f t="shared" ca="1" si="17"/>
        <v>85.070653197685843</v>
      </c>
    </row>
    <row r="6" spans="1:61" s="162" customFormat="1" ht="13.2" x14ac:dyDescent="0.25">
      <c r="A6" s="154">
        <v>25</v>
      </c>
      <c r="B6" s="274">
        <f t="shared" ref="B6:B13" si="18">B5+0.25</f>
        <v>0.75</v>
      </c>
      <c r="C6" s="156">
        <f ca="1">FORECAST(B6, OFFSET(Design!$C$15:$C$17,MATCH(B6,Design!$B$15:$B$17,1)-1,0,2), OFFSET(Design!$B$15:$B$17,MATCH(B6,Design!$B$15:$B$17,1)-1,0,2))+(N6-25)*Design!$B$18/1000</f>
        <v>0.35443451162570977</v>
      </c>
      <c r="D6" s="215">
        <f ca="1">IF(100*(Design!$C$28+C6+B6*IF(ISBLANK(Design!$B$40),Constants!$C$6,Design!$B$40)/1000*(1+Constants!$C$31/100*(O6-25)))/($C$2+C6-B6*P6/1000)&gt;Design!$C$35,Design!$C$35,100*(Design!$C$28+C6+B6*IF(ISBLANK(Design!$B$40),Constants!$C$6,Design!$B$40)/1000*(1+Constants!$C$31/100*(O6-25)))/($C$2+C6-B6*P6/1000))</f>
        <v>44.936479345355508</v>
      </c>
      <c r="E6" s="157">
        <f ca="1">IF(($C$2-B6*IF(ISBLANK(Design!$B$40),Constants!$C$6,Design!$B$40)/1000*(1+Constants!$C$31/100*(O6-25))-Design!$C$28) / (IF(ISBLANK(Design!$B$39),Design!$B$38,Design!$B$39)/1000000) * D6/100/(IF(ISBLANK(Design!$B$32),Design!$B$31,Design!$B$32)*1000000)&lt;0,0,($C$2-B6*IF(ISBLANK(Design!$B$40),Constants!$C$6,Design!$B$40)/1000*(1+Constants!$C$31/100*(O6-25))-Design!$C$28) / (IF(ISBLANK(Design!$B$39),Design!$B$38,Design!$B$39)/1000000) * D6/100/(IF(ISBLANK(Design!$B$32),Design!$B$31,Design!$B$32)*1000000))</f>
        <v>0.22298632384655484</v>
      </c>
      <c r="F6" s="207">
        <f>$C$2*Constants!$C$18/1000+IF(ISBLANK(Design!$B$32),Design!$B$31,Design!$B$32)*1000000*Constants!$D$22/1000000000*($C$2-Constants!$C$21)</f>
        <v>3.0374999999999999E-2</v>
      </c>
      <c r="G6" s="207">
        <f>$C$2*B6*($C$2/(Constants!$C$23*1000000000)*IF(ISBLANK(Design!$B$32),Design!$B$31,Design!$B$32)*1000000/2+$C$2/(Constants!$C$24*1000000000)*IF(ISBLANK(Design!$B$32),Design!$B$31,Design!$B$32)*1000000/2)</f>
        <v>1.2904817861339599E-2</v>
      </c>
      <c r="H6" s="207">
        <f t="shared" ca="1" si="0"/>
        <v>2.9815868302642431E-2</v>
      </c>
      <c r="I6" s="207">
        <f>Constants!$D$22/1000000000*Constants!$C$21*IF(ISBLANK(Design!$B$32),Design!$B$31,Design!$B$32)*1000000</f>
        <v>1.0624999999999999E-2</v>
      </c>
      <c r="J6" s="207">
        <f t="shared" ca="1" si="1"/>
        <v>8.3720686163982025E-2</v>
      </c>
      <c r="K6" s="207">
        <f t="shared" ca="1" si="2"/>
        <v>0.14637309038715829</v>
      </c>
      <c r="L6" s="207">
        <f ca="1">B6^2*Design!$B$40/1000*(1+(O6-25)*(Constants!$C$31/100))</f>
        <v>2.8439627571147128E-2</v>
      </c>
      <c r="M6" s="207">
        <f>0.5*Snubber!$B$16/1000000000000*$C$2^2*Design!$B$32*1000000</f>
        <v>6.3920000000000001E-3</v>
      </c>
      <c r="N6" s="208">
        <f ca="1">$A6+K6*Design!$B$19</f>
        <v>33.343266152068026</v>
      </c>
      <c r="O6" s="208">
        <f ca="1">J6*Design!$C$12+A6</f>
        <v>27.846503329575388</v>
      </c>
      <c r="P6" s="208">
        <f ca="1">Constants!$D$19+Constants!$D$19*Constants!$C$20/100*(O6-25)</f>
        <v>117.09502645056749</v>
      </c>
      <c r="Q6" s="207">
        <f ca="1">(1-Constants!$C$17/1000000000*Design!$B$32*1000000) * ($C$2+C6-B6*P6/1000) - (C6+B6*Design!$B$40/1000)</f>
        <v>7.5233476673860933</v>
      </c>
      <c r="R6" s="207">
        <f ca="1">IF(Q6&gt;Design!$C$28,Design!$C$28,Q6)</f>
        <v>3.3223709369024856</v>
      </c>
      <c r="S6" s="207">
        <f t="shared" ca="1" si="3"/>
        <v>0.26492540412228749</v>
      </c>
      <c r="T6" s="207">
        <f t="shared" ca="1" si="4"/>
        <v>2.4917782026768642</v>
      </c>
      <c r="U6" s="264">
        <f t="shared" ca="1" si="5"/>
        <v>90.389775546820715</v>
      </c>
      <c r="V6" s="223">
        <f t="shared" ref="V6:V13" si="19">V5+0.25</f>
        <v>0.75</v>
      </c>
      <c r="W6" s="158">
        <f ca="1">FORECAST(V6, OFFSET(Design!$C$15:$C$17,MATCH(V6,Design!$B$15:$B$17,1)-1,0,2), OFFSET(Design!$B$15:$B$17,MATCH(V6,Design!$B$15:$B$17,1)-1,0,2))+(AH6-25)*Design!$B$18/1000</f>
        <v>0.3522770478759924</v>
      </c>
      <c r="X6" s="224">
        <f ca="1">IF(100*(Design!$C$28+W6+V6*IF(ISBLANK(Design!$B$40),Constants!$C$6,Design!$B$40)/1000*(1+Constants!$C$31/100*(AI6-25)))/($W$2+W6-V6*AJ6/1000)&gt;Design!$C$35,Design!$C$35,100*(Design!$C$28+W6+V6*IF(ISBLANK(Design!$B$40),Constants!$C$6,Design!$B$40)/1000*(1+Constants!$C$31/100*(AI6-25)))/($W$2+W6-V6*AJ6/1000))</f>
        <v>30.273314627026107</v>
      </c>
      <c r="Y6" s="159">
        <f ca="1">($W$2-V6*IF(ISBLANK(Design!$B$40),Constants!$C$6,Design!$B$40)/1000*(1+Constants!$C$31/100*(AI6-25))-Design!$C$28) / (IF(ISBLANK(Design!$B$39),Design!$B$38,Design!$B$39)/1000000) * X6/100/(IF(ISBLANK(Design!$B$32),Design!$B$31,Design!$B$32)*1000000)</f>
        <v>0.27973105292588413</v>
      </c>
      <c r="Z6" s="225">
        <f>$W$2*Constants!$C$18/1000+IF(ISBLANK(Design!$B$32),Design!$B$31,Design!$B$32)*1000000*Constants!$D$22/1000000000*($W$2-Constants!$C$21)</f>
        <v>5.0874999999999997E-2</v>
      </c>
      <c r="AA6" s="225">
        <f>$W$2*V6*($W$2/(Constants!$C$23*1000000000)*IF(ISBLANK(Design!$B$32),Design!$B$31,Design!$B$32)*1000000/2+$W$2/(Constants!$C$24*1000000000)*IF(ISBLANK(Design!$B$32),Design!$B$31,Design!$B$32)*1000000/2)</f>
        <v>2.9035840188014098E-2</v>
      </c>
      <c r="AB6" s="225">
        <f t="shared" ca="1" si="6"/>
        <v>2.0287791335260433E-2</v>
      </c>
      <c r="AC6" s="225">
        <f>Constants!$D$22/1000000000*Constants!$C$21*IF(ISBLANK(Design!$B$32),Design!$B$31,Design!$B$32)*1000000</f>
        <v>1.0624999999999999E-2</v>
      </c>
      <c r="AD6" s="225">
        <f t="shared" ca="1" si="7"/>
        <v>0.11082363152327451</v>
      </c>
      <c r="AE6" s="225">
        <f t="shared" ca="1" si="8"/>
        <v>0.18422333161027038</v>
      </c>
      <c r="AF6" s="225">
        <f ca="1">V6^2*Design!$B$40/1000*(1+(AI6-25)*(Constants!$C$31/100))</f>
        <v>2.8541482133741435E-2</v>
      </c>
      <c r="AG6" s="225">
        <f>0.5*Snubber!$B$16/1000000000000*$W$2^2*Design!$B$32*1000000</f>
        <v>1.4382000000000001E-2</v>
      </c>
      <c r="AH6" s="226">
        <f ca="1">$A6+AE6*Design!$B$19</f>
        <v>35.500729901785412</v>
      </c>
      <c r="AI6" s="226">
        <f ca="1">AD6*Design!$C$12+$A6</f>
        <v>28.768003471791332</v>
      </c>
      <c r="AJ6" s="226">
        <f ca="1">Constants!$D$19+Constants!$D$19*Constants!$C$20/100*(AI6-25)</f>
        <v>117.77325055523842</v>
      </c>
      <c r="AK6" s="225">
        <f ca="1">(1-Constants!$C$17/1000000000*Design!$B$32*1000000) * ($W$2+W6-V6*AJ6/1000) - (W6+V6*Design!$B$40/1000)</f>
        <v>11.35295230991029</v>
      </c>
      <c r="AL6" s="225">
        <f ca="1">IF(AK6&gt;Design!$C$28,Design!$C$28,AK6)</f>
        <v>3.3223709369024856</v>
      </c>
      <c r="AM6" s="225">
        <f t="shared" ca="1" si="9"/>
        <v>0.33797044526728631</v>
      </c>
      <c r="AN6" s="225">
        <f t="shared" ca="1" si="10"/>
        <v>2.4917782026768642</v>
      </c>
      <c r="AO6" s="268">
        <f t="shared" ca="1" si="11"/>
        <v>88.056520655542101</v>
      </c>
      <c r="AP6" s="237">
        <f t="shared" ref="AP6:AP13" si="20">AP5+0.25</f>
        <v>0.75</v>
      </c>
      <c r="AQ6" s="160">
        <f ca="1">FORECAST(AP6, OFFSET(Design!$C$15:$C$17,MATCH(AP6,Design!$B$15:$B$17,1)-1,0,2), OFFSET(Design!$B$15:$B$17,MATCH(AP6,Design!$B$15:$B$17,1)-1,0,2))+(BB6-25)*Design!$B$18/1000</f>
        <v>0.35119114653262035</v>
      </c>
      <c r="AR6" s="238">
        <f ca="1">IF(100*(Design!$C$28+AQ6+AP6*IF(ISBLANK(Design!$B$40),Constants!$C$6,Design!$B$40)/1000*(1+Constants!$C$31/100*(BC6-25)))/($AQ$2+AQ6-AP6*BD6/1000)&gt;Design!$C$35,Design!$C$35,100*(Design!$C$28+AQ6+AP6*IF(ISBLANK(Design!$B$40),Constants!$C$6,Design!$B$40)/1000*(1+Constants!$C$31/100*(BC6-25)))/($AQ$2+AQ6-AP6*BD6/1000))</f>
        <v>22.824845528083369</v>
      </c>
      <c r="AS6" s="161">
        <f ca="1">($AQ$2-AP6*IF(ISBLANK(Design!$B$40),Constants!$C$6,Design!$B$40)/1000*(1+Constants!$C$31/100*(BC6-25))-Design!$C$28) / (IF(ISBLANK(Design!$B$39),Design!$B$38,Design!$B$39)/1000000) * AR6/100/(IF(ISBLANK(Design!$B$32),Design!$B$31,Design!$B$32)*1000000)</f>
        <v>0.30854753296662008</v>
      </c>
      <c r="AT6" s="239">
        <f>$AQ$2*Constants!$C$18/1000+IF(ISBLANK(Design!$B$32),Design!$B$31,Design!$B$32)*1000000*Constants!$D$22/1000000000*($AQ$2-Constants!$C$21)</f>
        <v>7.1374999999999994E-2</v>
      </c>
      <c r="AU6" s="239">
        <f>$AQ$2*AP6*($AQ$2/(Constants!$C$23*1000000000)*IF(ISBLANK(Design!$B$32),Design!$B$31,Design!$B$32)*1000000/2+$AQ$2/(Constants!$C$24*1000000000)*IF(ISBLANK(Design!$B$32),Design!$B$31,Design!$B$32)*1000000/2)</f>
        <v>5.1619271445358397E-2</v>
      </c>
      <c r="AV6" s="239">
        <f t="shared" ca="1" si="12"/>
        <v>1.5458781060055073E-2</v>
      </c>
      <c r="AW6" s="239">
        <f>Constants!$D$22/1000000000*Constants!$C$21*IF(ISBLANK(Design!$B$32),Design!$B$31,Design!$B$32)*1000000</f>
        <v>1.0624999999999999E-2</v>
      </c>
      <c r="AX6" s="239">
        <f t="shared" ca="1" si="13"/>
        <v>0.14907805250541345</v>
      </c>
      <c r="AY6" s="239">
        <f t="shared" ca="1" si="14"/>
        <v>0.20327423237118364</v>
      </c>
      <c r="AZ6" s="239">
        <f ca="1">AP6^2*Design!$B$40/1000*(1+(BC6-25)*(Constants!$C$31/100))</f>
        <v>2.8685244638693624E-2</v>
      </c>
      <c r="BA6" s="239">
        <f>0.5*Snubber!$B$16/1000000000000*$AQ$2^2*Design!$B$32*1000000</f>
        <v>2.5568E-2</v>
      </c>
      <c r="BB6" s="240">
        <f ca="1">$A6+AY6*Design!$B$19</f>
        <v>36.58663124515747</v>
      </c>
      <c r="BC6" s="240">
        <f ca="1">AX6*Design!$C$12+$A6</f>
        <v>30.068653785184058</v>
      </c>
      <c r="BD6" s="240">
        <f ca="1">Constants!$D$19+Constants!$D$19*Constants!$C$20/100*(BC6-25)</f>
        <v>118.73052918589546</v>
      </c>
      <c r="BE6" s="239">
        <f ca="1">(1-Constants!$C$17/1000000000*Design!$B$32*1000000) * ($AQ$2+AQ6-AP6*BD6/1000) - (AQ6+AP6*Design!$B$40/1000)</f>
        <v>15.182311015000742</v>
      </c>
      <c r="BF6" s="239">
        <f ca="1">IF(BE6&gt;Design!$C$28,Design!$C$28,BE6)</f>
        <v>3.3223709369024856</v>
      </c>
      <c r="BG6" s="239">
        <f t="shared" ca="1" si="15"/>
        <v>0.40660552951529066</v>
      </c>
      <c r="BH6" s="239">
        <f t="shared" ca="1" si="16"/>
        <v>2.4917782026768642</v>
      </c>
      <c r="BI6" s="271">
        <f t="shared" ca="1" si="17"/>
        <v>85.971301004792778</v>
      </c>
    </row>
    <row r="7" spans="1:61" s="162" customFormat="1" ht="13.2" x14ac:dyDescent="0.25">
      <c r="A7" s="154">
        <v>25</v>
      </c>
      <c r="B7" s="274">
        <f t="shared" si="18"/>
        <v>1</v>
      </c>
      <c r="C7" s="156">
        <f ca="1">FORECAST(B7, OFFSET(Design!$C$15:$C$17,MATCH(B7,Design!$B$15:$B$17,1)-1,0,2), OFFSET(Design!$B$15:$B$17,MATCH(B7,Design!$B$15:$B$17,1)-1,0,2))+(N7-25)*Design!$B$18/1000</f>
        <v>0.37067826611703647</v>
      </c>
      <c r="D7" s="215">
        <f ca="1">IF(100*(Design!$C$28+C7+B7*IF(ISBLANK(Design!$B$40),Constants!$C$6,Design!$B$40)/1000*(1+Constants!$C$31/100*(O7-25)))/($C$2+C7-B7*P7/1000)&gt;Design!$C$35,Design!$C$35,100*(Design!$C$28+C7+B7*IF(ISBLANK(Design!$B$40),Constants!$C$6,Design!$B$40)/1000*(1+Constants!$C$31/100*(O7-25)))/($C$2+C7-B7*P7/1000))</f>
        <v>45.36352297464655</v>
      </c>
      <c r="E7" s="157">
        <f ca="1">IF(($C$2-B7*IF(ISBLANK(Design!$B$40),Constants!$C$6,Design!$B$40)/1000*(1+Constants!$C$31/100*(O7-25))-Design!$C$28) / (IF(ISBLANK(Design!$B$39),Design!$B$38,Design!$B$39)/1000000) * D7/100/(IF(ISBLANK(Design!$B$32),Design!$B$31,Design!$B$32)*1000000)&lt;0,0,($C$2-B7*IF(ISBLANK(Design!$B$40),Constants!$C$6,Design!$B$40)/1000*(1+Constants!$C$31/100*(O7-25))-Design!$C$28) / (IF(ISBLANK(Design!$B$39),Design!$B$38,Design!$B$39)/1000000) * D7/100/(IF(ISBLANK(Design!$B$32),Design!$B$31,Design!$B$32)*1000000))</f>
        <v>0.22448305115942979</v>
      </c>
      <c r="F7" s="207">
        <f>$C$2*Constants!$C$18/1000+IF(ISBLANK(Design!$B$32),Design!$B$31,Design!$B$32)*1000000*Constants!$D$22/1000000000*($C$2-Constants!$C$21)</f>
        <v>3.0374999999999999E-2</v>
      </c>
      <c r="G7" s="207">
        <f>$C$2*B7*($C$2/(Constants!$C$23*1000000000)*IF(ISBLANK(Design!$B$32),Design!$B$31,Design!$B$32)*1000000/2+$C$2/(Constants!$C$24*1000000000)*IF(ISBLANK(Design!$B$32),Design!$B$31,Design!$B$32)*1000000/2)</f>
        <v>1.7206423815119467E-2</v>
      </c>
      <c r="H7" s="207">
        <f t="shared" ca="1" si="0"/>
        <v>5.3662366633002438E-2</v>
      </c>
      <c r="I7" s="207">
        <f>Constants!$D$22/1000000000*Constants!$C$21*IF(ISBLANK(Design!$B$32),Design!$B$31,Design!$B$32)*1000000</f>
        <v>1.0624999999999999E-2</v>
      </c>
      <c r="J7" s="207">
        <f t="shared" ca="1" si="1"/>
        <v>0.1118687904481219</v>
      </c>
      <c r="K7" s="207">
        <f t="shared" ca="1" si="2"/>
        <v>0.20252554570501319</v>
      </c>
      <c r="L7" s="207">
        <f ca="1">B7^2*Design!$B$40/1000*(1+(O7-25)*(Constants!$C$31/100))</f>
        <v>5.0747395388983908E-2</v>
      </c>
      <c r="M7" s="207">
        <f>0.5*Snubber!$B$16/1000000000000*$C$2^2*Design!$B$32*1000000</f>
        <v>6.3920000000000001E-3</v>
      </c>
      <c r="N7" s="208">
        <f ca="1">$A7+K7*Design!$B$19</f>
        <v>36.54395610518575</v>
      </c>
      <c r="O7" s="208">
        <f ca="1">J7*Design!$C$12+A7</f>
        <v>28.803538875236143</v>
      </c>
      <c r="P7" s="208">
        <f ca="1">Constants!$D$19+Constants!$D$19*Constants!$C$20/100*(O7-25)</f>
        <v>117.7994046121738</v>
      </c>
      <c r="Q7" s="207">
        <f ca="1">(1-Constants!$C$17/1000000000*Design!$B$32*1000000) * ($C$2+C7-B7*P7/1000) - (C7+B7*Design!$B$40/1000)</f>
        <v>7.4814532437738679</v>
      </c>
      <c r="R7" s="207">
        <f ca="1">IF(Q7&gt;Design!$C$28,Design!$C$28,Q7)</f>
        <v>3.3223709369024856</v>
      </c>
      <c r="S7" s="207">
        <f t="shared" ca="1" si="3"/>
        <v>0.37153373154211899</v>
      </c>
      <c r="T7" s="207">
        <f t="shared" ca="1" si="4"/>
        <v>3.3223709369024856</v>
      </c>
      <c r="U7" s="264">
        <f t="shared" ca="1" si="5"/>
        <v>89.94197834297222</v>
      </c>
      <c r="V7" s="223">
        <f t="shared" si="19"/>
        <v>1</v>
      </c>
      <c r="W7" s="158">
        <f ca="1">FORECAST(V7, OFFSET(Design!$C$15:$C$17,MATCH(V7,Design!$B$15:$B$17,1)-1,0,2), OFFSET(Design!$B$15:$B$17,MATCH(V7,Design!$B$15:$B$17,1)-1,0,2))+(AH7-25)*Design!$B$18/1000</f>
        <v>0.36766558303951108</v>
      </c>
      <c r="X7" s="224">
        <f ca="1">IF(100*(Design!$C$28+W7+V7*IF(ISBLANK(Design!$B$40),Constants!$C$6,Design!$B$40)/1000*(1+Constants!$C$31/100*(AI7-25)))/($W$2+W7-V7*AJ7/1000)&gt;Design!$C$35,Design!$C$35,100*(Design!$C$28+W7+V7*IF(ISBLANK(Design!$B$40),Constants!$C$6,Design!$B$40)/1000*(1+Constants!$C$31/100*(AI7-25)))/($W$2+W7-V7*AJ7/1000))</f>
        <v>30.540239128947139</v>
      </c>
      <c r="Y7" s="159">
        <f ca="1">($W$2-V7*IF(ISBLANK(Design!$B$40),Constants!$C$6,Design!$B$40)/1000*(1+Constants!$C$31/100*(AI7-25))-Design!$C$28) / (IF(ISBLANK(Design!$B$39),Design!$B$38,Design!$B$39)/1000000) * X7/100/(IF(ISBLANK(Design!$B$32),Design!$B$31,Design!$B$32)*1000000)</f>
        <v>0.2817775176782133</v>
      </c>
      <c r="Z7" s="225">
        <f>$W$2*Constants!$C$18/1000+IF(ISBLANK(Design!$B$32),Design!$B$31,Design!$B$32)*1000000*Constants!$D$22/1000000000*($W$2-Constants!$C$21)</f>
        <v>5.0874999999999997E-2</v>
      </c>
      <c r="AA7" s="225">
        <f>$W$2*V7*($W$2/(Constants!$C$23*1000000000)*IF(ISBLANK(Design!$B$32),Design!$B$31,Design!$B$32)*1000000/2+$W$2/(Constants!$C$24*1000000000)*IF(ISBLANK(Design!$B$32),Design!$B$31,Design!$B$32)*1000000/2)</f>
        <v>3.8714453584018801E-2</v>
      </c>
      <c r="AB7" s="225">
        <f t="shared" ca="1" si="6"/>
        <v>3.6404661376363764E-2</v>
      </c>
      <c r="AC7" s="225">
        <f>Constants!$D$22/1000000000*Constants!$C$21*IF(ISBLANK(Design!$B$32),Design!$B$31,Design!$B$32)*1000000</f>
        <v>1.0624999999999999E-2</v>
      </c>
      <c r="AD7" s="225">
        <f t="shared" ca="1" si="7"/>
        <v>0.13661911496038254</v>
      </c>
      <c r="AE7" s="225">
        <f t="shared" ca="1" si="8"/>
        <v>0.25537963478440667</v>
      </c>
      <c r="AF7" s="225">
        <f ca="1">V7^2*Design!$B$40/1000*(1+(AI7-25)*(Constants!$C$31/100))</f>
        <v>5.0912752307050314E-2</v>
      </c>
      <c r="AG7" s="225">
        <f>0.5*Snubber!$B$16/1000000000000*$W$2^2*Design!$B$32*1000000</f>
        <v>1.4382000000000001E-2</v>
      </c>
      <c r="AH7" s="226">
        <f ca="1">$A7+AE7*Design!$B$19</f>
        <v>39.55663918271118</v>
      </c>
      <c r="AI7" s="226">
        <f ca="1">AD7*Design!$C$12+$A7</f>
        <v>29.645049908653007</v>
      </c>
      <c r="AJ7" s="226">
        <f ca="1">Constants!$D$19+Constants!$D$19*Constants!$C$20/100*(AI7-25)</f>
        <v>118.41875673276861</v>
      </c>
      <c r="AK7" s="225">
        <f ca="1">(1-Constants!$C$17/1000000000*Design!$B$32*1000000) * ($W$2+W7-V7*AJ7/1000) - (W7+V7*Design!$B$40/1000)</f>
        <v>11.310988253149194</v>
      </c>
      <c r="AL7" s="225">
        <f ca="1">IF(AK7&gt;Design!$C$28,Design!$C$28,AK7)</f>
        <v>3.3223709369024856</v>
      </c>
      <c r="AM7" s="225">
        <f t="shared" ca="1" si="9"/>
        <v>0.45729350205183955</v>
      </c>
      <c r="AN7" s="225">
        <f t="shared" ca="1" si="10"/>
        <v>3.3223709369024856</v>
      </c>
      <c r="AO7" s="268">
        <f t="shared" ca="1" si="11"/>
        <v>87.901214262863149</v>
      </c>
      <c r="AP7" s="237">
        <f t="shared" si="20"/>
        <v>1</v>
      </c>
      <c r="AQ7" s="160">
        <f ca="1">FORECAST(AP7, OFFSET(Design!$C$15:$C$17,MATCH(AP7,Design!$B$15:$B$17,1)-1,0,2), OFFSET(Design!$B$15:$B$17,MATCH(AP7,Design!$B$15:$B$17,1)-1,0,2))+(BB7-25)*Design!$B$18/1000</f>
        <v>0.36615548754170457</v>
      </c>
      <c r="AR7" s="238">
        <f ca="1">IF(100*(Design!$C$28+AQ7+AP7*IF(ISBLANK(Design!$B$40),Constants!$C$6,Design!$B$40)/1000*(1+Constants!$C$31/100*(BC7-25)))/($AQ$2+AQ7-AP7*BD7/1000)&gt;Design!$C$35,Design!$C$35,100*(Design!$C$28+AQ7+AP7*IF(ISBLANK(Design!$B$40),Constants!$C$6,Design!$B$40)/1000*(1+Constants!$C$31/100*(BC7-25)))/($AQ$2+AQ7-AP7*BD7/1000))</f>
        <v>23.018349350126602</v>
      </c>
      <c r="AS7" s="161">
        <f ca="1">($AQ$2-AP7*IF(ISBLANK(Design!$B$40),Constants!$C$6,Design!$B$40)/1000*(1+Constants!$C$31/100*(BC7-25))-Design!$C$28) / (IF(ISBLANK(Design!$B$39),Design!$B$38,Design!$B$39)/1000000) * AR7/100/(IF(ISBLANK(Design!$B$32),Design!$B$31,Design!$B$32)*1000000)</f>
        <v>0.31084461960681797</v>
      </c>
      <c r="AT7" s="239">
        <f>$AQ$2*Constants!$C$18/1000+IF(ISBLANK(Design!$B$32),Design!$B$31,Design!$B$32)*1000000*Constants!$D$22/1000000000*($AQ$2-Constants!$C$21)</f>
        <v>7.1374999999999994E-2</v>
      </c>
      <c r="AU7" s="239">
        <f>$AQ$2*AP7*($AQ$2/(Constants!$C$23*1000000000)*IF(ISBLANK(Design!$B$32),Design!$B$31,Design!$B$32)*1000000/2+$AQ$2/(Constants!$C$24*1000000000)*IF(ISBLANK(Design!$B$32),Design!$B$31,Design!$B$32)*1000000/2)</f>
        <v>6.8825695260477868E-2</v>
      </c>
      <c r="AV7" s="239">
        <f t="shared" ca="1" si="12"/>
        <v>2.7720977786577453E-2</v>
      </c>
      <c r="AW7" s="239">
        <f>Constants!$D$22/1000000000*Constants!$C$21*IF(ISBLANK(Design!$B$32),Design!$B$31,Design!$B$32)*1000000</f>
        <v>1.0624999999999999E-2</v>
      </c>
      <c r="AX7" s="239">
        <f t="shared" ca="1" si="13"/>
        <v>0.17854667304705529</v>
      </c>
      <c r="AY7" s="239">
        <f t="shared" ca="1" si="14"/>
        <v>0.28187253825469571</v>
      </c>
      <c r="AZ7" s="239">
        <f ca="1">AP7^2*Design!$B$40/1000*(1+(BC7-25)*(Constants!$C$31/100))</f>
        <v>5.1192870322627385E-2</v>
      </c>
      <c r="BA7" s="239">
        <f>0.5*Snubber!$B$16/1000000000000*$AQ$2^2*Design!$B$32*1000000</f>
        <v>2.5568E-2</v>
      </c>
      <c r="BB7" s="240">
        <f ca="1">$A7+AY7*Design!$B$19</f>
        <v>41.066734680517655</v>
      </c>
      <c r="BC7" s="240">
        <f ca="1">AX7*Design!$C$12+$A7</f>
        <v>31.07058688359988</v>
      </c>
      <c r="BD7" s="240">
        <f ca="1">Constants!$D$19+Constants!$D$19*Constants!$C$20/100*(BC7-25)</f>
        <v>119.46795194632951</v>
      </c>
      <c r="BE7" s="239">
        <f ca="1">(1-Constants!$C$17/1000000000*Design!$B$32*1000000) * ($AQ$2+AQ7-AP7*BD7/1000) - (AQ7+AP7*Design!$B$40/1000)</f>
        <v>15.140047827790866</v>
      </c>
      <c r="BF7" s="239">
        <f ca="1">IF(BE7&gt;Design!$C$28,Design!$C$28,BE7)</f>
        <v>3.3223709369024856</v>
      </c>
      <c r="BG7" s="239">
        <f t="shared" ca="1" si="15"/>
        <v>0.53718008162437847</v>
      </c>
      <c r="BH7" s="239">
        <f t="shared" ca="1" si="16"/>
        <v>3.3223709369024856</v>
      </c>
      <c r="BI7" s="271">
        <f t="shared" ca="1" si="17"/>
        <v>86.081798658813625</v>
      </c>
    </row>
    <row r="8" spans="1:61" s="162" customFormat="1" ht="13.2" x14ac:dyDescent="0.25">
      <c r="A8" s="154">
        <v>25</v>
      </c>
      <c r="B8" s="274">
        <f t="shared" si="18"/>
        <v>1.25</v>
      </c>
      <c r="C8" s="156">
        <f ca="1">FORECAST(B8, OFFSET(Design!$C$15:$C$17,MATCH(B8,Design!$B$15:$B$17,1)-1,0,2), OFFSET(Design!$B$15:$B$17,MATCH(B8,Design!$B$15:$B$17,1)-1,0,2))+(N8-25)*Design!$B$18/1000</f>
        <v>0.38673096476861663</v>
      </c>
      <c r="D8" s="215">
        <f ca="1">IF(100*(Design!$C$28+C8+B8*IF(ISBLANK(Design!$B$40),Constants!$C$6,Design!$B$40)/1000*(1+Constants!$C$31/100*(O8-25)))/($C$2+C8-B8*P8/1000)&gt;Design!$C$35,Design!$C$35,100*(Design!$C$28+C8+B8*IF(ISBLANK(Design!$B$40),Constants!$C$6,Design!$B$40)/1000*(1+Constants!$C$31/100*(O8-25)))/($C$2+C8-B8*P8/1000))</f>
        <v>45.795939455264204</v>
      </c>
      <c r="E8" s="157">
        <f ca="1">IF(($C$2-B8*IF(ISBLANK(Design!$B$40),Constants!$C$6,Design!$B$40)/1000*(1+Constants!$C$31/100*(O8-25))-Design!$C$28) / (IF(ISBLANK(Design!$B$39),Design!$B$38,Design!$B$39)/1000000) * D8/100/(IF(ISBLANK(Design!$B$32),Design!$B$31,Design!$B$32)*1000000)&lt;0,0,($C$2-B8*IF(ISBLANK(Design!$B$40),Constants!$C$6,Design!$B$40)/1000*(1+Constants!$C$31/100*(O8-25))-Design!$C$28) / (IF(ISBLANK(Design!$B$39),Design!$B$38,Design!$B$39)/1000000) * D8/100/(IF(ISBLANK(Design!$B$32),Design!$B$31,Design!$B$32)*1000000))</f>
        <v>0.22598683747390211</v>
      </c>
      <c r="F8" s="207">
        <f>$C$2*Constants!$C$18/1000+IF(ISBLANK(Design!$B$32),Design!$B$31,Design!$B$32)*1000000*Constants!$D$22/1000000000*($C$2-Constants!$C$21)</f>
        <v>3.0374999999999999E-2</v>
      </c>
      <c r="G8" s="207">
        <f>$C$2*B8*($C$2/(Constants!$C$23*1000000000)*IF(ISBLANK(Design!$B$32),Design!$B$31,Design!$B$32)*1000000/2+$C$2/(Constants!$C$24*1000000000)*IF(ISBLANK(Design!$B$32),Design!$B$31,Design!$B$32)*1000000/2)</f>
        <v>2.1508029768899335E-2</v>
      </c>
      <c r="H8" s="207">
        <f t="shared" ca="1" si="0"/>
        <v>8.5165184008493808E-2</v>
      </c>
      <c r="I8" s="207">
        <f>Constants!$D$22/1000000000*Constants!$C$21*IF(ISBLANK(Design!$B$32),Design!$B$31,Design!$B$32)*1000000</f>
        <v>1.0624999999999999E-2</v>
      </c>
      <c r="J8" s="207">
        <f t="shared" ca="1" si="1"/>
        <v>0.14767321377739312</v>
      </c>
      <c r="K8" s="207">
        <f t="shared" ca="1" si="2"/>
        <v>0.26202985786052724</v>
      </c>
      <c r="L8" s="207">
        <f ca="1">B8^2*Design!$B$40/1000*(1+(O8-25)*(Constants!$C$31/100))</f>
        <v>7.9666569908198065E-2</v>
      </c>
      <c r="M8" s="207">
        <f>0.5*Snubber!$B$16/1000000000000*$C$2^2*Design!$B$32*1000000</f>
        <v>6.3920000000000001E-3</v>
      </c>
      <c r="N8" s="208">
        <f ca="1">$A8+K8*Design!$B$19</f>
        <v>39.935701898050056</v>
      </c>
      <c r="O8" s="208">
        <f ca="1">J8*Design!$C$12+A8</f>
        <v>30.020889268431368</v>
      </c>
      <c r="P8" s="208">
        <f ca="1">Constants!$D$19+Constants!$D$19*Constants!$C$20/100*(O8-25)</f>
        <v>118.69537450156548</v>
      </c>
      <c r="Q8" s="207">
        <f ca="1">(1-Constants!$C$17/1000000000*Design!$B$32*1000000) * ($C$2+C8-B8*P8/1000) - (C8+B8*Design!$B$40/1000)</f>
        <v>7.4390004076407727</v>
      </c>
      <c r="R8" s="207">
        <f ca="1">IF(Q8&gt;Design!$C$28,Design!$C$28,Q8)</f>
        <v>3.3223709369024856</v>
      </c>
      <c r="S8" s="207">
        <f t="shared" ca="1" si="3"/>
        <v>0.4957616415461184</v>
      </c>
      <c r="T8" s="207">
        <f t="shared" ca="1" si="4"/>
        <v>4.1529636711281075</v>
      </c>
      <c r="U8" s="264">
        <f t="shared" ca="1" si="5"/>
        <v>89.335535911436196</v>
      </c>
      <c r="V8" s="223">
        <f t="shared" si="19"/>
        <v>1.25</v>
      </c>
      <c r="W8" s="158">
        <f ca="1">FORECAST(V8, OFFSET(Design!$C$15:$C$17,MATCH(V8,Design!$B$15:$B$17,1)-1,0,2), OFFSET(Design!$B$15:$B$17,MATCH(V8,Design!$B$15:$B$17,1)-1,0,2))+(AH8-25)*Design!$B$18/1000</f>
        <v>0.38279529266460183</v>
      </c>
      <c r="X8" s="224">
        <f ca="1">IF(100*(Design!$C$28+W8+V8*IF(ISBLANK(Design!$B$40),Constants!$C$6,Design!$B$40)/1000*(1+Constants!$C$31/100*(AI8-25)))/($W$2+W8-V8*AJ8/1000)&gt;Design!$C$35,Design!$C$35,100*(Design!$C$28+W8+V8*IF(ISBLANK(Design!$B$40),Constants!$C$6,Design!$B$40)/1000*(1+Constants!$C$31/100*(AI8-25)))/($W$2+W8-V8*AJ8/1000))</f>
        <v>30.808608523111829</v>
      </c>
      <c r="Y8" s="159">
        <f ca="1">($W$2-V8*IF(ISBLANK(Design!$B$40),Constants!$C$6,Design!$B$40)/1000*(1+Constants!$C$31/100*(AI8-25))-Design!$C$28) / (IF(ISBLANK(Design!$B$39),Design!$B$38,Design!$B$39)/1000000) * X8/100/(IF(ISBLANK(Design!$B$32),Design!$B$31,Design!$B$32)*1000000)</f>
        <v>0.28382570934226975</v>
      </c>
      <c r="Z8" s="225">
        <f>$W$2*Constants!$C$18/1000+IF(ISBLANK(Design!$B$32),Design!$B$31,Design!$B$32)*1000000*Constants!$D$22/1000000000*($W$2-Constants!$C$21)</f>
        <v>5.0874999999999997E-2</v>
      </c>
      <c r="AA8" s="225">
        <f>$W$2*V8*($W$2/(Constants!$C$23*1000000000)*IF(ISBLANK(Design!$B$32),Design!$B$31,Design!$B$32)*1000000/2+$W$2/(Constants!$C$24*1000000000)*IF(ISBLANK(Design!$B$32),Design!$B$31,Design!$B$32)*1000000/2)</f>
        <v>4.8393066980023498E-2</v>
      </c>
      <c r="AB8" s="225">
        <f t="shared" ca="1" si="6"/>
        <v>5.762366658003007E-2</v>
      </c>
      <c r="AC8" s="225">
        <f>Constants!$D$22/1000000000*Constants!$C$21*IF(ISBLANK(Design!$B$32),Design!$B$31,Design!$B$32)*1000000</f>
        <v>1.0624999999999999E-2</v>
      </c>
      <c r="AD8" s="225">
        <f t="shared" ca="1" si="7"/>
        <v>0.16751673356005356</v>
      </c>
      <c r="AE8" s="225">
        <f t="shared" ca="1" si="8"/>
        <v>0.33107673687833056</v>
      </c>
      <c r="AF8" s="225">
        <f ca="1">V8^2*Design!$B$40/1000*(1+(AI8-25)*(Constants!$C$31/100))</f>
        <v>7.9873717651429255E-2</v>
      </c>
      <c r="AG8" s="225">
        <f>0.5*Snubber!$B$16/1000000000000*$W$2^2*Design!$B$32*1000000</f>
        <v>1.4382000000000001E-2</v>
      </c>
      <c r="AH8" s="226">
        <f ca="1">$A8+AE8*Design!$B$19</f>
        <v>43.87137400206484</v>
      </c>
      <c r="AI8" s="226">
        <f ca="1">AD8*Design!$C$12+$A8</f>
        <v>30.69556894104182</v>
      </c>
      <c r="AJ8" s="226">
        <f ca="1">Constants!$D$19+Constants!$D$19*Constants!$C$20/100*(AI8-25)</f>
        <v>119.19193874060679</v>
      </c>
      <c r="AK8" s="225">
        <f ca="1">(1-Constants!$C$17/1000000000*Design!$B$32*1000000) * ($W$2+W8-V8*AJ8/1000) - (W8+V8*Design!$B$40/1000)</f>
        <v>11.26857334838159</v>
      </c>
      <c r="AL8" s="225">
        <f ca="1">IF(AK8&gt;Design!$C$28,Design!$C$28,AK8)</f>
        <v>3.3223709369024856</v>
      </c>
      <c r="AM8" s="225">
        <f t="shared" ca="1" si="9"/>
        <v>0.59284918808981335</v>
      </c>
      <c r="AN8" s="225">
        <f t="shared" ca="1" si="10"/>
        <v>4.1529636711281075</v>
      </c>
      <c r="AO8" s="268">
        <f t="shared" ca="1" si="11"/>
        <v>87.507952680049186</v>
      </c>
      <c r="AP8" s="237">
        <f t="shared" si="20"/>
        <v>1.25</v>
      </c>
      <c r="AQ8" s="160">
        <f ca="1">FORECAST(AP8, OFFSET(Design!$C$15:$C$17,MATCH(AP8,Design!$B$15:$B$17,1)-1,0,2), OFFSET(Design!$B$15:$B$17,MATCH(AP8,Design!$B$15:$B$17,1)-1,0,2))+(BB8-25)*Design!$B$18/1000</f>
        <v>0.38083095129536459</v>
      </c>
      <c r="AR8" s="238">
        <f ca="1">IF(100*(Design!$C$28+AQ8+AP8*IF(ISBLANK(Design!$B$40),Constants!$C$6,Design!$B$40)/1000*(1+Constants!$C$31/100*(BC8-25)))/($AQ$2+AQ8-AP8*BD8/1000)&gt;Design!$C$35,Design!$C$35,100*(Design!$C$28+AQ8+AP8*IF(ISBLANK(Design!$B$40),Constants!$C$6,Design!$B$40)/1000*(1+Constants!$C$31/100*(BC8-25)))/($AQ$2+AQ8-AP8*BD8/1000))</f>
        <v>23.212361827242443</v>
      </c>
      <c r="AS8" s="161">
        <f ca="1">($AQ$2-AP8*IF(ISBLANK(Design!$B$40),Constants!$C$6,Design!$B$40)/1000*(1+Constants!$C$31/100*(BC8-25))-Design!$C$28) / (IF(ISBLANK(Design!$B$39),Design!$B$38,Design!$B$39)/1000000) * AR8/100/(IF(ISBLANK(Design!$B$32),Design!$B$31,Design!$B$32)*1000000)</f>
        <v>0.31313996186687737</v>
      </c>
      <c r="AT8" s="239">
        <f>$AQ$2*Constants!$C$18/1000+IF(ISBLANK(Design!$B$32),Design!$B$31,Design!$B$32)*1000000*Constants!$D$22/1000000000*($AQ$2-Constants!$C$21)</f>
        <v>7.1374999999999994E-2</v>
      </c>
      <c r="AU8" s="239">
        <f>$AQ$2*AP8*($AQ$2/(Constants!$C$23*1000000000)*IF(ISBLANK(Design!$B$32),Design!$B$31,Design!$B$32)*1000000/2+$AQ$2/(Constants!$C$24*1000000000)*IF(ISBLANK(Design!$B$32),Design!$B$31,Design!$B$32)*1000000/2)</f>
        <v>8.6032119075597338E-2</v>
      </c>
      <c r="AV8" s="239">
        <f t="shared" ca="1" si="12"/>
        <v>4.386104836128954E-2</v>
      </c>
      <c r="AW8" s="239">
        <f>Constants!$D$22/1000000000*Constants!$C$21*IF(ISBLANK(Design!$B$32),Design!$B$31,Design!$B$32)*1000000</f>
        <v>1.0624999999999999E-2</v>
      </c>
      <c r="AX8" s="239">
        <f t="shared" ca="1" si="13"/>
        <v>0.21189316743688688</v>
      </c>
      <c r="AY8" s="239">
        <f t="shared" ca="1" si="14"/>
        <v>0.36553886616319392</v>
      </c>
      <c r="AZ8" s="239">
        <f ca="1">AP8^2*Design!$B$40/1000*(1+(BC8-25)*(Constants!$C$31/100))</f>
        <v>8.0336966018196634E-2</v>
      </c>
      <c r="BA8" s="239">
        <f>0.5*Snubber!$B$16/1000000000000*$AQ$2^2*Design!$B$32*1000000</f>
        <v>2.5568E-2</v>
      </c>
      <c r="BB8" s="240">
        <f ca="1">$A8+AY8*Design!$B$19</f>
        <v>45.835715371302058</v>
      </c>
      <c r="BC8" s="240">
        <f ca="1">AX8*Design!$C$12+$A8</f>
        <v>32.204367692854156</v>
      </c>
      <c r="BD8" s="240">
        <f ca="1">Constants!$D$19+Constants!$D$19*Constants!$C$20/100*(BC8-25)</f>
        <v>120.30241462194066</v>
      </c>
      <c r="BE8" s="239">
        <f ca="1">(1-Constants!$C$17/1000000000*Design!$B$32*1000000) * ($AQ$2+AQ8-AP8*BD8/1000) - (AQ8+AP8*Design!$B$40/1000)</f>
        <v>15.097327732069314</v>
      </c>
      <c r="BF8" s="239">
        <f ca="1">IF(BE8&gt;Design!$C$28,Design!$C$28,BE8)</f>
        <v>3.3223709369024856</v>
      </c>
      <c r="BG8" s="239">
        <f t="shared" ca="1" si="15"/>
        <v>0.68333699961827743</v>
      </c>
      <c r="BH8" s="239">
        <f t="shared" ca="1" si="16"/>
        <v>4.1529636711281075</v>
      </c>
      <c r="BI8" s="271">
        <f t="shared" ca="1" si="17"/>
        <v>85.870667558954338</v>
      </c>
    </row>
    <row r="9" spans="1:61" s="162" customFormat="1" ht="13.2" x14ac:dyDescent="0.25">
      <c r="A9" s="154">
        <v>25</v>
      </c>
      <c r="B9" s="274">
        <f t="shared" si="18"/>
        <v>1.5</v>
      </c>
      <c r="C9" s="156">
        <f ca="1">FORECAST(B9, OFFSET(Design!$C$15:$C$17,MATCH(B9,Design!$B$15:$B$17,1)-1,0,2), OFFSET(Design!$B$15:$B$17,MATCH(B9,Design!$B$15:$B$17,1)-1,0,2))+(N9-25)*Design!$B$18/1000</f>
        <v>0.40260392182309834</v>
      </c>
      <c r="D9" s="215">
        <f ca="1">IF(100*(Design!$C$28+C9+B9*IF(ISBLANK(Design!$B$40),Constants!$C$6,Design!$B$40)/1000*(1+Constants!$C$31/100*(O9-25)))/($C$2+C9-B9*P9/1000)&gt;Design!$C$35,Design!$C$35,100*(Design!$C$28+C9+B9*IF(ISBLANK(Design!$B$40),Constants!$C$6,Design!$B$40)/1000*(1+Constants!$C$31/100*(O9-25)))/($C$2+C9-B9*P9/1000))</f>
        <v>46.235408421859987</v>
      </c>
      <c r="E9" s="157">
        <f ca="1">IF(($C$2-B9*IF(ISBLANK(Design!$B$40),Constants!$C$6,Design!$B$40)/1000*(1+Constants!$C$31/100*(O9-25))-Design!$C$28) / (IF(ISBLANK(Design!$B$39),Design!$B$38,Design!$B$39)/1000000) * D9/100/(IF(ISBLANK(Design!$B$32),Design!$B$31,Design!$B$32)*1000000)&lt;0,0,($C$2-B9*IF(ISBLANK(Design!$B$40),Constants!$C$6,Design!$B$40)/1000*(1+Constants!$C$31/100*(O9-25))-Design!$C$28) / (IF(ISBLANK(Design!$B$39),Design!$B$38,Design!$B$39)/1000000) * D9/100/(IF(ISBLANK(Design!$B$32),Design!$B$31,Design!$B$32)*1000000))</f>
        <v>0.2275033406660773</v>
      </c>
      <c r="F9" s="207">
        <f>$C$2*Constants!$C$18/1000+IF(ISBLANK(Design!$B$32),Design!$B$31,Design!$B$32)*1000000*Constants!$D$22/1000000000*($C$2-Constants!$C$21)</f>
        <v>3.0374999999999999E-2</v>
      </c>
      <c r="G9" s="207">
        <f>$C$2*B9*($C$2/(Constants!$C$23*1000000000)*IF(ISBLANK(Design!$B$32),Design!$B$31,Design!$B$32)*1000000/2+$C$2/(Constants!$C$24*1000000000)*IF(ISBLANK(Design!$B$32),Design!$B$31,Design!$B$32)*1000000/2)</f>
        <v>2.5809635722679199E-2</v>
      </c>
      <c r="H9" s="207">
        <f t="shared" ca="1" si="0"/>
        <v>0.12486270551076716</v>
      </c>
      <c r="I9" s="207">
        <f>Constants!$D$22/1000000000*Constants!$C$21*IF(ISBLANK(Design!$B$32),Design!$B$31,Design!$B$32)*1000000</f>
        <v>1.0624999999999999E-2</v>
      </c>
      <c r="J9" s="207">
        <f t="shared" ca="1" si="1"/>
        <v>0.19167234123344634</v>
      </c>
      <c r="K9" s="207">
        <f t="shared" ca="1" si="2"/>
        <v>0.32468753136864442</v>
      </c>
      <c r="L9" s="207">
        <f ca="1">B9^2*Design!$B$40/1000*(1+(O9-25)*(Constants!$C$31/100))</f>
        <v>0.11538126655150649</v>
      </c>
      <c r="M9" s="207">
        <f>0.5*Snubber!$B$16/1000000000000*$C$2^2*Design!$B$32*1000000</f>
        <v>6.3920000000000001E-3</v>
      </c>
      <c r="N9" s="208">
        <f ca="1">$A9+K9*Design!$B$19</f>
        <v>43.507189288012732</v>
      </c>
      <c r="O9" s="208">
        <f ca="1">J9*Design!$C$12+A9</f>
        <v>31.516859601937178</v>
      </c>
      <c r="P9" s="208">
        <f ca="1">Constants!$D$19+Constants!$D$19*Constants!$C$20/100*(O9-25)</f>
        <v>119.79640866702576</v>
      </c>
      <c r="Q9" s="207">
        <f ca="1">(1-Constants!$C$17/1000000000*Design!$B$32*1000000) * ($C$2+C9-B9*P9/1000) - (C9+B9*Design!$B$40/1000)</f>
        <v>7.3958317413745034</v>
      </c>
      <c r="R9" s="207">
        <f ca="1">IF(Q9&gt;Design!$C$28,Design!$C$28,Q9)</f>
        <v>3.3223709369024856</v>
      </c>
      <c r="S9" s="207">
        <f t="shared" ca="1" si="3"/>
        <v>0.63813313915359726</v>
      </c>
      <c r="T9" s="207">
        <f t="shared" ca="1" si="4"/>
        <v>4.9835564053537285</v>
      </c>
      <c r="U9" s="264">
        <f t="shared" ca="1" si="5"/>
        <v>88.648730348742134</v>
      </c>
      <c r="V9" s="223">
        <f t="shared" si="19"/>
        <v>1.5</v>
      </c>
      <c r="W9" s="158">
        <f ca="1">FORECAST(V9, OFFSET(Design!$C$15:$C$17,MATCH(V9,Design!$B$15:$B$17,1)-1,0,2), OFFSET(Design!$B$15:$B$17,MATCH(V9,Design!$B$15:$B$17,1)-1,0,2))+(AH9-25)*Design!$B$18/1000</f>
        <v>0.39767703047311598</v>
      </c>
      <c r="X9" s="224">
        <f ca="1">IF(100*(Design!$C$28+W9+V9*IF(ISBLANK(Design!$B$40),Constants!$C$6,Design!$B$40)/1000*(1+Constants!$C$31/100*(AI9-25)))/($W$2+W9-V9*AJ9/1000)&gt;Design!$C$35,Design!$C$35,100*(Design!$C$28+W9+V9*IF(ISBLANK(Design!$B$40),Constants!$C$6,Design!$B$40)/1000*(1+Constants!$C$31/100*(AI9-25)))/($W$2+W9-V9*AJ9/1000))</f>
        <v>31.079043173954648</v>
      </c>
      <c r="Y9" s="159">
        <f ca="1">($W$2-V9*IF(ISBLANK(Design!$B$40),Constants!$C$6,Design!$B$40)/1000*(1+Constants!$C$31/100*(AI9-25))-Design!$C$28) / (IF(ISBLANK(Design!$B$39),Design!$B$38,Design!$B$39)/1000000) * X9/100/(IF(ISBLANK(Design!$B$32),Design!$B$31,Design!$B$32)*1000000)</f>
        <v>0.2858802159231244</v>
      </c>
      <c r="Z9" s="225">
        <f>$W$2*Constants!$C$18/1000+IF(ISBLANK(Design!$B$32),Design!$B$31,Design!$B$32)*1000000*Constants!$D$22/1000000000*($W$2-Constants!$C$21)</f>
        <v>5.0874999999999997E-2</v>
      </c>
      <c r="AA9" s="225">
        <f>$W$2*V9*($W$2/(Constants!$C$23*1000000000)*IF(ISBLANK(Design!$B$32),Design!$B$31,Design!$B$32)*1000000/2+$W$2/(Constants!$C$24*1000000000)*IF(ISBLANK(Design!$B$32),Design!$B$31,Design!$B$32)*1000000/2)</f>
        <v>5.8071680376028195E-2</v>
      </c>
      <c r="AB9" s="225">
        <f t="shared" ca="1" si="6"/>
        <v>8.4237644686989299E-2</v>
      </c>
      <c r="AC9" s="225">
        <f>Constants!$D$22/1000000000*Constants!$C$21*IF(ISBLANK(Design!$B$32),Design!$B$31,Design!$B$32)*1000000</f>
        <v>1.0624999999999999E-2</v>
      </c>
      <c r="AD9" s="225">
        <f t="shared" ca="1" si="7"/>
        <v>0.20380932506301749</v>
      </c>
      <c r="AE9" s="225">
        <f t="shared" ca="1" si="8"/>
        <v>0.41112422171921326</v>
      </c>
      <c r="AF9" s="225">
        <f ca="1">V9^2*Design!$B$40/1000*(1+(AI9-25)*(Constants!$C$31/100))</f>
        <v>0.11556371272667854</v>
      </c>
      <c r="AG9" s="225">
        <f>0.5*Snubber!$B$16/1000000000000*$W$2^2*Design!$B$32*1000000</f>
        <v>1.4382000000000001E-2</v>
      </c>
      <c r="AH9" s="226">
        <f ca="1">$A9+AE9*Design!$B$19</f>
        <v>48.434080637995152</v>
      </c>
      <c r="AI9" s="226">
        <f ca="1">AD9*Design!$C$12+$A9</f>
        <v>31.929517052142593</v>
      </c>
      <c r="AJ9" s="226">
        <f ca="1">Constants!$D$19+Constants!$D$19*Constants!$C$20/100*(AI9-25)</f>
        <v>120.10012455037695</v>
      </c>
      <c r="AK9" s="225">
        <f ca="1">(1-Constants!$C$17/1000000000*Design!$B$32*1000000) * ($W$2+W9-V9*AJ9/1000) - (W9+V9*Design!$B$40/1000)</f>
        <v>11.225604922319413</v>
      </c>
      <c r="AL9" s="225">
        <f ca="1">IF(AK9&gt;Design!$C$28,Design!$C$28,AK9)</f>
        <v>3.3223709369024856</v>
      </c>
      <c r="AM9" s="225">
        <f t="shared" ca="1" si="9"/>
        <v>0.74487925950890932</v>
      </c>
      <c r="AN9" s="225">
        <f t="shared" ca="1" si="10"/>
        <v>4.9835564053537285</v>
      </c>
      <c r="AO9" s="268">
        <f t="shared" ca="1" si="11"/>
        <v>86.996811990437692</v>
      </c>
      <c r="AP9" s="237">
        <f t="shared" si="20"/>
        <v>1.5</v>
      </c>
      <c r="AQ9" s="160">
        <f ca="1">FORECAST(AP9, OFFSET(Design!$C$15:$C$17,MATCH(AP9,Design!$B$15:$B$17,1)-1,0,2), OFFSET(Design!$B$15:$B$17,MATCH(AP9,Design!$B$15:$B$17,1)-1,0,2))+(BB9-25)*Design!$B$18/1000</f>
        <v>0.39522882756219091</v>
      </c>
      <c r="AR9" s="238">
        <f ca="1">IF(100*(Design!$C$28+AQ9+AP9*IF(ISBLANK(Design!$B$40),Constants!$C$6,Design!$B$40)/1000*(1+Constants!$C$31/100*(BC9-25)))/($AQ$2+AQ9-AP9*BD9/1000)&gt;Design!$C$35,Design!$C$35,100*(Design!$C$28+AQ9+AP9*IF(ISBLANK(Design!$B$40),Constants!$C$6,Design!$B$40)/1000*(1+Constants!$C$31/100*(BC9-25)))/($AQ$2+AQ9-AP9*BD9/1000))</f>
        <v>23.407214873160136</v>
      </c>
      <c r="AS9" s="161">
        <f ca="1">($AQ$2-AP9*IF(ISBLANK(Design!$B$40),Constants!$C$6,Design!$B$40)/1000*(1+Constants!$C$31/100*(BC9-25))-Design!$C$28) / (IF(ISBLANK(Design!$B$39),Design!$B$38,Design!$B$39)/1000000) * AR9/100/(IF(ISBLANK(Design!$B$32),Design!$B$31,Design!$B$32)*1000000)</f>
        <v>0.31543739113857344</v>
      </c>
      <c r="AT9" s="239">
        <f>$AQ$2*Constants!$C$18/1000+IF(ISBLANK(Design!$B$32),Design!$B$31,Design!$B$32)*1000000*Constants!$D$22/1000000000*($AQ$2-Constants!$C$21)</f>
        <v>7.1374999999999994E-2</v>
      </c>
      <c r="AU9" s="239">
        <f>$AQ$2*AP9*($AQ$2/(Constants!$C$23*1000000000)*IF(ISBLANK(Design!$B$32),Design!$B$31,Design!$B$32)*1000000/2+$AQ$2/(Constants!$C$24*1000000000)*IF(ISBLANK(Design!$B$32),Design!$B$31,Design!$B$32)*1000000/2)</f>
        <v>0.10323854289071679</v>
      </c>
      <c r="AV9" s="239">
        <f t="shared" ca="1" si="12"/>
        <v>6.4087392948492944E-2</v>
      </c>
      <c r="AW9" s="239">
        <f>Constants!$D$22/1000000000*Constants!$C$21*IF(ISBLANK(Design!$B$32),Design!$B$31,Design!$B$32)*1000000</f>
        <v>1.0624999999999999E-2</v>
      </c>
      <c r="AX9" s="239">
        <f t="shared" ca="1" si="13"/>
        <v>0.24932593583920973</v>
      </c>
      <c r="AY9" s="239">
        <f t="shared" ca="1" si="14"/>
        <v>0.45407514998105603</v>
      </c>
      <c r="AZ9" s="239">
        <f ca="1">AP9^2*Design!$B$40/1000*(1+(BC9-25)*(Constants!$C$31/100))</f>
        <v>0.11624792979901898</v>
      </c>
      <c r="BA9" s="239">
        <f>0.5*Snubber!$B$16/1000000000000*$AQ$2^2*Design!$B$32*1000000</f>
        <v>2.5568E-2</v>
      </c>
      <c r="BB9" s="240">
        <f ca="1">$A9+AY9*Design!$B$19</f>
        <v>50.882283548920192</v>
      </c>
      <c r="BC9" s="240">
        <f ca="1">AX9*Design!$C$12+$A9</f>
        <v>33.477081818533129</v>
      </c>
      <c r="BD9" s="240">
        <f ca="1">Constants!$D$19+Constants!$D$19*Constants!$C$20/100*(BC9-25)</f>
        <v>121.23913221844039</v>
      </c>
      <c r="BE9" s="239">
        <f ca="1">(1-Constants!$C$17/1000000000*Design!$B$32*1000000) * ($AQ$2+AQ9-AP9*BD9/1000) - (AQ9+AP9*Design!$B$40/1000)</f>
        <v>15.054073071179875</v>
      </c>
      <c r="BF9" s="239">
        <f ca="1">IF(BE9&gt;Design!$C$28,Design!$C$28,BE9)</f>
        <v>3.3223709369024856</v>
      </c>
      <c r="BG9" s="239">
        <f t="shared" ca="1" si="15"/>
        <v>0.84521701561928475</v>
      </c>
      <c r="BH9" s="239">
        <f t="shared" ca="1" si="16"/>
        <v>4.9835564053537285</v>
      </c>
      <c r="BI9" s="271">
        <f t="shared" ca="1" si="17"/>
        <v>85.499230205483101</v>
      </c>
    </row>
    <row r="10" spans="1:61" s="162" customFormat="1" ht="13.2" x14ac:dyDescent="0.25">
      <c r="A10" s="154">
        <v>25</v>
      </c>
      <c r="B10" s="274">
        <f t="shared" si="18"/>
        <v>1.75</v>
      </c>
      <c r="C10" s="156">
        <f ca="1">FORECAST(B10, OFFSET(Design!$C$15:$C$17,MATCH(B10,Design!$B$15:$B$17,1)-1,0,2), OFFSET(Design!$B$15:$B$17,MATCH(B10,Design!$B$15:$B$17,1)-1,0,2))+(N10-25)*Design!$B$18/1000</f>
        <v>0.41830869335346288</v>
      </c>
      <c r="D10" s="215">
        <f ca="1">IF(100*(Design!$C$28+C10+B10*IF(ISBLANK(Design!$B$40),Constants!$C$6,Design!$B$40)/1000*(1+Constants!$C$31/100*(O10-25)))/($C$2+C10-B10*P10/1000)&gt;Design!$C$35,Design!$C$35,100*(Design!$C$28+C10+B10*IF(ISBLANK(Design!$B$40),Constants!$C$6,Design!$B$40)/1000*(1+Constants!$C$31/100*(O10-25)))/($C$2+C10-B10*P10/1000))</f>
        <v>46.683826792670025</v>
      </c>
      <c r="E10" s="157">
        <f ca="1">IF(($C$2-B10*IF(ISBLANK(Design!$B$40),Constants!$C$6,Design!$B$40)/1000*(1+Constants!$C$31/100*(O10-25))-Design!$C$28) / (IF(ISBLANK(Design!$B$39),Design!$B$38,Design!$B$39)/1000000) * D10/100/(IF(ISBLANK(Design!$B$32),Design!$B$31,Design!$B$32)*1000000)&lt;0,0,($C$2-B10*IF(ISBLANK(Design!$B$40),Constants!$C$6,Design!$B$40)/1000*(1+Constants!$C$31/100*(O10-25))-Design!$C$28) / (IF(ISBLANK(Design!$B$39),Design!$B$38,Design!$B$39)/1000000) * D10/100/(IF(ISBLANK(Design!$B$32),Design!$B$31,Design!$B$32)*1000000))</f>
        <v>0.22903885204614571</v>
      </c>
      <c r="F10" s="207">
        <f>$C$2*Constants!$C$18/1000+IF(ISBLANK(Design!$B$32),Design!$B$31,Design!$B$32)*1000000*Constants!$D$22/1000000000*($C$2-Constants!$C$21)</f>
        <v>3.0374999999999999E-2</v>
      </c>
      <c r="G10" s="207">
        <f>$C$2*B10*($C$2/(Constants!$C$23*1000000000)*IF(ISBLANK(Design!$B$32),Design!$B$31,Design!$B$32)*1000000/2+$C$2/(Constants!$C$24*1000000000)*IF(ISBLANK(Design!$B$32),Design!$B$31,Design!$B$32)*1000000/2)</f>
        <v>3.0111241676459066E-2</v>
      </c>
      <c r="H10" s="207">
        <f t="shared" ca="1" si="0"/>
        <v>0.17340992389278273</v>
      </c>
      <c r="I10" s="207">
        <f>Constants!$D$22/1000000000*Constants!$C$21*IF(ISBLANK(Design!$B$32),Design!$B$31,Design!$B$32)*1000000</f>
        <v>1.0624999999999999E-2</v>
      </c>
      <c r="J10" s="207">
        <f t="shared" ca="1" si="1"/>
        <v>0.24452116556924181</v>
      </c>
      <c r="K10" s="207">
        <f t="shared" ca="1" si="2"/>
        <v>0.3902958281068894</v>
      </c>
      <c r="L10" s="207">
        <f ca="1">B10^2*Design!$B$40/1000*(1+(O10-25)*(Constants!$C$31/100))</f>
        <v>0.15812804059070232</v>
      </c>
      <c r="M10" s="207">
        <f>0.5*Snubber!$B$16/1000000000000*$C$2^2*Design!$B$32*1000000</f>
        <v>6.3920000000000001E-3</v>
      </c>
      <c r="N10" s="208">
        <f ca="1">$A10+K10*Design!$B$19</f>
        <v>47.2468622020927</v>
      </c>
      <c r="O10" s="208">
        <f ca="1">J10*Design!$C$12+A10</f>
        <v>33.313719629354225</v>
      </c>
      <c r="P10" s="208">
        <f ca="1">Constants!$D$19+Constants!$D$19*Constants!$C$20/100*(O10-25)</f>
        <v>121.1188976472047</v>
      </c>
      <c r="Q10" s="207">
        <f ca="1">(1-Constants!$C$17/1000000000*Design!$B$32*1000000) * ($C$2+C10-B10*P10/1000) - (C10+B10*Design!$B$40/1000)</f>
        <v>7.3517720276623821</v>
      </c>
      <c r="R10" s="207">
        <f ca="1">IF(Q10&gt;Design!$C$28,Design!$C$28,Q10)</f>
        <v>3.3223709369024856</v>
      </c>
      <c r="S10" s="207">
        <f t="shared" ca="1" si="3"/>
        <v>0.79933703426683345</v>
      </c>
      <c r="T10" s="207">
        <f t="shared" ca="1" si="4"/>
        <v>5.8141491395793494</v>
      </c>
      <c r="U10" s="264">
        <f t="shared" ca="1" si="5"/>
        <v>87.913529819901839</v>
      </c>
      <c r="V10" s="223">
        <f t="shared" si="19"/>
        <v>1.75</v>
      </c>
      <c r="W10" s="158">
        <f ca="1">FORECAST(V10, OFFSET(Design!$C$15:$C$17,MATCH(V10,Design!$B$15:$B$17,1)-1,0,2), OFFSET(Design!$B$15:$B$17,MATCH(V10,Design!$B$15:$B$17,1)-1,0,2))+(AH10-25)*Design!$B$18/1000</f>
        <v>0.41232137090774973</v>
      </c>
      <c r="X10" s="224">
        <f ca="1">IF(100*(Design!$C$28+W10+V10*IF(ISBLANK(Design!$B$40),Constants!$C$6,Design!$B$40)/1000*(1+Constants!$C$31/100*(AI10-25)))/($W$2+W10-V10*AJ10/1000)&gt;Design!$C$35,Design!$C$35,100*(Design!$C$28+W10+V10*IF(ISBLANK(Design!$B$40),Constants!$C$6,Design!$B$40)/1000*(1+Constants!$C$31/100*(AI10-25)))/($W$2+W10-V10*AJ10/1000))</f>
        <v>31.352219379196292</v>
      </c>
      <c r="Y10" s="159">
        <f ca="1">($W$2-V10*IF(ISBLANK(Design!$B$40),Constants!$C$6,Design!$B$40)/1000*(1+Constants!$C$31/100*(AI10-25))-Design!$C$28) / (IF(ISBLANK(Design!$B$39),Design!$B$38,Design!$B$39)/1000000) * X10/100/(IF(ISBLANK(Design!$B$32),Design!$B$31,Design!$B$32)*1000000)</f>
        <v>0.28794598491543044</v>
      </c>
      <c r="Z10" s="225">
        <f>$W$2*Constants!$C$18/1000+IF(ISBLANK(Design!$B$32),Design!$B$31,Design!$B$32)*1000000*Constants!$D$22/1000000000*($W$2-Constants!$C$21)</f>
        <v>5.0874999999999997E-2</v>
      </c>
      <c r="AA10" s="225">
        <f>$W$2*V10*($W$2/(Constants!$C$23*1000000000)*IF(ISBLANK(Design!$B$32),Design!$B$31,Design!$B$32)*1000000/2+$W$2/(Constants!$C$24*1000000000)*IF(ISBLANK(Design!$B$32),Design!$B$31,Design!$B$32)*1000000/2)</f>
        <v>6.7750293772032899E-2</v>
      </c>
      <c r="AB10" s="225">
        <f t="shared" ca="1" si="6"/>
        <v>0.11658781677430949</v>
      </c>
      <c r="AC10" s="225">
        <f>Constants!$D$22/1000000000*Constants!$C$21*IF(ISBLANK(Design!$B$32),Design!$B$31,Design!$B$32)*1000000</f>
        <v>1.0624999999999999E-2</v>
      </c>
      <c r="AD10" s="225">
        <f t="shared" ca="1" si="7"/>
        <v>0.24583811054634239</v>
      </c>
      <c r="AE10" s="225">
        <f t="shared" ca="1" si="8"/>
        <v>0.49533657276852411</v>
      </c>
      <c r="AF10" s="225">
        <f ca="1">V10^2*Design!$B$40/1000*(1+(AI10-25)*(Constants!$C$31/100))</f>
        <v>0.15815498602571537</v>
      </c>
      <c r="AG10" s="225">
        <f>0.5*Snubber!$B$16/1000000000000*$W$2^2*Design!$B$32*1000000</f>
        <v>1.4382000000000001E-2</v>
      </c>
      <c r="AH10" s="226">
        <f ca="1">$A10+AE10*Design!$B$19</f>
        <v>53.234184647805876</v>
      </c>
      <c r="AI10" s="226">
        <f ca="1">AD10*Design!$C$12+$A10</f>
        <v>33.358495758575643</v>
      </c>
      <c r="AJ10" s="226">
        <f ca="1">Constants!$D$19+Constants!$D$19*Constants!$C$20/100*(AI10-25)</f>
        <v>121.15185287831167</v>
      </c>
      <c r="AK10" s="225">
        <f ca="1">(1-Constants!$C$17/1000000000*Design!$B$32*1000000) * ($W$2+W10-V10*AJ10/1000) - (W10+V10*Design!$B$40/1000)</f>
        <v>11.181971268257199</v>
      </c>
      <c r="AL10" s="225">
        <f ca="1">IF(AK10&gt;Design!$C$28,Design!$C$28,AK10)</f>
        <v>3.3223709369024856</v>
      </c>
      <c r="AM10" s="225">
        <f t="shared" ca="1" si="9"/>
        <v>0.9137116693405819</v>
      </c>
      <c r="AN10" s="225">
        <f t="shared" ca="1" si="10"/>
        <v>5.8141491395793494</v>
      </c>
      <c r="AO10" s="268">
        <f t="shared" ca="1" si="11"/>
        <v>86.418986728602277</v>
      </c>
      <c r="AP10" s="237">
        <f t="shared" si="20"/>
        <v>1.75</v>
      </c>
      <c r="AQ10" s="160">
        <f ca="1">FORECAST(AP10, OFFSET(Design!$C$15:$C$17,MATCH(AP10,Design!$B$15:$B$17,1)-1,0,2), OFFSET(Design!$B$15:$B$17,MATCH(AP10,Design!$B$15:$B$17,1)-1,0,2))+(BB10-25)*Design!$B$18/1000</f>
        <v>0.40935997381486872</v>
      </c>
      <c r="AR10" s="238">
        <f ca="1">IF(100*(Design!$C$28+AQ10+AP10*IF(ISBLANK(Design!$B$40),Constants!$C$6,Design!$B$40)/1000*(1+Constants!$C$31/100*(BC10-25)))/($AQ$2+AQ10-AP10*BD10/1000)&gt;Design!$C$35,Design!$C$35,100*(Design!$C$28+AQ10+AP10*IF(ISBLANK(Design!$B$40),Constants!$C$6,Design!$B$40)/1000*(1+Constants!$C$31/100*(BC10-25)))/($AQ$2+AQ10-AP10*BD10/1000))</f>
        <v>23.60326324864263</v>
      </c>
      <c r="AS10" s="161">
        <f ca="1">($AQ$2-AP10*IF(ISBLANK(Design!$B$40),Constants!$C$6,Design!$B$40)/1000*(1+Constants!$C$31/100*(BC10-25))-Design!$C$28) / (IF(ISBLANK(Design!$B$39),Design!$B$38,Design!$B$39)/1000000) * AR10/100/(IF(ISBLANK(Design!$B$32),Design!$B$31,Design!$B$32)*1000000)</f>
        <v>0.3177409657242049</v>
      </c>
      <c r="AT10" s="239">
        <f>$AQ$2*Constants!$C$18/1000+IF(ISBLANK(Design!$B$32),Design!$B$31,Design!$B$32)*1000000*Constants!$D$22/1000000000*($AQ$2-Constants!$C$21)</f>
        <v>7.1374999999999994E-2</v>
      </c>
      <c r="AU10" s="239">
        <f>$AQ$2*AP10*($AQ$2/(Constants!$C$23*1000000000)*IF(ISBLANK(Design!$B$32),Design!$B$31,Design!$B$32)*1000000/2+$AQ$2/(Constants!$C$24*1000000000)*IF(ISBLANK(Design!$B$32),Design!$B$31,Design!$B$32)*1000000/2)</f>
        <v>0.12044496670583626</v>
      </c>
      <c r="AV10" s="239">
        <f t="shared" ca="1" si="12"/>
        <v>8.8635818255990831E-2</v>
      </c>
      <c r="AW10" s="239">
        <f>Constants!$D$22/1000000000*Constants!$C$21*IF(ISBLANK(Design!$B$32),Design!$B$31,Design!$B$32)*1000000</f>
        <v>1.0624999999999999E-2</v>
      </c>
      <c r="AX10" s="239">
        <f t="shared" ca="1" si="13"/>
        <v>0.2910807849618271</v>
      </c>
      <c r="AY10" s="239">
        <f t="shared" ca="1" si="14"/>
        <v>0.5472909077313487</v>
      </c>
      <c r="AZ10" s="239">
        <f ca="1">AP10^2*Design!$B$40/1000*(1+(BC10-25)*(Constants!$C$31/100))</f>
        <v>0.15908067659326053</v>
      </c>
      <c r="BA10" s="239">
        <f>0.5*Snubber!$B$16/1000000000000*$AQ$2^2*Design!$B$32*1000000</f>
        <v>2.5568E-2</v>
      </c>
      <c r="BB10" s="240">
        <f ca="1">$A10+AY10*Design!$B$19</f>
        <v>56.195581740686876</v>
      </c>
      <c r="BC10" s="240">
        <f ca="1">AX10*Design!$C$12+$A10</f>
        <v>34.896746688702123</v>
      </c>
      <c r="BD10" s="240">
        <f ca="1">Constants!$D$19+Constants!$D$19*Constants!$C$20/100*(BC10-25)</f>
        <v>122.28400556288476</v>
      </c>
      <c r="BE10" s="239">
        <f ca="1">(1-Constants!$C$17/1000000000*Design!$B$32*1000000) * ($AQ$2+AQ10-AP10*BD10/1000) - (AQ10+AP10*Design!$B$40/1000)</f>
        <v>15.010200064291558</v>
      </c>
      <c r="BF10" s="239">
        <f ca="1">IF(BE10&gt;Design!$C$28,Design!$C$28,BE10)</f>
        <v>3.3223709369024856</v>
      </c>
      <c r="BG10" s="239">
        <f t="shared" ca="1" si="15"/>
        <v>1.0230203692864364</v>
      </c>
      <c r="BH10" s="239">
        <f t="shared" ca="1" si="16"/>
        <v>5.8141491395793494</v>
      </c>
      <c r="BI10" s="271">
        <f t="shared" ca="1" si="17"/>
        <v>85.037370099426639</v>
      </c>
    </row>
    <row r="11" spans="1:61" s="162" customFormat="1" ht="13.2" x14ac:dyDescent="0.25">
      <c r="A11" s="154">
        <v>25</v>
      </c>
      <c r="B11" s="274">
        <f t="shared" si="18"/>
        <v>2</v>
      </c>
      <c r="C11" s="156">
        <f ca="1">FORECAST(B11, OFFSET(Design!$C$15:$C$17,MATCH(B11,Design!$B$15:$B$17,1)-1,0,2), OFFSET(Design!$B$15:$B$17,MATCH(B11,Design!$B$15:$B$17,1)-1,0,2))+(N11-25)*Design!$B$18/1000</f>
        <v>0.43385725278970139</v>
      </c>
      <c r="D11" s="215">
        <f ca="1">IF(100*(Design!$C$28+C11+B11*IF(ISBLANK(Design!$B$40),Constants!$C$6,Design!$B$40)/1000*(1+Constants!$C$31/100*(O11-25)))/($C$2+C11-B11*P11/1000)&gt;Design!$C$35,Design!$C$35,100*(Design!$C$28+C11+B11*IF(ISBLANK(Design!$B$40),Constants!$C$6,Design!$B$40)/1000*(1+Constants!$C$31/100*(O11-25)))/($C$2+C11-B11*P11/1000))</f>
        <v>47.1433651332447</v>
      </c>
      <c r="E11" s="157">
        <f ca="1">IF(($C$2-B11*IF(ISBLANK(Design!$B$40),Constants!$C$6,Design!$B$40)/1000*(1+Constants!$C$31/100*(O11-25))-Design!$C$28) / (IF(ISBLANK(Design!$B$39),Design!$B$38,Design!$B$39)/1000000) * D11/100/(IF(ISBLANK(Design!$B$32),Design!$B$31,Design!$B$32)*1000000)&lt;0,0,($C$2-B11*IF(ISBLANK(Design!$B$40),Constants!$C$6,Design!$B$40)/1000*(1+Constants!$C$31/100*(O11-25))-Design!$C$28) / (IF(ISBLANK(Design!$B$39),Design!$B$38,Design!$B$39)/1000000) * D11/100/(IF(ISBLANK(Design!$B$32),Design!$B$31,Design!$B$32)*1000000))</f>
        <v>0.2306004702641738</v>
      </c>
      <c r="F11" s="207">
        <f>$C$2*Constants!$C$18/1000+IF(ISBLANK(Design!$B$32),Design!$B$31,Design!$B$32)*1000000*Constants!$D$22/1000000000*($C$2-Constants!$C$21)</f>
        <v>3.0374999999999999E-2</v>
      </c>
      <c r="G11" s="207">
        <f>$C$2*B11*($C$2/(Constants!$C$23*1000000000)*IF(ISBLANK(Design!$B$32),Design!$B$31,Design!$B$32)*1000000/2+$C$2/(Constants!$C$24*1000000000)*IF(ISBLANK(Design!$B$32),Design!$B$31,Design!$B$32)*1000000/2)</f>
        <v>3.4412847630238934E-2</v>
      </c>
      <c r="H11" s="207">
        <f t="shared" ref="H11:H13" ca="1" si="21">IF($D$78,1,D11/100*(B11^2+E11^2/12)*P11/1000)</f>
        <v>0.23160345287103393</v>
      </c>
      <c r="I11" s="207">
        <f>Constants!$D$22/1000000000*Constants!$C$21*IF(ISBLANK(Design!$B$32),Design!$B$31,Design!$B$32)*1000000</f>
        <v>1.0624999999999999E-2</v>
      </c>
      <c r="J11" s="207">
        <f t="shared" ref="J11:J13" ca="1" si="22">SUM(F11:I11)</f>
        <v>0.30701630050127282</v>
      </c>
      <c r="K11" s="207">
        <f t="shared" ref="K11:K13" ca="1" si="23">B11*C11*(1-D11/100)</f>
        <v>0.45864468789997592</v>
      </c>
      <c r="L11" s="207">
        <f ca="1">B11^2*Design!$B$40/1000*(1+(O11-25)*(Constants!$C$31/100))</f>
        <v>0.20820470361459603</v>
      </c>
      <c r="M11" s="207">
        <f>0.5*Snubber!$B$16/1000000000000*$C$2^2*Design!$B$32*1000000</f>
        <v>6.3920000000000001E-3</v>
      </c>
      <c r="N11" s="208">
        <f ca="1">$A11+K11*Design!$B$19</f>
        <v>51.142747210298623</v>
      </c>
      <c r="O11" s="208">
        <f ca="1">J11*Design!$C$12+A11</f>
        <v>35.438554217043276</v>
      </c>
      <c r="P11" s="208">
        <f ca="1">Constants!$D$19+Constants!$D$19*Constants!$C$20/100*(O11-25)</f>
        <v>122.68277590374385</v>
      </c>
      <c r="Q11" s="207">
        <f ca="1">(1-Constants!$C$17/1000000000*Design!$B$32*1000000) * ($C$2+C11-B11*P11/1000) - (C11+B11*Design!$B$40/1000)</f>
        <v>7.3066235509007686</v>
      </c>
      <c r="R11" s="207">
        <f ca="1">IF(Q11&gt;Design!$C$28,Design!$C$28,Q11)</f>
        <v>3.3223709369024856</v>
      </c>
      <c r="S11" s="207">
        <f t="shared" ref="S11:S13" ca="1" si="24">SUM(J11:M11)</f>
        <v>0.98025769201584478</v>
      </c>
      <c r="T11" s="207">
        <f t="shared" ref="T11:T13" ca="1" si="25">R11*B11</f>
        <v>6.6447418738049713</v>
      </c>
      <c r="U11" s="264">
        <f t="shared" ref="U11:U13" ca="1" si="26">100*T11/(T11+S11)</f>
        <v>87.144160684154457</v>
      </c>
      <c r="V11" s="223">
        <f t="shared" si="19"/>
        <v>2</v>
      </c>
      <c r="W11" s="158">
        <f ca="1">FORECAST(V11, OFFSET(Design!$C$15:$C$17,MATCH(V11,Design!$B$15:$B$17,1)-1,0,2), OFFSET(Design!$B$15:$B$17,MATCH(V11,Design!$B$15:$B$17,1)-1,0,2))+(AH11-25)*Design!$B$18/1000</f>
        <v>0.42673867520495917</v>
      </c>
      <c r="X11" s="224">
        <f ca="1">IF(100*(Design!$C$28+W11+V11*IF(ISBLANK(Design!$B$40),Constants!$C$6,Design!$B$40)/1000*(1+Constants!$C$31/100*(AI11-25)))/($W$2+W11-V11*AJ11/1000)&gt;Design!$C$35,Design!$C$35,100*(Design!$C$28+W11+V11*IF(ISBLANK(Design!$B$40),Constants!$C$6,Design!$B$40)/1000*(1+Constants!$C$31/100*(AI11-25)))/($W$2+W11-V11*AJ11/1000))</f>
        <v>31.628881109988551</v>
      </c>
      <c r="Y11" s="159">
        <f ca="1">($W$2-V11*IF(ISBLANK(Design!$B$40),Constants!$C$6,Design!$B$40)/1000*(1+Constants!$C$31/100*(AI11-25))-Design!$C$28) / (IF(ISBLANK(Design!$B$39),Design!$B$38,Design!$B$39)/1000000) * X11/100/(IF(ISBLANK(Design!$B$32),Design!$B$31,Design!$B$32)*1000000)</f>
        <v>0.29002840394323526</v>
      </c>
      <c r="Z11" s="225">
        <f>$W$2*Constants!$C$18/1000+IF(ISBLANK(Design!$B$32),Design!$B$31,Design!$B$32)*1000000*Constants!$D$22/1000000000*($W$2-Constants!$C$21)</f>
        <v>5.0874999999999997E-2</v>
      </c>
      <c r="AA11" s="225">
        <f>$W$2*V11*($W$2/(Constants!$C$23*1000000000)*IF(ISBLANK(Design!$B$32),Design!$B$31,Design!$B$32)*1000000/2+$W$2/(Constants!$C$24*1000000000)*IF(ISBLANK(Design!$B$32),Design!$B$31,Design!$B$32)*1000000/2)</f>
        <v>7.7428907168037603E-2</v>
      </c>
      <c r="AB11" s="225">
        <f t="shared" ref="AB11:AB13" ca="1" si="27">IF($D$78,1,X11/100*(V11^2+Y11^2/12)*AJ11/1000)</f>
        <v>0.15507197590222899</v>
      </c>
      <c r="AC11" s="225">
        <f>Constants!$D$22/1000000000*Constants!$C$21*IF(ISBLANK(Design!$B$32),Design!$B$31,Design!$B$32)*1000000</f>
        <v>1.0624999999999999E-2</v>
      </c>
      <c r="AD11" s="225">
        <f t="shared" ref="AD11:AD13" ca="1" si="28">SUM(Z11:AC11)</f>
        <v>0.29400088307026662</v>
      </c>
      <c r="AE11" s="225">
        <f t="shared" ref="AE11:AE13" ca="1" si="29">V11*W11*(1-X11/100)</f>
        <v>0.58353201394808485</v>
      </c>
      <c r="AF11" s="225">
        <f ca="1">V11^2*Design!$B$40/1000*(1+(AI11-25)*(Constants!$C$31/100))</f>
        <v>0.20785687959916982</v>
      </c>
      <c r="AG11" s="225">
        <f>0.5*Snubber!$B$16/1000000000000*$W$2^2*Design!$B$32*1000000</f>
        <v>1.4382000000000001E-2</v>
      </c>
      <c r="AH11" s="226">
        <f ca="1">$A11+AE11*Design!$B$19</f>
        <v>58.261324795040835</v>
      </c>
      <c r="AI11" s="226">
        <f ca="1">AD11*Design!$C$12+$A11</f>
        <v>34.996030024389064</v>
      </c>
      <c r="AJ11" s="226">
        <f ca="1">Constants!$D$19+Constants!$D$19*Constants!$C$20/100*(AI11-25)</f>
        <v>122.35707809795035</v>
      </c>
      <c r="AK11" s="225">
        <f ca="1">(1-Constants!$C$17/1000000000*Design!$B$32*1000000) * ($W$2+W11-V11*AJ11/1000) - (W11+V11*Design!$B$40/1000)</f>
        <v>11.137549801746214</v>
      </c>
      <c r="AL11" s="225">
        <f ca="1">IF(AK11&gt;Design!$C$28,Design!$C$28,AK11)</f>
        <v>3.3223709369024856</v>
      </c>
      <c r="AM11" s="225">
        <f t="shared" ref="AM11:AM13" ca="1" si="30">SUM(AD11:AG11)</f>
        <v>1.0997717766175212</v>
      </c>
      <c r="AN11" s="225">
        <f t="shared" ref="AN11:AN13" ca="1" si="31">AL11*V11</f>
        <v>6.6447418738049713</v>
      </c>
      <c r="AO11" s="268">
        <f t="shared" ref="AO11:AO13" ca="1" si="32">100*AN11/(AN11+AM11)</f>
        <v>85.799343557777519</v>
      </c>
      <c r="AP11" s="237">
        <f t="shared" si="20"/>
        <v>2</v>
      </c>
      <c r="AQ11" s="160">
        <f ca="1">FORECAST(AP11, OFFSET(Design!$C$15:$C$17,MATCH(AP11,Design!$B$15:$B$17,1)-1,0,2), OFFSET(Design!$B$15:$B$17,MATCH(AP11,Design!$B$15:$B$17,1)-1,0,2))+(BB11-25)*Design!$B$18/1000</f>
        <v>0.42323486280907269</v>
      </c>
      <c r="AR11" s="238">
        <f ca="1">IF(100*(Design!$C$28+AQ11+AP11*IF(ISBLANK(Design!$B$40),Constants!$C$6,Design!$B$40)/1000*(1+Constants!$C$31/100*(BC11-25)))/($AQ$2+AQ11-AP11*BD11/1000)&gt;Design!$C$35,Design!$C$35,100*(Design!$C$28+AQ11+AP11*IF(ISBLANK(Design!$B$40),Constants!$C$6,Design!$B$40)/1000*(1+Constants!$C$31/100*(BC11-25)))/($AQ$2+AQ11-AP11*BD11/1000))</f>
        <v>23.800888875576362</v>
      </c>
      <c r="AS11" s="161">
        <f ca="1">($AQ$2-AP11*IF(ISBLANK(Design!$B$40),Constants!$C$6,Design!$B$40)/1000*(1+Constants!$C$31/100*(BC11-25))-Design!$C$28) / (IF(ISBLANK(Design!$B$39),Design!$B$38,Design!$B$39)/1000000) * AR11/100/(IF(ISBLANK(Design!$B$32),Design!$B$31,Design!$B$32)*1000000)</f>
        <v>0.32005501735368785</v>
      </c>
      <c r="AT11" s="239">
        <f>$AQ$2*Constants!$C$18/1000+IF(ISBLANK(Design!$B$32),Design!$B$31,Design!$B$32)*1000000*Constants!$D$22/1000000000*($AQ$2-Constants!$C$21)</f>
        <v>7.1374999999999994E-2</v>
      </c>
      <c r="AU11" s="239">
        <f>$AQ$2*AP11*($AQ$2/(Constants!$C$23*1000000000)*IF(ISBLANK(Design!$B$32),Design!$B$31,Design!$B$32)*1000000/2+$AQ$2/(Constants!$C$24*1000000000)*IF(ISBLANK(Design!$B$32),Design!$B$31,Design!$B$32)*1000000/2)</f>
        <v>0.13765139052095574</v>
      </c>
      <c r="AV11" s="239">
        <f t="shared" ref="AV11:AV13" ca="1" si="33">IF($D$78,1,AR11/100*(AP11^2+AS11^2/12)*BD11/1000)</f>
        <v>0.11777361522145474</v>
      </c>
      <c r="AW11" s="239">
        <f>Constants!$D$22/1000000000*Constants!$C$21*IF(ISBLANK(Design!$B$32),Design!$B$31,Design!$B$32)*1000000</f>
        <v>1.0624999999999999E-2</v>
      </c>
      <c r="AX11" s="239">
        <f t="shared" ref="AX11:AX13" ca="1" si="34">SUM(AT11:AW11)</f>
        <v>0.33742500574241047</v>
      </c>
      <c r="AY11" s="239">
        <f t="shared" ref="AY11:AY13" ca="1" si="35">AP11*AQ11*(1-AR11/100)</f>
        <v>0.6450024068583744</v>
      </c>
      <c r="AZ11" s="239">
        <f ca="1">AP11^2*Design!$B$40/1000*(1+(BC11-25)*(Constants!$C$31/100))</f>
        <v>0.20901734585346021</v>
      </c>
      <c r="BA11" s="239">
        <f>0.5*Snubber!$B$16/1000000000000*$AQ$2^2*Design!$B$32*1000000</f>
        <v>2.5568E-2</v>
      </c>
      <c r="BB11" s="240">
        <f ca="1">$A11+AY11*Design!$B$19</f>
        <v>61.765137190927341</v>
      </c>
      <c r="BC11" s="240">
        <f ca="1">AX11*Design!$C$12+$A11</f>
        <v>36.472450195241954</v>
      </c>
      <c r="BD11" s="240">
        <f ca="1">Constants!$D$19+Constants!$D$19*Constants!$C$20/100*(BC11-25)</f>
        <v>123.44372334369808</v>
      </c>
      <c r="BE11" s="239">
        <f ca="1">(1-Constants!$C$17/1000000000*Design!$B$32*1000000) * ($AQ$2+AQ11-AP11*BD11/1000) - (AQ11+AP11*Design!$B$40/1000)</f>
        <v>14.965617788127432</v>
      </c>
      <c r="BF11" s="239">
        <f ca="1">IF(BE11&gt;Design!$C$28,Design!$C$28,BE11)</f>
        <v>3.3223709369024856</v>
      </c>
      <c r="BG11" s="239">
        <f t="shared" ref="BG11:BG13" ca="1" si="36">SUM(AX11:BA11)</f>
        <v>1.2170127584542449</v>
      </c>
      <c r="BH11" s="239">
        <f t="shared" ref="BH11:BH13" ca="1" si="37">BF11*AP11</f>
        <v>6.6447418738049713</v>
      </c>
      <c r="BI11" s="271">
        <f t="shared" ref="BI11:BI13" ca="1" si="38">100*BH11/(BH11+BG11)</f>
        <v>84.519832844178779</v>
      </c>
    </row>
    <row r="12" spans="1:61" s="162" customFormat="1" ht="13.2" x14ac:dyDescent="0.25">
      <c r="A12" s="154">
        <v>25</v>
      </c>
      <c r="B12" s="274">
        <f t="shared" si="18"/>
        <v>2.25</v>
      </c>
      <c r="C12" s="156">
        <f ca="1">FORECAST(B12, OFFSET(Design!$C$15:$C$17,MATCH(B12,Design!$B$15:$B$17,1)-1,0,2), OFFSET(Design!$B$15:$B$17,MATCH(B12,Design!$B$15:$B$17,1)-1,0,2))+(N12-25)*Design!$B$18/1000</f>
        <v>0.43685641384058566</v>
      </c>
      <c r="D12" s="215">
        <f ca="1">IF(100*(Design!$C$28+C12+B12*IF(ISBLANK(Design!$B$40),Constants!$C$6,Design!$B$40)/1000*(1+Constants!$C$31/100*(O12-25)))/($C$2+C12-B12*P12/1000)&gt;Design!$C$35,Design!$C$35,100*(Design!$C$28+C12+B12*IF(ISBLANK(Design!$B$40),Constants!$C$6,Design!$B$40)/1000*(1+Constants!$C$31/100*(O12-25)))/($C$2+C12-B12*P12/1000))</f>
        <v>47.536593634036471</v>
      </c>
      <c r="E12" s="157">
        <f ca="1">IF(($C$2-B12*IF(ISBLANK(Design!$B$40),Constants!$C$6,Design!$B$40)/1000*(1+Constants!$C$31/100*(O12-25))-Design!$C$28) / (IF(ISBLANK(Design!$B$39),Design!$B$38,Design!$B$39)/1000000) * D12/100/(IF(ISBLANK(Design!$B$32),Design!$B$31,Design!$B$32)*1000000)&lt;0,0,($C$2-B12*IF(ISBLANK(Design!$B$40),Constants!$C$6,Design!$B$40)/1000*(1+Constants!$C$31/100*(O12-25))-Design!$C$28) / (IF(ISBLANK(Design!$B$39),Design!$B$38,Design!$B$39)/1000000) * D12/100/(IF(ISBLANK(Design!$B$32),Design!$B$31,Design!$B$32)*1000000))</f>
        <v>0.2318068837051934</v>
      </c>
      <c r="F12" s="207">
        <f>$C$2*Constants!$C$18/1000+IF(ISBLANK(Design!$B$32),Design!$B$31,Design!$B$32)*1000000*Constants!$D$22/1000000000*($C$2-Constants!$C$21)</f>
        <v>3.0374999999999999E-2</v>
      </c>
      <c r="G12" s="207">
        <f>$C$2*B12*($C$2/(Constants!$C$23*1000000000)*IF(ISBLANK(Design!$B$32),Design!$B$31,Design!$B$32)*1000000/2+$C$2/(Constants!$C$24*1000000000)*IF(ISBLANK(Design!$B$32),Design!$B$31,Design!$B$32)*1000000/2)</f>
        <v>3.8714453584018801E-2</v>
      </c>
      <c r="H12" s="207">
        <f t="shared" ca="1" si="21"/>
        <v>0.29987656655766665</v>
      </c>
      <c r="I12" s="207">
        <f>Constants!$D$22/1000000000*Constants!$C$21*IF(ISBLANK(Design!$B$32),Design!$B$31,Design!$B$32)*1000000</f>
        <v>1.0624999999999999E-2</v>
      </c>
      <c r="J12" s="207">
        <f t="shared" ca="1" si="22"/>
        <v>0.37959102014168544</v>
      </c>
      <c r="K12" s="207">
        <f t="shared" ca="1" si="23"/>
        <v>0.51567695016516402</v>
      </c>
      <c r="L12" s="207">
        <f ca="1">B12^2*Design!$B$40/1000*(1+(O12-25)*(Constants!$C$31/100))</f>
        <v>0.26596374100318093</v>
      </c>
      <c r="M12" s="207">
        <f>0.5*Snubber!$B$16/1000000000000*$C$2^2*Design!$B$32*1000000</f>
        <v>6.3920000000000001E-3</v>
      </c>
      <c r="N12" s="208">
        <f ca="1">$A12+K12*Design!$B$19</f>
        <v>54.393586159414347</v>
      </c>
      <c r="O12" s="208">
        <f ca="1">J12*Design!$C$12+A12</f>
        <v>37.906094684817305</v>
      </c>
      <c r="P12" s="208">
        <f ca="1">Constants!$D$19+Constants!$D$19*Constants!$C$20/100*(O12-25)</f>
        <v>124.49888568802554</v>
      </c>
      <c r="Q12" s="207">
        <f ca="1">(1-Constants!$C$17/1000000000*Design!$B$32*1000000) * ($C$2+C12-B12*P12/1000) - (C12+B12*Design!$B$40/1000)</f>
        <v>7.2607163155576355</v>
      </c>
      <c r="R12" s="207">
        <f ca="1">IF(Q12&gt;Design!$C$28,Design!$C$28,Q12)</f>
        <v>3.3223709369024856</v>
      </c>
      <c r="S12" s="207">
        <f t="shared" ca="1" si="24"/>
        <v>1.1676237113100303</v>
      </c>
      <c r="T12" s="207">
        <f t="shared" ca="1" si="25"/>
        <v>7.4753346080305931</v>
      </c>
      <c r="U12" s="264">
        <f t="shared" ca="1" si="26"/>
        <v>86.490462314307351</v>
      </c>
      <c r="V12" s="223">
        <f t="shared" si="19"/>
        <v>2.25</v>
      </c>
      <c r="W12" s="158">
        <f ca="1">FORECAST(V12, OFFSET(Design!$C$15:$C$17,MATCH(V12,Design!$B$15:$B$17,1)-1,0,2), OFFSET(Design!$B$15:$B$17,MATCH(V12,Design!$B$15:$B$17,1)-1,0,2))+(AH12-25)*Design!$B$18/1000</f>
        <v>0.42876984337591412</v>
      </c>
      <c r="X12" s="224">
        <f ca="1">IF(100*(Design!$C$28+W12+V12*IF(ISBLANK(Design!$B$40),Constants!$C$6,Design!$B$40)/1000*(1+Constants!$C$31/100*(AI12-25)))/($W$2+W12-V12*AJ12/1000)&gt;Design!$C$35,Design!$C$35,100*(Design!$C$28+W12+V12*IF(ISBLANK(Design!$B$40),Constants!$C$6,Design!$B$40)/1000*(1+Constants!$C$31/100*(AI12-25)))/($W$2+W12-V12*AJ12/1000))</f>
        <v>31.841536629751097</v>
      </c>
      <c r="Y12" s="159">
        <f ca="1">($W$2-V12*IF(ISBLANK(Design!$B$40),Constants!$C$6,Design!$B$40)/1000*(1+Constants!$C$31/100*(AI12-25))-Design!$C$28) / (IF(ISBLANK(Design!$B$39),Design!$B$38,Design!$B$39)/1000000) * X12/100/(IF(ISBLANK(Design!$B$32),Design!$B$31,Design!$B$32)*1000000)</f>
        <v>0.29150818202732681</v>
      </c>
      <c r="Z12" s="225">
        <f>$W$2*Constants!$C$18/1000+IF(ISBLANK(Design!$B$32),Design!$B$31,Design!$B$32)*1000000*Constants!$D$22/1000000000*($W$2-Constants!$C$21)</f>
        <v>5.0874999999999997E-2</v>
      </c>
      <c r="AA12" s="225">
        <f>$W$2*V12*($W$2/(Constants!$C$23*1000000000)*IF(ISBLANK(Design!$B$32),Design!$B$31,Design!$B$32)*1000000/2+$W$2/(Constants!$C$24*1000000000)*IF(ISBLANK(Design!$B$32),Design!$B$31,Design!$B$32)*1000000/2)</f>
        <v>8.7107520564042293E-2</v>
      </c>
      <c r="AB12" s="225">
        <f t="shared" ca="1" si="27"/>
        <v>0.19970675262284543</v>
      </c>
      <c r="AC12" s="225">
        <f>Constants!$D$22/1000000000*Constants!$C$21*IF(ISBLANK(Design!$B$32),Design!$B$31,Design!$B$32)*1000000</f>
        <v>1.0624999999999999E-2</v>
      </c>
      <c r="AD12" s="225">
        <f t="shared" ca="1" si="28"/>
        <v>0.34831427318688768</v>
      </c>
      <c r="AE12" s="225">
        <f t="shared" ca="1" si="29"/>
        <v>0.65754660744010351</v>
      </c>
      <c r="AF12" s="225">
        <f ca="1">V12^2*Design!$B$40/1000*(1+(AI12-25)*(Constants!$C$31/100))</f>
        <v>0.26490588127450559</v>
      </c>
      <c r="AG12" s="225">
        <f>0.5*Snubber!$B$16/1000000000000*$W$2^2*Design!$B$32*1000000</f>
        <v>1.4382000000000001E-2</v>
      </c>
      <c r="AH12" s="226">
        <f ca="1">$A12+AE12*Design!$B$19</f>
        <v>62.4801566240859</v>
      </c>
      <c r="AI12" s="226">
        <f ca="1">AD12*Design!$C$12+$A12</f>
        <v>36.842685288354183</v>
      </c>
      <c r="AJ12" s="226">
        <f ca="1">Constants!$D$19+Constants!$D$19*Constants!$C$20/100*(AI12-25)</f>
        <v>123.71621637222867</v>
      </c>
      <c r="AK12" s="225">
        <f ca="1">(1-Constants!$C$17/1000000000*Design!$B$32*1000000) * ($W$2+W12-V12*AJ12/1000) - (W12+V12*Design!$B$40/1000)</f>
        <v>11.092746158009604</v>
      </c>
      <c r="AL12" s="225">
        <f ca="1">IF(AK12&gt;Design!$C$28,Design!$C$28,AK12)</f>
        <v>3.3223709369024856</v>
      </c>
      <c r="AM12" s="225">
        <f t="shared" ca="1" si="30"/>
        <v>1.2851487619014965</v>
      </c>
      <c r="AN12" s="225">
        <f t="shared" ca="1" si="31"/>
        <v>7.4753346080305931</v>
      </c>
      <c r="AO12" s="268">
        <f t="shared" ca="1" si="32"/>
        <v>85.330161503274923</v>
      </c>
      <c r="AP12" s="237">
        <f t="shared" si="20"/>
        <v>2.25</v>
      </c>
      <c r="AQ12" s="160">
        <f ca="1">FORECAST(AP12, OFFSET(Design!$C$15:$C$17,MATCH(AP12,Design!$B$15:$B$17,1)-1,0,2), OFFSET(Design!$B$15:$B$17,MATCH(AP12,Design!$B$15:$B$17,1)-1,0,2))+(BB12-25)*Design!$B$18/1000</f>
        <v>0.42481282608364401</v>
      </c>
      <c r="AR12" s="238">
        <f ca="1">IF(100*(Design!$C$28+AQ12+AP12*IF(ISBLANK(Design!$B$40),Constants!$C$6,Design!$B$40)/1000*(1+Constants!$C$31/100*(BC12-25)))/($AQ$2+AQ12-AP12*BD12/1000)&gt;Design!$C$35,Design!$C$35,100*(Design!$C$28+AQ12+AP12*IF(ISBLANK(Design!$B$40),Constants!$C$6,Design!$B$40)/1000*(1+Constants!$C$31/100*(BC12-25)))/($AQ$2+AQ12-AP12*BD12/1000))</f>
        <v>23.943710546410045</v>
      </c>
      <c r="AS12" s="161">
        <f ca="1">($AQ$2-AP12*IF(ISBLANK(Design!$B$40),Constants!$C$6,Design!$B$40)/1000*(1+Constants!$C$31/100*(BC12-25))-Design!$C$28) / (IF(ISBLANK(Design!$B$39),Design!$B$38,Design!$B$39)/1000000) * AR12/100/(IF(ISBLANK(Design!$B$32),Design!$B$31,Design!$B$32)*1000000)</f>
        <v>0.32162145103071721</v>
      </c>
      <c r="AT12" s="239">
        <f>$AQ$2*Constants!$C$18/1000+IF(ISBLANK(Design!$B$32),Design!$B$31,Design!$B$32)*1000000*Constants!$D$22/1000000000*($AQ$2-Constants!$C$21)</f>
        <v>7.1374999999999994E-2</v>
      </c>
      <c r="AU12" s="239">
        <f>$AQ$2*AP12*($AQ$2/(Constants!$C$23*1000000000)*IF(ISBLANK(Design!$B$32),Design!$B$31,Design!$B$32)*1000000/2+$AQ$2/(Constants!$C$24*1000000000)*IF(ISBLANK(Design!$B$32),Design!$B$31,Design!$B$32)*1000000/2)</f>
        <v>0.15485781433607521</v>
      </c>
      <c r="AV12" s="239">
        <f t="shared" ca="1" si="33"/>
        <v>0.15143265594188002</v>
      </c>
      <c r="AW12" s="239">
        <f>Constants!$D$22/1000000000*Constants!$C$21*IF(ISBLANK(Design!$B$32),Design!$B$31,Design!$B$32)*1000000</f>
        <v>1.0624999999999999E-2</v>
      </c>
      <c r="AX12" s="239">
        <f t="shared" ca="1" si="34"/>
        <v>0.38829047027795521</v>
      </c>
      <c r="AY12" s="239">
        <f t="shared" ca="1" si="35"/>
        <v>0.72696796344484194</v>
      </c>
      <c r="AZ12" s="239">
        <f ca="1">AP12^2*Design!$B$40/1000*(1+(BC12-25)*(Constants!$C$31/100))</f>
        <v>0.26625797869913054</v>
      </c>
      <c r="BA12" s="239">
        <f>0.5*Snubber!$B$16/1000000000000*$AQ$2^2*Design!$B$32*1000000</f>
        <v>2.5568E-2</v>
      </c>
      <c r="BB12" s="240">
        <f ca="1">$A12+AY12*Design!$B$19</f>
        <v>66.437173916355988</v>
      </c>
      <c r="BC12" s="240">
        <f ca="1">AX12*Design!$C$12+$A12</f>
        <v>38.201875989450478</v>
      </c>
      <c r="BD12" s="240">
        <f ca="1">Constants!$D$19+Constants!$D$19*Constants!$C$20/100*(BC12-25)</f>
        <v>124.71658072823556</v>
      </c>
      <c r="BE12" s="239">
        <f ca="1">(1-Constants!$C$17/1000000000*Design!$B$32*1000000) * ($AQ$2+AQ12-AP12*BD12/1000) - (AQ12+AP12*Design!$B$40/1000)</f>
        <v>14.920759171285052</v>
      </c>
      <c r="BF12" s="239">
        <f ca="1">IF(BE12&gt;Design!$C$28,Design!$C$28,BE12)</f>
        <v>3.3223709369024856</v>
      </c>
      <c r="BG12" s="239">
        <f t="shared" ca="1" si="36"/>
        <v>1.4070844124219277</v>
      </c>
      <c r="BH12" s="239">
        <f t="shared" ca="1" si="37"/>
        <v>7.4753346080305931</v>
      </c>
      <c r="BI12" s="271">
        <f t="shared" ca="1" si="38"/>
        <v>84.158770159547799</v>
      </c>
    </row>
    <row r="13" spans="1:61" s="162" customFormat="1" ht="13.8" thickBot="1" x14ac:dyDescent="0.3">
      <c r="A13" s="154">
        <v>25</v>
      </c>
      <c r="B13" s="274">
        <f t="shared" si="18"/>
        <v>2.5</v>
      </c>
      <c r="C13" s="156">
        <f ca="1">FORECAST(B13, OFFSET(Design!$C$15:$C$17,MATCH(B13,Design!$B$15:$B$17,1)-1,0,2), OFFSET(Design!$B$15:$B$17,MATCH(B13,Design!$B$15:$B$17,1)-1,0,2))+(N13-25)*Design!$B$18/1000</f>
        <v>0.43987281264772138</v>
      </c>
      <c r="D13" s="215">
        <f ca="1">IF(100*(Design!$C$28+C13+B13*IF(ISBLANK(Design!$B$40),Constants!$C$6,Design!$B$40)/1000*(1+Constants!$C$31/100*(O13-25)))/($C$2+C13-B13*P13/1000)&gt;Design!$C$35,Design!$C$35,100*(Design!$C$28+C13+B13*IF(ISBLANK(Design!$B$40),Constants!$C$6,Design!$B$40)/1000*(1+Constants!$C$31/100*(O13-25)))/($C$2+C13-B13*P13/1000))</f>
        <v>47.947972305127934</v>
      </c>
      <c r="E13" s="157">
        <f ca="1">IF(($C$2-B13*IF(ISBLANK(Design!$B$40),Constants!$C$6,Design!$B$40)/1000*(1+Constants!$C$31/100*(O13-25))-Design!$C$28) / (IF(ISBLANK(Design!$B$39),Design!$B$38,Design!$B$39)/1000000) * D13/100/(IF(ISBLANK(Design!$B$32),Design!$B$31,Design!$B$32)*1000000)&lt;0,0,($C$2-B13*IF(ISBLANK(Design!$B$40),Constants!$C$6,Design!$B$40)/1000*(1+Constants!$C$31/100*(O13-25))-Design!$C$28) / (IF(ISBLANK(Design!$B$39),Design!$B$38,Design!$B$39)/1000000) * D13/100/(IF(ISBLANK(Design!$B$32),Design!$B$31,Design!$B$32)*1000000))</f>
        <v>0.23306736495505706</v>
      </c>
      <c r="F13" s="207">
        <f>$C$2*Constants!$C$18/1000+IF(ISBLANK(Design!$B$32),Design!$B$31,Design!$B$32)*1000000*Constants!$D$22/1000000000*($C$2-Constants!$C$21)</f>
        <v>3.0374999999999999E-2</v>
      </c>
      <c r="G13" s="207">
        <f>$C$2*B13*($C$2/(Constants!$C$23*1000000000)*IF(ISBLANK(Design!$B$32),Design!$B$31,Design!$B$32)*1000000/2+$C$2/(Constants!$C$24*1000000000)*IF(ISBLANK(Design!$B$32),Design!$B$31,Design!$B$32)*1000000/2)</f>
        <v>4.3016059537798669E-2</v>
      </c>
      <c r="H13" s="207">
        <f t="shared" ca="1" si="21"/>
        <v>0.37967318664935573</v>
      </c>
      <c r="I13" s="207">
        <f>Constants!$D$22/1000000000*Constants!$C$21*IF(ISBLANK(Design!$B$32),Design!$B$31,Design!$B$32)*1000000</f>
        <v>1.0624999999999999E-2</v>
      </c>
      <c r="J13" s="207">
        <f t="shared" ca="1" si="22"/>
        <v>0.4636892461871544</v>
      </c>
      <c r="K13" s="207">
        <f t="shared" ca="1" si="23"/>
        <v>0.57240679565401165</v>
      </c>
      <c r="L13" s="207">
        <f ca="1">B13^2*Design!$B$40/1000*(1+(O13-25)*(Constants!$C$31/100))</f>
        <v>0.33186192408610238</v>
      </c>
      <c r="M13" s="207">
        <f>0.5*Snubber!$B$16/1000000000000*$C$2^2*Design!$B$32*1000000</f>
        <v>6.3920000000000001E-3</v>
      </c>
      <c r="N13" s="208">
        <f ca="1">$A13+K13*Design!$B$19</f>
        <v>57.627187352278661</v>
      </c>
      <c r="O13" s="208">
        <f ca="1">J13*Design!$C$12+A13</f>
        <v>40.765434370363252</v>
      </c>
      <c r="P13" s="208">
        <f ca="1">Constants!$D$19+Constants!$D$19*Constants!$C$20/100*(O13-25)</f>
        <v>126.60335969658735</v>
      </c>
      <c r="Q13" s="207">
        <f ca="1">(1-Constants!$C$17/1000000000*Design!$B$32*1000000) * ($C$2+C13-B13*P13/1000) - (C13+B13*Design!$B$40/1000)</f>
        <v>7.2132486131887656</v>
      </c>
      <c r="R13" s="207">
        <f ca="1">IF(Q13&gt;Design!$C$28,Design!$C$28,Q13)</f>
        <v>3.3223709369024856</v>
      </c>
      <c r="S13" s="209">
        <f t="shared" ca="1" si="24"/>
        <v>1.3743499659272684</v>
      </c>
      <c r="T13" s="207">
        <f t="shared" ca="1" si="25"/>
        <v>8.305927342256215</v>
      </c>
      <c r="U13" s="264">
        <f t="shared" ca="1" si="26"/>
        <v>85.802576494730943</v>
      </c>
      <c r="V13" s="223">
        <f t="shared" si="19"/>
        <v>2.5</v>
      </c>
      <c r="W13" s="158">
        <f ca="1">FORECAST(V13, OFFSET(Design!$C$15:$C$17,MATCH(V13,Design!$B$15:$B$17,1)-1,0,2), OFFSET(Design!$B$15:$B$17,MATCH(V13,Design!$B$15:$B$17,1)-1,0,2))+(AH13-25)*Design!$B$18/1000</f>
        <v>0.43079335682566783</v>
      </c>
      <c r="X13" s="224">
        <f ca="1">IF(100*(Design!$C$28+W13+V13*IF(ISBLANK(Design!$B$40),Constants!$C$6,Design!$B$40)/1000*(1+Constants!$C$31/100*(AI13-25)))/($W$2+W13-V13*AJ13/1000)&gt;Design!$C$35,Design!$C$35,100*(Design!$C$28+W13+V13*IF(ISBLANK(Design!$B$40),Constants!$C$6,Design!$B$40)/1000*(1+Constants!$C$31/100*(AI13-25)))/($W$2+W13-V13*AJ13/1000))</f>
        <v>32.060652032512145</v>
      </c>
      <c r="Y13" s="159">
        <f ca="1">($W$2-V13*IF(ISBLANK(Design!$B$40),Constants!$C$6,Design!$B$40)/1000*(1+Constants!$C$31/100*(AI13-25))-Design!$C$28) / (IF(ISBLANK(Design!$B$39),Design!$B$38,Design!$B$39)/1000000) * X13/100/(IF(ISBLANK(Design!$B$32),Design!$B$31,Design!$B$32)*1000000)</f>
        <v>0.29303054092585823</v>
      </c>
      <c r="Z13" s="225">
        <f>$W$2*Constants!$C$18/1000+IF(ISBLANK(Design!$B$32),Design!$B$31,Design!$B$32)*1000000*Constants!$D$22/1000000000*($W$2-Constants!$C$21)</f>
        <v>5.0874999999999997E-2</v>
      </c>
      <c r="AA13" s="225">
        <f>$W$2*V13*($W$2/(Constants!$C$23*1000000000)*IF(ISBLANK(Design!$B$32),Design!$B$31,Design!$B$32)*1000000/2+$W$2/(Constants!$C$24*1000000000)*IF(ISBLANK(Design!$B$32),Design!$B$31,Design!$B$32)*1000000/2)</f>
        <v>9.6786133960046997E-2</v>
      </c>
      <c r="AB13" s="225">
        <f t="shared" ca="1" si="27"/>
        <v>0.25125903810734035</v>
      </c>
      <c r="AC13" s="225">
        <f>Constants!$D$22/1000000000*Constants!$C$21*IF(ISBLANK(Design!$B$32),Design!$B$31,Design!$B$32)*1000000</f>
        <v>1.0624999999999999E-2</v>
      </c>
      <c r="AD13" s="225">
        <f t="shared" ca="1" si="28"/>
        <v>0.40954517206738733</v>
      </c>
      <c r="AE13" s="225">
        <f t="shared" ca="1" si="29"/>
        <v>0.73169549428653025</v>
      </c>
      <c r="AF13" s="225">
        <f ca="1">V13^2*Design!$B$40/1000*(1+(AI13-25)*(Constants!$C$31/100))</f>
        <v>0.32960107059113886</v>
      </c>
      <c r="AG13" s="225">
        <f>0.5*Snubber!$B$16/1000000000000*$W$2^2*Design!$B$32*1000000</f>
        <v>1.4382000000000001E-2</v>
      </c>
      <c r="AH13" s="226">
        <f ca="1">$A13+AE13*Design!$B$19</f>
        <v>66.706643174332214</v>
      </c>
      <c r="AI13" s="226">
        <f ca="1">AD13*Design!$C$12+$A13</f>
        <v>38.924535850291171</v>
      </c>
      <c r="AJ13" s="226">
        <f ca="1">Constants!$D$19+Constants!$D$19*Constants!$C$20/100*(AI13-25)</f>
        <v>125.2484583858143</v>
      </c>
      <c r="AK13" s="225">
        <f ca="1">(1-Constants!$C$17/1000000000*Design!$B$32*1000000) * ($W$2+W13-V13*AJ13/1000) - (W13+V13*Design!$B$40/1000)</f>
        <v>11.046877785073868</v>
      </c>
      <c r="AL13" s="225">
        <f ca="1">IF(AK13&gt;Design!$C$28,Design!$C$28,AK13)</f>
        <v>3.3223709369024856</v>
      </c>
      <c r="AM13" s="225">
        <f t="shared" ca="1" si="30"/>
        <v>1.4852237369450565</v>
      </c>
      <c r="AN13" s="225">
        <f t="shared" ca="1" si="31"/>
        <v>8.305927342256215</v>
      </c>
      <c r="AO13" s="268">
        <f t="shared" ca="1" si="32"/>
        <v>84.830958843030999</v>
      </c>
      <c r="AP13" s="237">
        <f t="shared" si="20"/>
        <v>2.5</v>
      </c>
      <c r="AQ13" s="160">
        <f ca="1">FORECAST(AP13, OFFSET(Design!$C$15:$C$17,MATCH(AP13,Design!$B$15:$B$17,1)-1,0,2), OFFSET(Design!$B$15:$B$17,MATCH(AP13,Design!$B$15:$B$17,1)-1,0,2))+(BB13-25)*Design!$B$18/1000</f>
        <v>0.42637797560179891</v>
      </c>
      <c r="AR13" s="238">
        <f ca="1">IF(100*(Design!$C$28+AQ13+AP13*IF(ISBLANK(Design!$B$40),Constants!$C$6,Design!$B$40)/1000*(1+Constants!$C$31/100*(BC13-25)))/($AQ$2+AQ13-AP13*BD13/1000)&gt;Design!$C$35,Design!$C$35,100*(Design!$C$28+AQ13+AP13*IF(ISBLANK(Design!$B$40),Constants!$C$6,Design!$B$40)/1000*(1+Constants!$C$31/100*(BC13-25)))/($AQ$2+AQ13-AP13*BD13/1000))</f>
        <v>24.0900450701381</v>
      </c>
      <c r="AS13" s="161">
        <f ca="1">($AQ$2-AP13*IF(ISBLANK(Design!$B$40),Constants!$C$6,Design!$B$40)/1000*(1+Constants!$C$31/100*(BC13-25))-Design!$C$28) / (IF(ISBLANK(Design!$B$39),Design!$B$38,Design!$B$39)/1000000) * AR13/100/(IF(ISBLANK(Design!$B$32),Design!$B$31,Design!$B$32)*1000000)</f>
        <v>0.32322424041325881</v>
      </c>
      <c r="AT13" s="239">
        <f>$AQ$2*Constants!$C$18/1000+IF(ISBLANK(Design!$B$32),Design!$B$31,Design!$B$32)*1000000*Constants!$D$22/1000000000*($AQ$2-Constants!$C$21)</f>
        <v>7.1374999999999994E-2</v>
      </c>
      <c r="AU13" s="239">
        <f>$AQ$2*AP13*($AQ$2/(Constants!$C$23*1000000000)*IF(ISBLANK(Design!$B$32),Design!$B$31,Design!$B$32)*1000000/2+$AQ$2/(Constants!$C$24*1000000000)*IF(ISBLANK(Design!$B$32),Design!$B$31,Design!$B$32)*1000000/2)</f>
        <v>0.17206423815119468</v>
      </c>
      <c r="AV13" s="239">
        <f t="shared" ca="1" si="33"/>
        <v>0.19014822175116747</v>
      </c>
      <c r="AW13" s="239">
        <f>Constants!$D$22/1000000000*Constants!$C$21*IF(ISBLANK(Design!$B$32),Design!$B$31,Design!$B$32)*1000000</f>
        <v>1.0624999999999999E-2</v>
      </c>
      <c r="AX13" s="239">
        <f t="shared" ca="1" si="34"/>
        <v>0.44421245990236213</v>
      </c>
      <c r="AY13" s="239">
        <f t="shared" ca="1" si="35"/>
        <v>0.80915832277545785</v>
      </c>
      <c r="AZ13" s="239">
        <f ca="1">AP13^2*Design!$B$40/1000*(1+(BC13-25)*(Constants!$C$31/100))</f>
        <v>0.33104864652879806</v>
      </c>
      <c r="BA13" s="239">
        <f>0.5*Snubber!$B$16/1000000000000*$AQ$2^2*Design!$B$32*1000000</f>
        <v>2.5568E-2</v>
      </c>
      <c r="BB13" s="240">
        <f ca="1">$A13+AY13*Design!$B$19</f>
        <v>71.122024398201091</v>
      </c>
      <c r="BC13" s="240">
        <f ca="1">AX13*Design!$C$12+$A13</f>
        <v>40.103223636680312</v>
      </c>
      <c r="BD13" s="240">
        <f ca="1">Constants!$D$19+Constants!$D$19*Constants!$C$20/100*(BC13-25)</f>
        <v>126.11597259659671</v>
      </c>
      <c r="BE13" s="239">
        <f ca="1">(1-Constants!$C$17/1000000000*Design!$B$32*1000000) * ($AQ$2+AQ13-AP13*BD13/1000) - (AQ13+AP13*Design!$B$40/1000)</f>
        <v>14.874988826633821</v>
      </c>
      <c r="BF13" s="239">
        <f ca="1">IF(BE13&gt;Design!$C$28,Design!$C$28,BE13)</f>
        <v>3.3223709369024856</v>
      </c>
      <c r="BG13" s="239">
        <f t="shared" ca="1" si="36"/>
        <v>1.6099874292066181</v>
      </c>
      <c r="BH13" s="239">
        <f t="shared" ca="1" si="37"/>
        <v>8.305927342256215</v>
      </c>
      <c r="BI13" s="271">
        <f t="shared" ca="1" si="38"/>
        <v>83.763601580763606</v>
      </c>
    </row>
    <row r="14" spans="1:61" ht="16.2" thickBot="1" x14ac:dyDescent="0.35">
      <c r="A14" s="198" t="s">
        <v>224</v>
      </c>
      <c r="B14" s="198" t="s">
        <v>103</v>
      </c>
      <c r="C14" s="199" t="s">
        <v>249</v>
      </c>
      <c r="D14" s="211" t="s">
        <v>247</v>
      </c>
      <c r="E14" s="211" t="s">
        <v>248</v>
      </c>
      <c r="F14" s="211" t="s">
        <v>104</v>
      </c>
      <c r="G14" s="211" t="s">
        <v>105</v>
      </c>
      <c r="H14" s="211" t="s">
        <v>106</v>
      </c>
      <c r="I14" s="211" t="s">
        <v>212</v>
      </c>
      <c r="J14" s="211" t="s">
        <v>267</v>
      </c>
      <c r="K14" s="211" t="s">
        <v>269</v>
      </c>
      <c r="L14" s="211" t="s">
        <v>270</v>
      </c>
      <c r="M14" s="211" t="s">
        <v>282</v>
      </c>
      <c r="N14" s="211" t="s">
        <v>299</v>
      </c>
      <c r="O14" s="211" t="s">
        <v>300</v>
      </c>
      <c r="P14" s="211" t="s">
        <v>122</v>
      </c>
      <c r="Q14" s="211" t="s">
        <v>261</v>
      </c>
      <c r="R14" s="211" t="s">
        <v>268</v>
      </c>
      <c r="S14" s="245" t="s">
        <v>271</v>
      </c>
      <c r="T14" s="211" t="s">
        <v>272</v>
      </c>
      <c r="U14" s="266" t="s">
        <v>256</v>
      </c>
      <c r="V14" s="199" t="s">
        <v>103</v>
      </c>
      <c r="W14" s="199" t="s">
        <v>249</v>
      </c>
      <c r="X14" s="211" t="s">
        <v>247</v>
      </c>
      <c r="Y14" s="211" t="s">
        <v>248</v>
      </c>
      <c r="Z14" s="211" t="s">
        <v>104</v>
      </c>
      <c r="AA14" s="211" t="s">
        <v>105</v>
      </c>
      <c r="AB14" s="211" t="s">
        <v>106</v>
      </c>
      <c r="AC14" s="211" t="s">
        <v>212</v>
      </c>
      <c r="AD14" s="211" t="s">
        <v>267</v>
      </c>
      <c r="AE14" s="211" t="s">
        <v>269</v>
      </c>
      <c r="AF14" s="211" t="s">
        <v>270</v>
      </c>
      <c r="AG14" s="211" t="s">
        <v>282</v>
      </c>
      <c r="AH14" s="211" t="s">
        <v>299</v>
      </c>
      <c r="AI14" s="211" t="s">
        <v>300</v>
      </c>
      <c r="AJ14" s="211" t="s">
        <v>122</v>
      </c>
      <c r="AK14" s="211" t="s">
        <v>261</v>
      </c>
      <c r="AL14" s="211" t="s">
        <v>268</v>
      </c>
      <c r="AM14" s="211" t="s">
        <v>271</v>
      </c>
      <c r="AN14" s="211" t="s">
        <v>272</v>
      </c>
      <c r="AO14" s="266" t="s">
        <v>256</v>
      </c>
      <c r="AP14" s="199" t="s">
        <v>103</v>
      </c>
      <c r="AQ14" s="199" t="s">
        <v>249</v>
      </c>
      <c r="AR14" s="211" t="s">
        <v>247</v>
      </c>
      <c r="AS14" s="211" t="s">
        <v>248</v>
      </c>
      <c r="AT14" s="211" t="s">
        <v>104</v>
      </c>
      <c r="AU14" s="211" t="s">
        <v>105</v>
      </c>
      <c r="AV14" s="211" t="s">
        <v>106</v>
      </c>
      <c r="AW14" s="211" t="s">
        <v>212</v>
      </c>
      <c r="AX14" s="211" t="s">
        <v>267</v>
      </c>
      <c r="AY14" s="211" t="s">
        <v>269</v>
      </c>
      <c r="AZ14" s="211" t="s">
        <v>270</v>
      </c>
      <c r="BA14" s="211" t="s">
        <v>282</v>
      </c>
      <c r="BB14" s="211" t="s">
        <v>299</v>
      </c>
      <c r="BC14" s="211" t="s">
        <v>300</v>
      </c>
      <c r="BD14" s="211" t="s">
        <v>122</v>
      </c>
      <c r="BE14" s="211" t="s">
        <v>261</v>
      </c>
      <c r="BF14" s="211" t="s">
        <v>268</v>
      </c>
      <c r="BG14" s="211" t="s">
        <v>271</v>
      </c>
      <c r="BH14" s="211" t="s">
        <v>272</v>
      </c>
      <c r="BI14" s="266" t="s">
        <v>256</v>
      </c>
    </row>
    <row r="15" spans="1:61" ht="12.75" customHeight="1" x14ac:dyDescent="0.3">
      <c r="A15" s="201">
        <f>Design!$D$13</f>
        <v>85</v>
      </c>
      <c r="B15" s="273">
        <v>0.25</v>
      </c>
      <c r="C15" s="203">
        <f ca="1">FORECAST(B15, OFFSET(Design!$C$15:$C$17,MATCH(B15,Design!$B$15:$B$17,1)-1,0,2), OFFSET(Design!$B$15:$B$17,MATCH(B15,Design!$B$15:$B$17,1)-1,0,2))+(N15-25)*Design!$B$18/1000</f>
        <v>0.26179169205854075</v>
      </c>
      <c r="D15" s="214">
        <f ca="1">IF(100*(Design!$C$28+C15+B15*IF(ISBLANK(Design!$B$40),Constants!$C$6,Design!$B$40)/1000*(1+Constants!$C$31/100*(O15-25)))/($C$2+C15-B15*P15/1000)&gt;Design!$C$35,Design!$C$35,100*(Design!$C$28+C15+B15*IF(ISBLANK(Design!$B$40),Constants!$C$6,Design!$B$40)/1000*(1+Constants!$C$31/100*(O15-25)))/($C$2+C15-B15*P15/1000))</f>
        <v>43.782896150905032</v>
      </c>
      <c r="E15" s="204">
        <f ca="1">IF(($C$2-B15*IF(ISBLANK(Design!$B$40),Constants!$C$6,Design!$B$40)/1000*(1+Constants!$C$31/100*(O15-25))-Design!$C$28) / (IF(ISBLANK(Design!$B$39),Design!$B$38,Design!$B$39)/1000000) * D15/100/(IF(ISBLANK(Design!$B$32),Design!$B$31,Design!$B$32)*1000000)&lt;0,0,($C$2-B15*IF(ISBLANK(Design!$B$40),Constants!$C$6,Design!$B$40)/1000*(1+Constants!$C$31/100*(O15-25))-Design!$C$28) / (IF(ISBLANK(Design!$B$39),Design!$B$38,Design!$B$39)/1000000) * D15/100/(IF(ISBLANK(Design!$B$32),Design!$B$31,Design!$B$32)*1000000))</f>
        <v>0.21831032832500216</v>
      </c>
      <c r="F15" s="205">
        <f>$C$2*Constants!$C$18/1000+IF(ISBLANK(Design!$B$32),Design!$B$31,Design!$B$32)*1000000*Constants!$D$22/1000000000*($C$2-Constants!$C$21)</f>
        <v>3.0374999999999999E-2</v>
      </c>
      <c r="G15" s="205">
        <f>$C$2*B15*($C$2/(Constants!$C$23*1000000000)*IF(ISBLANK(Design!$B$32),Design!$B$31,Design!$B$32)*1000000/2+$C$2/(Constants!$C$24*1000000000)*IF(ISBLANK(Design!$B$32),Design!$B$31,Design!$B$32)*1000000/2)</f>
        <v>4.3016059537798667E-3</v>
      </c>
      <c r="H15" s="205">
        <f t="shared" ref="H15:H21" ca="1" si="39">IF($D$78,1,D15/100*(B15^2+E15^2/12)*P15/1000)</f>
        <v>4.6684572530641677E-3</v>
      </c>
      <c r="I15" s="205">
        <f>Constants!$D$22/1000000000*Constants!$C$21*IF(ISBLANK(Design!$B$32),Design!$B$31,Design!$B$32)*1000000</f>
        <v>1.0624999999999999E-2</v>
      </c>
      <c r="J15" s="205">
        <f t="shared" ref="J15:J21" ca="1" si="40">SUM(F15:I15)</f>
        <v>4.9970063206844037E-2</v>
      </c>
      <c r="K15" s="205">
        <f t="shared" ref="K15:K21" ca="1" si="41">B15*C15*(1-D15/100)</f>
        <v>3.6792926848213191E-2</v>
      </c>
      <c r="L15" s="205">
        <f ca="1">B15^2*Design!$B$40/1000*(1+(O15-25)*(Constants!$C$31/100))</f>
        <v>3.8827406245178081E-3</v>
      </c>
      <c r="M15" s="205">
        <f>0.5*Snubber!$B$16/1000000000000*$C$2^2*Design!$B$32*1000000</f>
        <v>6.3920000000000001E-3</v>
      </c>
      <c r="N15" s="206">
        <f ca="1">$A15+K15*Design!$B$19</f>
        <v>87.097196830348153</v>
      </c>
      <c r="O15" s="206">
        <f ca="1">J15*Design!$C$12+A15</f>
        <v>86.698982149032702</v>
      </c>
      <c r="P15" s="206">
        <f ca="1">Constants!$D$19+Constants!$D$19*Constants!$C$20/100*(O15-25)</f>
        <v>160.41045086168808</v>
      </c>
      <c r="Q15" s="205">
        <f ca="1">(1-Constants!$C$17/1000000000*Design!$B$32*1000000) * ($C$2+C15-B15*P15/1000) - (C15+B15*Design!$B$40/1000)</f>
        <v>7.5979756014124948</v>
      </c>
      <c r="R15" s="205">
        <f ca="1">IF(Q15&gt;Design!$C$28,Design!$C$28,Q15)</f>
        <v>3.3223709369024856</v>
      </c>
      <c r="S15" s="205">
        <f t="shared" ref="S15:S21" ca="1" si="42">SUM(J15:M15)</f>
        <v>9.7037730679575024E-2</v>
      </c>
      <c r="T15" s="205">
        <f t="shared" ref="T15:T21" ca="1" si="43">R15*B15</f>
        <v>0.83059273422562141</v>
      </c>
      <c r="U15" s="263">
        <f t="shared" ref="U15:U21" ca="1" si="44">100*T15/(T15+S15)</f>
        <v>89.539182427617632</v>
      </c>
      <c r="V15" s="217">
        <v>0.25</v>
      </c>
      <c r="W15" s="218">
        <f ca="1">FORECAST(V15, OFFSET(Design!$C$15:$C$17,MATCH(V15,Design!$B$15:$B$17,1)-1,0,2), OFFSET(Design!$B$15:$B$17,MATCH(V15,Design!$B$15:$B$17,1)-1,0,2))+(AH15-25)*Design!$B$18/1000</f>
        <v>0.26126235659127484</v>
      </c>
      <c r="X15" s="219">
        <f ca="1">IF(100*(Design!$C$28+W15+V15*IF(ISBLANK(Design!$B$40),Constants!$C$6,Design!$B$40)/1000*(1+Constants!$C$31/100*(AI15-25)))/($W$2+W15-V15*AJ15/1000)&gt;Design!$C$35,Design!$C$35,100*(Design!$C$28+W15+V15*IF(ISBLANK(Design!$B$40),Constants!$C$6,Design!$B$40)/1000*(1+Constants!$C$31/100*(AI15-25)))/($W$2+W15-V15*AJ15/1000))</f>
        <v>29.450970902299442</v>
      </c>
      <c r="Y15" s="220">
        <f ca="1">($W$2-V15*IF(ISBLANK(Design!$B$40),Constants!$C$6,Design!$B$40)/1000*(1+Constants!$C$31/100*(AI15-25))-Design!$C$28) / (IF(ISBLANK(Design!$B$39),Design!$B$38,Design!$B$39)/1000000) * X15/100/(IF(ISBLANK(Design!$B$32),Design!$B$31,Design!$B$32)*1000000)</f>
        <v>0.27284063699123962</v>
      </c>
      <c r="Z15" s="221">
        <f>$W$2*Constants!$C$18/1000+IF(ISBLANK(Design!$B$32),Design!$B$31,Design!$B$32)*1000000*Constants!$D$22/1000000000*($W$2-Constants!$C$21)</f>
        <v>5.0874999999999997E-2</v>
      </c>
      <c r="AA15" s="221">
        <f>$W$2*V15*($W$2/(Constants!$C$23*1000000000)*IF(ISBLANK(Design!$B$32),Design!$B$31,Design!$B$32)*1000000/2+$W$2/(Constants!$C$24*1000000000)*IF(ISBLANK(Design!$B$32),Design!$B$31,Design!$B$32)*1000000/2)</f>
        <v>9.6786133960047004E-3</v>
      </c>
      <c r="AB15" s="221">
        <f t="shared" ref="AB15:AB21" ca="1" si="45">IF($D$78,1,X15/100*(V15^2+Y15^2/12)*AJ15/1000)</f>
        <v>3.2581089471570095E-3</v>
      </c>
      <c r="AC15" s="221">
        <f>Constants!$D$22/1000000000*Constants!$C$21*IF(ISBLANK(Design!$B$32),Design!$B$31,Design!$B$32)*1000000</f>
        <v>1.0624999999999999E-2</v>
      </c>
      <c r="AD15" s="221">
        <f t="shared" ref="AD15:AD21" ca="1" si="46">SUM(Z15:AC15)</f>
        <v>7.4436722343161704E-2</v>
      </c>
      <c r="AE15" s="221">
        <f t="shared" ref="AE15:AE21" ca="1" si="47">V15*W15*(1-X15/100)</f>
        <v>4.6079513993229168E-2</v>
      </c>
      <c r="AF15" s="221">
        <f ca="1">V15^2*Design!$B$40/1000*(1+(AI15-25)*(Constants!$C$31/100))</f>
        <v>3.8929569838734163E-3</v>
      </c>
      <c r="AG15" s="221">
        <f>0.5*Snubber!$B$16/1000000000000*$W$2^2*Design!$B$32*1000000</f>
        <v>1.4382000000000001E-2</v>
      </c>
      <c r="AH15" s="222">
        <f ca="1">$A15+AE15*Design!$B$19</f>
        <v>87.626532297614062</v>
      </c>
      <c r="AI15" s="222">
        <f ca="1">AD15*Design!$C$12+$A15</f>
        <v>87.530848559667504</v>
      </c>
      <c r="AJ15" s="222">
        <f ca="1">Constants!$D$19+Constants!$D$19*Constants!$C$20/100*(AI15-25)</f>
        <v>161.02270453991528</v>
      </c>
      <c r="AK15" s="221">
        <f ca="1">(1-Constants!$C$17/1000000000*Design!$B$32*1000000) * ($W$2+W15-V15*AJ15/1000) - (W15+V15*Design!$B$40/1000)</f>
        <v>11.427851539945628</v>
      </c>
      <c r="AL15" s="221">
        <f ca="1">IF(AK15&gt;Design!$C$28,Design!$C$28,AK15)</f>
        <v>3.3223709369024856</v>
      </c>
      <c r="AM15" s="221">
        <f t="shared" ref="AM15:AM21" ca="1" si="48">SUM(AD15:AG15)</f>
        <v>0.13879119332026429</v>
      </c>
      <c r="AN15" s="221">
        <f t="shared" ref="AN15:AN21" ca="1" si="49">AL15*V15</f>
        <v>0.83059273422562141</v>
      </c>
      <c r="AO15" s="267">
        <f t="shared" ref="AO15:AO21" ca="1" si="50">100*AN15/(AN15+AM15)</f>
        <v>85.682536157615971</v>
      </c>
      <c r="AP15" s="231">
        <v>0.25</v>
      </c>
      <c r="AQ15" s="232">
        <f ca="1">FORECAST(AP15, OFFSET(Design!$C$15:$C$17,MATCH(AP15,Design!$B$15:$B$17,1)-1,0,2), OFFSET(Design!$B$15:$B$17,MATCH(AP15,Design!$B$15:$B$17,1)-1,0,2))+(BB15-25)*Design!$B$18/1000</f>
        <v>0.26099491410211134</v>
      </c>
      <c r="AR15" s="233">
        <f ca="1">IF(100*(Design!$C$28+AQ15+AP15*IF(ISBLANK(Design!$B$40),Constants!$C$6,Design!$B$40)/1000*(1+Constants!$C$31/100*(BC15-25)))/($AQ$2+AQ15-AP15*BD15/1000)&gt;Design!$C$35,Design!$C$35,100*(Design!$C$28+AQ15+AP15*IF(ISBLANK(Design!$B$40),Constants!$C$6,Design!$B$40)/1000*(1+Constants!$C$31/100*(BC15-25)))/($AQ$2+AQ15-AP15*BD15/1000))</f>
        <v>22.187774942676519</v>
      </c>
      <c r="AS15" s="234">
        <f ca="1">($AQ$2-AP15*IF(ISBLANK(Design!$B$40),Constants!$C$6,Design!$B$40)/1000*(1+Constants!$C$31/100*(BC15-25))-Design!$C$28) / (IF(ISBLANK(Design!$B$39),Design!$B$38,Design!$B$39)/1000000) * AR15/100/(IF(ISBLANK(Design!$B$32),Design!$B$31,Design!$B$32)*1000000)</f>
        <v>0.3004725830966003</v>
      </c>
      <c r="AT15" s="235">
        <f>$AQ$2*Constants!$C$18/1000+IF(ISBLANK(Design!$B$32),Design!$B$31,Design!$B$32)*1000000*Constants!$D$22/1000000000*($AQ$2-Constants!$C$21)</f>
        <v>7.1374999999999994E-2</v>
      </c>
      <c r="AU15" s="235">
        <f>$AQ$2*AP15*($AQ$2/(Constants!$C$23*1000000000)*IF(ISBLANK(Design!$B$32),Design!$B$31,Design!$B$32)*1000000/2+$AQ$2/(Constants!$C$24*1000000000)*IF(ISBLANK(Design!$B$32),Design!$B$31,Design!$B$32)*1000000/2)</f>
        <v>1.7206423815119467E-2</v>
      </c>
      <c r="AV15" s="235">
        <f t="shared" ref="AV15:AV21" ca="1" si="51">IF($D$78,1,AR15/100*(AP15^2+AS15^2/12)*BD15/1000)</f>
        <v>2.5123667408691692E-3</v>
      </c>
      <c r="AW15" s="235">
        <f>Constants!$D$22/1000000000*Constants!$C$21*IF(ISBLANK(Design!$B$32),Design!$B$31,Design!$B$32)*1000000</f>
        <v>1.0624999999999999E-2</v>
      </c>
      <c r="AX15" s="235">
        <f t="shared" ref="AX15:AX21" ca="1" si="52">SUM(AT15:AW15)</f>
        <v>0.10171879055598863</v>
      </c>
      <c r="AY15" s="235">
        <f t="shared" ref="AY15:AY21" ca="1" si="53">AP15*AQ15*(1-AR15/100)</f>
        <v>5.0771487487325746E-2</v>
      </c>
      <c r="AZ15" s="235">
        <f ca="1">AP15^2*Design!$B$40/1000*(1+(BC15-25)*(Constants!$C$31/100))</f>
        <v>3.9043489524815352E-3</v>
      </c>
      <c r="BA15" s="235">
        <f>0.5*Snubber!$B$16/1000000000000*$AQ$2^2*Design!$B$32*1000000</f>
        <v>2.5568E-2</v>
      </c>
      <c r="BB15" s="236">
        <f ca="1">$A15+AY15*Design!$B$19</f>
        <v>87.893974786777562</v>
      </c>
      <c r="BC15" s="236">
        <f ca="1">AX15*Design!$C$12+$A15</f>
        <v>88.458438878903607</v>
      </c>
      <c r="BD15" s="236">
        <f ca="1">Constants!$D$19+Constants!$D$19*Constants!$C$20/100*(BC15-25)</f>
        <v>161.70541101487305</v>
      </c>
      <c r="BE15" s="235">
        <f ca="1">(1-Constants!$C$17/1000000000*Design!$B$32*1000000) * ($AQ$2+AQ15-AP15*BD15/1000) - (AQ15+AP15*Design!$B$40/1000)</f>
        <v>15.257699483388974</v>
      </c>
      <c r="BF15" s="235">
        <f ca="1">IF(BE15&gt;Design!$C$28,Design!$C$28,BE15)</f>
        <v>3.3223709369024856</v>
      </c>
      <c r="BG15" s="235">
        <f t="shared" ref="BG15:BG21" ca="1" si="54">SUM(AX15:BA15)</f>
        <v>0.18196262699579593</v>
      </c>
      <c r="BH15" s="235">
        <f t="shared" ref="BH15:BH21" ca="1" si="55">BF15*AP15</f>
        <v>0.83059273422562141</v>
      </c>
      <c r="BI15" s="270">
        <f t="shared" ref="BI15:BI21" ca="1" si="56">100*BH15/(BH15+BG15)</f>
        <v>82.029365112807312</v>
      </c>
    </row>
    <row r="16" spans="1:61" ht="12.75" customHeight="1" x14ac:dyDescent="0.3">
      <c r="A16" s="154">
        <f>Design!$D$13</f>
        <v>85</v>
      </c>
      <c r="B16" s="274">
        <f>B15+0.25</f>
        <v>0.5</v>
      </c>
      <c r="C16" s="156">
        <f ca="1">FORECAST(B16, OFFSET(Design!$C$15:$C$17,MATCH(B16,Design!$B$15:$B$17,1)-1,0,2), OFFSET(Design!$B$15:$B$17,MATCH(B16,Design!$B$15:$B$17,1)-1,0,2))+(N16-25)*Design!$B$18/1000</f>
        <v>0.27890629315939458</v>
      </c>
      <c r="D16" s="215">
        <f ca="1">IF(100*(Design!$C$28+C16+B16*IF(ISBLANK(Design!$B$40),Constants!$C$6,Design!$B$40)/1000*(1+Constants!$C$31/100*(O16-25)))/($C$2+C16-B16*P16/1000)&gt;Design!$C$35,Design!$C$35,100*(Design!$C$28+C16+B16*IF(ISBLANK(Design!$B$40),Constants!$C$6,Design!$B$40)/1000*(1+Constants!$C$31/100*(O16-25)))/($C$2+C16-B16*P16/1000))</f>
        <v>44.305759047019066</v>
      </c>
      <c r="E16" s="157">
        <f ca="1">IF(($C$2-B16*IF(ISBLANK(Design!$B$40),Constants!$C$6,Design!$B$40)/1000*(1+Constants!$C$31/100*(O16-25))-Design!$C$28) / (IF(ISBLANK(Design!$B$39),Design!$B$38,Design!$B$39)/1000000) * D16/100/(IF(ISBLANK(Design!$B$32),Design!$B$31,Design!$B$32)*1000000)&lt;0,0,($C$2-B16*IF(ISBLANK(Design!$B$40),Constants!$C$6,Design!$B$40)/1000*(1+Constants!$C$31/100*(O16-25))-Design!$C$28) / (IF(ISBLANK(Design!$B$39),Design!$B$38,Design!$B$39)/1000000) * D16/100/(IF(ISBLANK(Design!$B$32),Design!$B$31,Design!$B$32)*1000000))</f>
        <v>0.22017867244190059</v>
      </c>
      <c r="F16" s="207">
        <f>$C$2*Constants!$C$18/1000+IF(ISBLANK(Design!$B$32),Design!$B$31,Design!$B$32)*1000000*Constants!$D$22/1000000000*($C$2-Constants!$C$21)</f>
        <v>3.0374999999999999E-2</v>
      </c>
      <c r="G16" s="207">
        <f>$C$2*B16*($C$2/(Constants!$C$23*1000000000)*IF(ISBLANK(Design!$B$32),Design!$B$31,Design!$B$32)*1000000/2+$C$2/(Constants!$C$24*1000000000)*IF(ISBLANK(Design!$B$32),Design!$B$31,Design!$B$32)*1000000/2)</f>
        <v>8.6032119075597335E-3</v>
      </c>
      <c r="H16" s="207">
        <f t="shared" ca="1" si="39"/>
        <v>1.8104846172583261E-2</v>
      </c>
      <c r="I16" s="207">
        <f>Constants!$D$22/1000000000*Constants!$C$21*IF(ISBLANK(Design!$B$32),Design!$B$31,Design!$B$32)*1000000</f>
        <v>1.0624999999999999E-2</v>
      </c>
      <c r="J16" s="207">
        <f t="shared" ca="1" si="40"/>
        <v>6.7708058080142991E-2</v>
      </c>
      <c r="K16" s="207">
        <f t="shared" ca="1" si="41"/>
        <v>7.7667371472610297E-2</v>
      </c>
      <c r="L16" s="207">
        <f ca="1">B16^2*Design!$B$40/1000*(1+(O16-25)*(Constants!$C$31/100))</f>
        <v>1.556058938400836E-2</v>
      </c>
      <c r="M16" s="207">
        <f>0.5*Snubber!$B$16/1000000000000*$C$2^2*Design!$B$32*1000000</f>
        <v>6.3920000000000001E-3</v>
      </c>
      <c r="N16" s="208">
        <f ca="1">$A16+K16*Design!$B$19</f>
        <v>89.427040173938792</v>
      </c>
      <c r="O16" s="208">
        <f ca="1">J16*Design!$C$12+A16</f>
        <v>87.302073974724863</v>
      </c>
      <c r="P16" s="208">
        <f ca="1">Constants!$D$19+Constants!$D$19*Constants!$C$20/100*(O16-25)</f>
        <v>160.8543264453975</v>
      </c>
      <c r="Q16" s="207">
        <f ca="1">(1-Constants!$C$17/1000000000*Design!$B$32*1000000) * ($C$2+C16-B16*P16/1000) - (C16+B16*Design!$B$40/1000)</f>
        <v>7.5461374737549907</v>
      </c>
      <c r="R16" s="207">
        <f ca="1">IF(Q16&gt;Design!$C$28,Design!$C$28,Q16)</f>
        <v>3.3223709369024856</v>
      </c>
      <c r="S16" s="207">
        <f t="shared" ca="1" si="42"/>
        <v>0.16732801893676166</v>
      </c>
      <c r="T16" s="207">
        <f t="shared" ca="1" si="43"/>
        <v>1.6611854684512428</v>
      </c>
      <c r="U16" s="264">
        <f t="shared" ca="1" si="44"/>
        <v>90.848958999160217</v>
      </c>
      <c r="V16" s="223">
        <f>V15+0.25</f>
        <v>0.5</v>
      </c>
      <c r="W16" s="158">
        <f ca="1">FORECAST(V16, OFFSET(Design!$C$15:$C$17,MATCH(V16,Design!$B$15:$B$17,1)-1,0,2), OFFSET(Design!$B$15:$B$17,MATCH(V16,Design!$B$15:$B$17,1)-1,0,2))+(AH16-25)*Design!$B$18/1000</f>
        <v>0.27777373128295457</v>
      </c>
      <c r="X16" s="224">
        <f ca="1">IF(100*(Design!$C$28+W16+V16*IF(ISBLANK(Design!$B$40),Constants!$C$6,Design!$B$40)/1000*(1+Constants!$C$31/100*(AI16-25)))/($W$2+W16-V16*AJ16/1000)&gt;Design!$C$35,Design!$C$35,100*(Design!$C$28+W16+V16*IF(ISBLANK(Design!$B$40),Constants!$C$6,Design!$B$40)/1000*(1+Constants!$C$31/100*(AI16-25)))/($W$2+W16-V16*AJ16/1000))</f>
        <v>29.772424752818232</v>
      </c>
      <c r="Y16" s="159">
        <f ca="1">($W$2-V16*IF(ISBLANK(Design!$B$40),Constants!$C$6,Design!$B$40)/1000*(1+Constants!$C$31/100*(AI16-25))-Design!$C$28) / (IF(ISBLANK(Design!$B$39),Design!$B$38,Design!$B$39)/1000000) * X16/100/(IF(ISBLANK(Design!$B$32),Design!$B$31,Design!$B$32)*1000000)</f>
        <v>0.27532082562641386</v>
      </c>
      <c r="Z16" s="225">
        <f>$W$2*Constants!$C$18/1000+IF(ISBLANK(Design!$B$32),Design!$B$31,Design!$B$32)*1000000*Constants!$D$22/1000000000*($W$2-Constants!$C$21)</f>
        <v>5.0874999999999997E-2</v>
      </c>
      <c r="AA16" s="225">
        <f>$W$2*V16*($W$2/(Constants!$C$23*1000000000)*IF(ISBLANK(Design!$B$32),Design!$B$31,Design!$B$32)*1000000/2+$W$2/(Constants!$C$24*1000000000)*IF(ISBLANK(Design!$B$32),Design!$B$31,Design!$B$32)*1000000/2)</f>
        <v>1.9357226792009401E-2</v>
      </c>
      <c r="AB16" s="225">
        <f t="shared" ca="1" si="45"/>
        <v>1.2323714825282484E-2</v>
      </c>
      <c r="AC16" s="225">
        <f>Constants!$D$22/1000000000*Constants!$C$21*IF(ISBLANK(Design!$B$32),Design!$B$31,Design!$B$32)*1000000</f>
        <v>1.0624999999999999E-2</v>
      </c>
      <c r="AD16" s="225">
        <f t="shared" ca="1" si="46"/>
        <v>9.3180941617291874E-2</v>
      </c>
      <c r="AE16" s="225">
        <f t="shared" ca="1" si="47"/>
        <v>9.753687807682071E-2</v>
      </c>
      <c r="AF16" s="225">
        <f ca="1">V16^2*Design!$B$40/1000*(1+(AI16-25)*(Constants!$C$31/100))</f>
        <v>1.5603135467736283E-2</v>
      </c>
      <c r="AG16" s="225">
        <f>0.5*Snubber!$B$16/1000000000000*$W$2^2*Design!$B$32*1000000</f>
        <v>1.4382000000000001E-2</v>
      </c>
      <c r="AH16" s="226">
        <f ca="1">$A16+AE16*Design!$B$19</f>
        <v>90.559602050378786</v>
      </c>
      <c r="AI16" s="226">
        <f ca="1">AD16*Design!$C$12+$A16</f>
        <v>88.168152014987925</v>
      </c>
      <c r="AJ16" s="226">
        <f ca="1">Constants!$D$19+Constants!$D$19*Constants!$C$20/100*(AI16-25)</f>
        <v>161.49175988303114</v>
      </c>
      <c r="AK16" s="225">
        <f ca="1">(1-Constants!$C$17/1000000000*Design!$B$32*1000000) * ($W$2+W16-V16*AJ16/1000) - (W16+V16*Design!$B$40/1000)</f>
        <v>11.375880436376473</v>
      </c>
      <c r="AL16" s="225">
        <f ca="1">IF(AK16&gt;Design!$C$28,Design!$C$28,AK16)</f>
        <v>3.3223709369024856</v>
      </c>
      <c r="AM16" s="225">
        <f t="shared" ca="1" si="48"/>
        <v>0.22070295516184887</v>
      </c>
      <c r="AN16" s="225">
        <f t="shared" ca="1" si="49"/>
        <v>1.6611854684512428</v>
      </c>
      <c r="AO16" s="268">
        <f t="shared" ca="1" si="50"/>
        <v>88.272261394853857</v>
      </c>
      <c r="AP16" s="237">
        <f>AP15+0.25</f>
        <v>0.5</v>
      </c>
      <c r="AQ16" s="160">
        <f ca="1">FORECAST(AP16, OFFSET(Design!$C$15:$C$17,MATCH(AP16,Design!$B$15:$B$17,1)-1,0,2), OFFSET(Design!$B$15:$B$17,MATCH(AP16,Design!$B$15:$B$17,1)-1,0,2))+(BB16-25)*Design!$B$18/1000</f>
        <v>0.27720413780980047</v>
      </c>
      <c r="AR16" s="238">
        <f ca="1">IF(100*(Design!$C$28+AQ16+AP16*IF(ISBLANK(Design!$B$40),Constants!$C$6,Design!$B$40)/1000*(1+Constants!$C$31/100*(BC16-25)))/($AQ$2+AQ16-AP16*BD16/1000)&gt;Design!$C$35,Design!$C$35,100*(Design!$C$28+AQ16+AP16*IF(ISBLANK(Design!$B$40),Constants!$C$6,Design!$B$40)/1000*(1+Constants!$C$31/100*(BC16-25)))/($AQ$2+AQ16-AP16*BD16/1000))</f>
        <v>22.418368732523657</v>
      </c>
      <c r="AS16" s="161">
        <f ca="1">($AQ$2-AP16*IF(ISBLANK(Design!$B$40),Constants!$C$6,Design!$B$40)/1000*(1+Constants!$C$31/100*(BC16-25))-Design!$C$28) / (IF(ISBLANK(Design!$B$39),Design!$B$38,Design!$B$39)/1000000) * AR16/100/(IF(ISBLANK(Design!$B$32),Design!$B$31,Design!$B$32)*1000000)</f>
        <v>0.30321895976714364</v>
      </c>
      <c r="AT16" s="239">
        <f>$AQ$2*Constants!$C$18/1000+IF(ISBLANK(Design!$B$32),Design!$B$31,Design!$B$32)*1000000*Constants!$D$22/1000000000*($AQ$2-Constants!$C$21)</f>
        <v>7.1374999999999994E-2</v>
      </c>
      <c r="AU16" s="239">
        <f>$AQ$2*AP16*($AQ$2/(Constants!$C$23*1000000000)*IF(ISBLANK(Design!$B$32),Design!$B$31,Design!$B$32)*1000000/2+$AQ$2/(Constants!$C$24*1000000000)*IF(ISBLANK(Design!$B$32),Design!$B$31,Design!$B$32)*1000000/2)</f>
        <v>3.4412847630238934E-2</v>
      </c>
      <c r="AV16" s="239">
        <f t="shared" ca="1" si="51"/>
        <v>9.3754745563984065E-3</v>
      </c>
      <c r="AW16" s="239">
        <f>Constants!$D$22/1000000000*Constants!$C$21*IF(ISBLANK(Design!$B$32),Design!$B$31,Design!$B$32)*1000000</f>
        <v>1.0624999999999999E-2</v>
      </c>
      <c r="AX16" s="239">
        <f t="shared" ca="1" si="52"/>
        <v>0.12578832218663735</v>
      </c>
      <c r="AY16" s="239">
        <f t="shared" ca="1" si="53"/>
        <v>0.10752974602689319</v>
      </c>
      <c r="AZ16" s="239">
        <f ca="1">AP16^2*Design!$B$40/1000*(1+(BC16-25)*(Constants!$C$31/100))</f>
        <v>1.5657597945132232E-2</v>
      </c>
      <c r="BA16" s="239">
        <f>0.5*Snubber!$B$16/1000000000000*$AQ$2^2*Design!$B$32*1000000</f>
        <v>2.5568E-2</v>
      </c>
      <c r="BB16" s="240">
        <f ca="1">$A16+AY16*Design!$B$19</f>
        <v>91.129195523532914</v>
      </c>
      <c r="BC16" s="240">
        <f ca="1">AX16*Design!$C$12+$A16</f>
        <v>89.276802954345669</v>
      </c>
      <c r="BD16" s="240">
        <f ca="1">Constants!$D$19+Constants!$D$19*Constants!$C$20/100*(BC16-25)</f>
        <v>162.30772697439841</v>
      </c>
      <c r="BE16" s="239">
        <f ca="1">(1-Constants!$C$17/1000000000*Design!$B$32*1000000) * ($AQ$2+AQ16-AP16*BD16/1000) - (AQ16+AP16*Design!$B$40/1000)</f>
        <v>15.205513999854091</v>
      </c>
      <c r="BF16" s="239">
        <f ca="1">IF(BE16&gt;Design!$C$28,Design!$C$28,BE16)</f>
        <v>3.3223709369024856</v>
      </c>
      <c r="BG16" s="239">
        <f t="shared" ca="1" si="54"/>
        <v>0.27454366615866277</v>
      </c>
      <c r="BH16" s="239">
        <f t="shared" ca="1" si="55"/>
        <v>1.6611854684512428</v>
      </c>
      <c r="BI16" s="271">
        <f t="shared" ca="1" si="56"/>
        <v>85.817041173273978</v>
      </c>
    </row>
    <row r="17" spans="1:61" ht="12.75" customHeight="1" x14ac:dyDescent="0.3">
      <c r="A17" s="154">
        <f>Design!$D$13</f>
        <v>85</v>
      </c>
      <c r="B17" s="274">
        <f t="shared" ref="B17:B24" si="57">B16+0.25</f>
        <v>0.75</v>
      </c>
      <c r="C17" s="156">
        <f ca="1">FORECAST(B17, OFFSET(Design!$C$15:$C$17,MATCH(B17,Design!$B$15:$B$17,1)-1,0,2), OFFSET(Design!$B$15:$B$17,MATCH(B17,Design!$B$15:$B$17,1)-1,0,2))+(N17-25)*Design!$B$18/1000</f>
        <v>0.29580169976236281</v>
      </c>
      <c r="D17" s="215">
        <f ca="1">IF(100*(Design!$C$28+C17+B17*IF(ISBLANK(Design!$B$40),Constants!$C$6,Design!$B$40)/1000*(1+Constants!$C$31/100*(O17-25)))/($C$2+C17-B17*P17/1000)&gt;Design!$C$35,Design!$C$35,100*(Design!$C$28+C17+B17*IF(ISBLANK(Design!$B$40),Constants!$C$6,Design!$B$40)/1000*(1+Constants!$C$31/100*(O17-25)))/($C$2+C17-B17*P17/1000))</f>
        <v>44.833612652397974</v>
      </c>
      <c r="E17" s="157">
        <f ca="1">IF(($C$2-B17*IF(ISBLANK(Design!$B$40),Constants!$C$6,Design!$B$40)/1000*(1+Constants!$C$31/100*(O17-25))-Design!$C$28) / (IF(ISBLANK(Design!$B$39),Design!$B$38,Design!$B$39)/1000000) * D17/100/(IF(ISBLANK(Design!$B$32),Design!$B$31,Design!$B$32)*1000000)&lt;0,0,($C$2-B17*IF(ISBLANK(Design!$B$40),Constants!$C$6,Design!$B$40)/1000*(1+Constants!$C$31/100*(O17-25))-Design!$C$28) / (IF(ISBLANK(Design!$B$39),Design!$B$38,Design!$B$39)/1000000) * D17/100/(IF(ISBLANK(Design!$B$32),Design!$B$31,Design!$B$32)*1000000))</f>
        <v>0.22204917603317792</v>
      </c>
      <c r="F17" s="207">
        <f>$C$2*Constants!$C$18/1000+IF(ISBLANK(Design!$B$32),Design!$B$31,Design!$B$32)*1000000*Constants!$D$22/1000000000*($C$2-Constants!$C$21)</f>
        <v>3.0374999999999999E-2</v>
      </c>
      <c r="G17" s="207">
        <f>$C$2*B17*($C$2/(Constants!$C$23*1000000000)*IF(ISBLANK(Design!$B$32),Design!$B$31,Design!$B$32)*1000000/2+$C$2/(Constants!$C$24*1000000000)*IF(ISBLANK(Design!$B$32),Design!$B$31,Design!$B$32)*1000000/2)</f>
        <v>1.2904817861339599E-2</v>
      </c>
      <c r="H17" s="207">
        <f t="shared" ca="1" si="39"/>
        <v>4.1035127888660726E-2</v>
      </c>
      <c r="I17" s="207">
        <f>Constants!$D$22/1000000000*Constants!$C$21*IF(ISBLANK(Design!$B$32),Design!$B$31,Design!$B$32)*1000000</f>
        <v>1.0624999999999999E-2</v>
      </c>
      <c r="J17" s="207">
        <f t="shared" ca="1" si="40"/>
        <v>9.493994575000031E-2</v>
      </c>
      <c r="K17" s="207">
        <f t="shared" ca="1" si="41"/>
        <v>0.12238733360377188</v>
      </c>
      <c r="L17" s="207">
        <f ca="1">B17^2*Design!$B$40/1000*(1+(O17-25)*(Constants!$C$31/100))</f>
        <v>3.5113665249875109E-2</v>
      </c>
      <c r="M17" s="207">
        <f>0.5*Snubber!$B$16/1000000000000*$C$2^2*Design!$B$32*1000000</f>
        <v>6.3920000000000001E-3</v>
      </c>
      <c r="N17" s="208">
        <f ca="1">$A17+K17*Design!$B$19</f>
        <v>91.976078015414998</v>
      </c>
      <c r="O17" s="208">
        <f ca="1">J17*Design!$C$12+A17</f>
        <v>88.227958155500005</v>
      </c>
      <c r="P17" s="208">
        <f ca="1">Constants!$D$19+Constants!$D$19*Constants!$C$20/100*(O17-25)</f>
        <v>161.535777202448</v>
      </c>
      <c r="Q17" s="207">
        <f ca="1">(1-Constants!$C$17/1000000000*Design!$B$32*1000000) * ($C$2+C17-B17*P17/1000) - (C17+B17*Design!$B$40/1000)</f>
        <v>7.4939255477565911</v>
      </c>
      <c r="R17" s="207">
        <f ca="1">IF(Q17&gt;Design!$C$28,Design!$C$28,Q17)</f>
        <v>3.3223709369024856</v>
      </c>
      <c r="S17" s="207">
        <f t="shared" ca="1" si="42"/>
        <v>0.25883294460364731</v>
      </c>
      <c r="T17" s="207">
        <f t="shared" ca="1" si="43"/>
        <v>2.4917782026768642</v>
      </c>
      <c r="U17" s="264">
        <f t="shared" ca="1" si="44"/>
        <v>90.58998416189975</v>
      </c>
      <c r="V17" s="223">
        <f t="shared" ref="V17:V24" si="58">V16+0.25</f>
        <v>0.75</v>
      </c>
      <c r="W17" s="158">
        <f ca="1">FORECAST(V17, OFFSET(Design!$C$15:$C$17,MATCH(V17,Design!$B$15:$B$17,1)-1,0,2), OFFSET(Design!$B$15:$B$17,MATCH(V17,Design!$B$15:$B$17,1)-1,0,2))+(AH17-25)*Design!$B$18/1000</f>
        <v>0.29399202061734026</v>
      </c>
      <c r="X17" s="224">
        <f ca="1">IF(100*(Design!$C$28+W17+V17*IF(ISBLANK(Design!$B$40),Constants!$C$6,Design!$B$40)/1000*(1+Constants!$C$31/100*(AI17-25)))/($W$2+W17-V17*AJ17/1000)&gt;Design!$C$35,Design!$C$35,100*(Design!$C$28+W17+V17*IF(ISBLANK(Design!$B$40),Constants!$C$6,Design!$B$40)/1000*(1+Constants!$C$31/100*(AI17-25)))/($W$2+W17-V17*AJ17/1000))</f>
        <v>30.095113824142253</v>
      </c>
      <c r="Y17" s="159">
        <f ca="1">($W$2-V17*IF(ISBLANK(Design!$B$40),Constants!$C$6,Design!$B$40)/1000*(1+Constants!$C$31/100*(AI17-25))-Design!$C$28) / (IF(ISBLANK(Design!$B$39),Design!$B$38,Design!$B$39)/1000000) * X17/100/(IF(ISBLANK(Design!$B$32),Design!$B$31,Design!$B$32)*1000000)</f>
        <v>0.27779862344158857</v>
      </c>
      <c r="Z17" s="225">
        <f>$W$2*Constants!$C$18/1000+IF(ISBLANK(Design!$B$32),Design!$B$31,Design!$B$32)*1000000*Constants!$D$22/1000000000*($W$2-Constants!$C$21)</f>
        <v>5.0874999999999997E-2</v>
      </c>
      <c r="AA17" s="225">
        <f>$W$2*V17*($W$2/(Constants!$C$23*1000000000)*IF(ISBLANK(Design!$B$32),Design!$B$31,Design!$B$32)*1000000/2+$W$2/(Constants!$C$24*1000000000)*IF(ISBLANK(Design!$B$32),Design!$B$31,Design!$B$32)*1000000/2)</f>
        <v>2.9035840188014098E-2</v>
      </c>
      <c r="AB17" s="225">
        <f t="shared" ca="1" si="45"/>
        <v>2.7758289673189714E-2</v>
      </c>
      <c r="AC17" s="225">
        <f>Constants!$D$22/1000000000*Constants!$C$21*IF(ISBLANK(Design!$B$32),Design!$B$31,Design!$B$32)*1000000</f>
        <v>1.0624999999999999E-2</v>
      </c>
      <c r="AD17" s="225">
        <f t="shared" ca="1" si="46"/>
        <v>0.1182941298612038</v>
      </c>
      <c r="AE17" s="225">
        <f t="shared" ca="1" si="47"/>
        <v>0.15413609053399197</v>
      </c>
      <c r="AF17" s="225">
        <f ca="1">V17^2*Design!$B$40/1000*(1+(AI17-25)*(Constants!$C$31/100))</f>
        <v>3.5201431733401525E-2</v>
      </c>
      <c r="AG17" s="225">
        <f>0.5*Snubber!$B$16/1000000000000*$W$2^2*Design!$B$32*1000000</f>
        <v>1.4382000000000001E-2</v>
      </c>
      <c r="AH17" s="226">
        <f ca="1">$A17+AE17*Design!$B$19</f>
        <v>93.785757160437541</v>
      </c>
      <c r="AI17" s="226">
        <f ca="1">AD17*Design!$C$12+$A17</f>
        <v>89.022000415280928</v>
      </c>
      <c r="AJ17" s="226">
        <f ca="1">Constants!$D$19+Constants!$D$19*Constants!$C$20/100*(AI17-25)</f>
        <v>162.12019230564675</v>
      </c>
      <c r="AK17" s="225">
        <f ca="1">(1-Constants!$C$17/1000000000*Design!$B$32*1000000) * ($W$2+W17-V17*AJ17/1000) - (W17+V17*Design!$B$40/1000)</f>
        <v>11.323582776024272</v>
      </c>
      <c r="AL17" s="225">
        <f ca="1">IF(AK17&gt;Design!$C$28,Design!$C$28,AK17)</f>
        <v>3.3223709369024856</v>
      </c>
      <c r="AM17" s="225">
        <f t="shared" ca="1" si="48"/>
        <v>0.32201365212859728</v>
      </c>
      <c r="AN17" s="225">
        <f t="shared" ca="1" si="49"/>
        <v>2.4917782026768642</v>
      </c>
      <c r="AO17" s="268">
        <f t="shared" ca="1" si="50"/>
        <v>88.555882284659589</v>
      </c>
      <c r="AP17" s="237">
        <f t="shared" ref="AP17:AP24" si="59">AP16+0.25</f>
        <v>0.75</v>
      </c>
      <c r="AQ17" s="160">
        <f ca="1">FORECAST(AP17, OFFSET(Design!$C$15:$C$17,MATCH(AP17,Design!$B$15:$B$17,1)-1,0,2), OFFSET(Design!$B$15:$B$17,MATCH(AP17,Design!$B$15:$B$17,1)-1,0,2))+(BB17-25)*Design!$B$18/1000</f>
        <v>0.29308617195830777</v>
      </c>
      <c r="AR17" s="238">
        <f ca="1">IF(100*(Design!$C$28+AQ17+AP17*IF(ISBLANK(Design!$B$40),Constants!$C$6,Design!$B$40)/1000*(1+Constants!$C$31/100*(BC17-25)))/($AQ$2+AQ17-AP17*BD17/1000)&gt;Design!$C$35,Design!$C$35,100*(Design!$C$28+AQ17+AP17*IF(ISBLANK(Design!$B$40),Constants!$C$6,Design!$B$40)/1000*(1+Constants!$C$31/100*(BC17-25)))/($AQ$2+AQ17-AP17*BD17/1000))</f>
        <v>22.649291783218398</v>
      </c>
      <c r="AS17" s="161">
        <f ca="1">($AQ$2-AP17*IF(ISBLANK(Design!$B$40),Constants!$C$6,Design!$B$40)/1000*(1+Constants!$C$31/100*(BC17-25))-Design!$C$28) / (IF(ISBLANK(Design!$B$39),Design!$B$38,Design!$B$39)/1000000) * AR17/100/(IF(ISBLANK(Design!$B$32),Design!$B$31,Design!$B$32)*1000000)</f>
        <v>0.3059595086536504</v>
      </c>
      <c r="AT17" s="239">
        <f>$AQ$2*Constants!$C$18/1000+IF(ISBLANK(Design!$B$32),Design!$B$31,Design!$B$32)*1000000*Constants!$D$22/1000000000*($AQ$2-Constants!$C$21)</f>
        <v>7.1374999999999994E-2</v>
      </c>
      <c r="AU17" s="239">
        <f>$AQ$2*AP17*($AQ$2/(Constants!$C$23*1000000000)*IF(ISBLANK(Design!$B$32),Design!$B$31,Design!$B$32)*1000000/2+$AQ$2/(Constants!$C$24*1000000000)*IF(ISBLANK(Design!$B$32),Design!$B$31,Design!$B$32)*1000000/2)</f>
        <v>5.1619271445358397E-2</v>
      </c>
      <c r="AV17" s="239">
        <f t="shared" ca="1" si="51"/>
        <v>2.1058526988251149E-2</v>
      </c>
      <c r="AW17" s="239">
        <f>Constants!$D$22/1000000000*Constants!$C$21*IF(ISBLANK(Design!$B$32),Design!$B$31,Design!$B$32)*1000000</f>
        <v>1.0624999999999999E-2</v>
      </c>
      <c r="AX17" s="239">
        <f t="shared" ca="1" si="52"/>
        <v>0.15467779843360954</v>
      </c>
      <c r="AY17" s="239">
        <f t="shared" ca="1" si="53"/>
        <v>0.17002817227140407</v>
      </c>
      <c r="AZ17" s="239">
        <f ca="1">AP17^2*Design!$B$40/1000*(1+(BC17-25)*(Constants!$C$31/100))</f>
        <v>3.5338163833875912E-2</v>
      </c>
      <c r="BA17" s="239">
        <f>0.5*Snubber!$B$16/1000000000000*$AQ$2^2*Design!$B$32*1000000</f>
        <v>2.5568E-2</v>
      </c>
      <c r="BB17" s="240">
        <f ca="1">$A17+AY17*Design!$B$19</f>
        <v>94.691605819470027</v>
      </c>
      <c r="BC17" s="240">
        <f ca="1">AX17*Design!$C$12+$A17</f>
        <v>90.259045146742721</v>
      </c>
      <c r="BD17" s="240">
        <f ca="1">Constants!$D$19+Constants!$D$19*Constants!$C$20/100*(BC17-25)</f>
        <v>163.03065722800267</v>
      </c>
      <c r="BE17" s="239">
        <f ca="1">(1-Constants!$C$17/1000000000*Design!$B$32*1000000) * ($AQ$2+AQ17-AP17*BD17/1000) - (AQ17+AP17*Design!$B$40/1000)</f>
        <v>15.152967446969914</v>
      </c>
      <c r="BF17" s="239">
        <f ca="1">IF(BE17&gt;Design!$C$28,Design!$C$28,BE17)</f>
        <v>3.3223709369024856</v>
      </c>
      <c r="BG17" s="239">
        <f t="shared" ca="1" si="54"/>
        <v>0.38561213453888948</v>
      </c>
      <c r="BH17" s="239">
        <f t="shared" ca="1" si="55"/>
        <v>2.4917782026768642</v>
      </c>
      <c r="BI17" s="271">
        <f t="shared" ca="1" si="56"/>
        <v>86.598546274676835</v>
      </c>
    </row>
    <row r="18" spans="1:61" ht="12.75" customHeight="1" x14ac:dyDescent="0.3">
      <c r="A18" s="154">
        <f>Design!$D$13</f>
        <v>85</v>
      </c>
      <c r="B18" s="274">
        <f t="shared" si="57"/>
        <v>1</v>
      </c>
      <c r="C18" s="156">
        <f ca="1">FORECAST(B18, OFFSET(Design!$C$15:$C$17,MATCH(B18,Design!$B$15:$B$17,1)-1,0,2), OFFSET(Design!$B$15:$B$17,MATCH(B18,Design!$B$15:$B$17,1)-1,0,2))+(N18-25)*Design!$B$18/1000</f>
        <v>0.31249124285904895</v>
      </c>
      <c r="D18" s="215">
        <f ca="1">IF(100*(Design!$C$28+C18+B18*IF(ISBLANK(Design!$B$40),Constants!$C$6,Design!$B$40)/1000*(1+Constants!$C$31/100*(O18-25)))/($C$2+C18-B18*P18/1000)&gt;Design!$C$35,Design!$C$35,100*(Design!$C$28+C18+B18*IF(ISBLANK(Design!$B$40),Constants!$C$6,Design!$B$40)/1000*(1+Constants!$C$31/100*(O18-25)))/($C$2+C18-B18*P18/1000))</f>
        <v>45.368409484349485</v>
      </c>
      <c r="E18" s="157">
        <f ca="1">IF(($C$2-B18*IF(ISBLANK(Design!$B$40),Constants!$C$6,Design!$B$40)/1000*(1+Constants!$C$31/100*(O18-25))-Design!$C$28) / (IF(ISBLANK(Design!$B$39),Design!$B$38,Design!$B$39)/1000000) * D18/100/(IF(ISBLANK(Design!$B$32),Design!$B$31,Design!$B$32)*1000000)&lt;0,0,($C$2-B18*IF(ISBLANK(Design!$B$40),Constants!$C$6,Design!$B$40)/1000*(1+Constants!$C$31/100*(O18-25))-Design!$C$28) / (IF(ISBLANK(Design!$B$39),Design!$B$38,Design!$B$39)/1000000) * D18/100/(IF(ISBLANK(Design!$B$32),Design!$B$31,Design!$B$32)*1000000))</f>
        <v>0.22392855488432781</v>
      </c>
      <c r="F18" s="207">
        <f>$C$2*Constants!$C$18/1000+IF(ISBLANK(Design!$B$32),Design!$B$31,Design!$B$32)*1000000*Constants!$D$22/1000000000*($C$2-Constants!$C$21)</f>
        <v>3.0374999999999999E-2</v>
      </c>
      <c r="G18" s="207">
        <f>$C$2*B18*($C$2/(Constants!$C$23*1000000000)*IF(ISBLANK(Design!$B$32),Design!$B$31,Design!$B$32)*1000000/2+$C$2/(Constants!$C$24*1000000000)*IF(ISBLANK(Design!$B$32),Design!$B$31,Design!$B$32)*1000000/2)</f>
        <v>1.7206423815119467E-2</v>
      </c>
      <c r="H18" s="207">
        <f t="shared" ca="1" si="39"/>
        <v>7.4017504987506089E-2</v>
      </c>
      <c r="I18" s="207">
        <f>Constants!$D$22/1000000000*Constants!$C$21*IF(ISBLANK(Design!$B$32),Design!$B$31,Design!$B$32)*1000000</f>
        <v>1.0624999999999999E-2</v>
      </c>
      <c r="J18" s="207">
        <f t="shared" ca="1" si="40"/>
        <v>0.13222392880262557</v>
      </c>
      <c r="K18" s="207">
        <f t="shared" ca="1" si="41"/>
        <v>0.1707189361960226</v>
      </c>
      <c r="L18" s="207">
        <f ca="1">B18^2*Design!$B$40/1000*(1+(O18-25)*(Constants!$C$31/100))</f>
        <v>6.2673388068330338E-2</v>
      </c>
      <c r="M18" s="207">
        <f>0.5*Snubber!$B$16/1000000000000*$C$2^2*Design!$B$32*1000000</f>
        <v>6.3920000000000001E-3</v>
      </c>
      <c r="N18" s="208">
        <f ca="1">$A18+K18*Design!$B$19</f>
        <v>94.73097936317329</v>
      </c>
      <c r="O18" s="208">
        <f ca="1">J18*Design!$C$12+A18</f>
        <v>89.49561357928927</v>
      </c>
      <c r="P18" s="208">
        <f ca="1">Constants!$D$19+Constants!$D$19*Constants!$C$20/100*(O18-25)</f>
        <v>162.46877159435689</v>
      </c>
      <c r="Q18" s="207">
        <f ca="1">(1-Constants!$C$17/1000000000*Design!$B$32*1000000) * ($C$2+C18-B18*P18/1000) - (C18+B18*Design!$B$40/1000)</f>
        <v>7.4411552733768946</v>
      </c>
      <c r="R18" s="207">
        <f ca="1">IF(Q18&gt;Design!$C$28,Design!$C$28,Q18)</f>
        <v>3.3223709369024856</v>
      </c>
      <c r="S18" s="207">
        <f t="shared" ca="1" si="42"/>
        <v>0.37200825306697854</v>
      </c>
      <c r="T18" s="207">
        <f t="shared" ca="1" si="43"/>
        <v>3.3223709369024856</v>
      </c>
      <c r="U18" s="264">
        <f t="shared" ca="1" si="44"/>
        <v>89.930425818849059</v>
      </c>
      <c r="V18" s="223">
        <f t="shared" si="58"/>
        <v>1</v>
      </c>
      <c r="W18" s="158">
        <f ca="1">FORECAST(V18, OFFSET(Design!$C$15:$C$17,MATCH(V18,Design!$B$15:$B$17,1)-1,0,2), OFFSET(Design!$B$15:$B$17,MATCH(V18,Design!$B$15:$B$17,1)-1,0,2))+(AH18-25)*Design!$B$18/1000</f>
        <v>0.30993016548148267</v>
      </c>
      <c r="X18" s="224">
        <f ca="1">IF(100*(Design!$C$28+W18+V18*IF(ISBLANK(Design!$B$40),Constants!$C$6,Design!$B$40)/1000*(1+Constants!$C$31/100*(AI18-25)))/($W$2+W18-V18*AJ18/1000)&gt;Design!$C$35,Design!$C$35,100*(Design!$C$28+W18+V18*IF(ISBLANK(Design!$B$40),Constants!$C$6,Design!$B$40)/1000*(1+Constants!$C$31/100*(AI18-25)))/($W$2+W18-V18*AJ18/1000))</f>
        <v>30.41977120117603</v>
      </c>
      <c r="Y18" s="159">
        <f ca="1">($W$2-V18*IF(ISBLANK(Design!$B$40),Constants!$C$6,Design!$B$40)/1000*(1+Constants!$C$31/100*(AI18-25))-Design!$C$28) / (IF(ISBLANK(Design!$B$39),Design!$B$38,Design!$B$39)/1000000) * X18/100/(IF(ISBLANK(Design!$B$32),Design!$B$31,Design!$B$32)*1000000)</f>
        <v>0.28027951657978867</v>
      </c>
      <c r="Z18" s="225">
        <f>$W$2*Constants!$C$18/1000+IF(ISBLANK(Design!$B$32),Design!$B$31,Design!$B$32)*1000000*Constants!$D$22/1000000000*($W$2-Constants!$C$21)</f>
        <v>5.0874999999999997E-2</v>
      </c>
      <c r="AA18" s="225">
        <f>$W$2*V18*($W$2/(Constants!$C$23*1000000000)*IF(ISBLANK(Design!$B$32),Design!$B$31,Design!$B$32)*1000000/2+$W$2/(Constants!$C$24*1000000000)*IF(ISBLANK(Design!$B$32),Design!$B$31,Design!$B$32)*1000000/2)</f>
        <v>3.8714453584018801E-2</v>
      </c>
      <c r="AB18" s="225">
        <f t="shared" ca="1" si="45"/>
        <v>4.9883117302884916E-2</v>
      </c>
      <c r="AC18" s="225">
        <f>Constants!$D$22/1000000000*Constants!$C$21*IF(ISBLANK(Design!$B$32),Design!$B$31,Design!$B$32)*1000000</f>
        <v>1.0624999999999999E-2</v>
      </c>
      <c r="AD18" s="225">
        <f t="shared" ca="1" si="46"/>
        <v>0.1500975708869037</v>
      </c>
      <c r="AE18" s="225">
        <f t="shared" ca="1" si="47"/>
        <v>0.2156501182585894</v>
      </c>
      <c r="AF18" s="225">
        <f ca="1">V18^2*Design!$B$40/1000*(1+(AI18-25)*(Constants!$C$31/100))</f>
        <v>6.2792801871095413E-2</v>
      </c>
      <c r="AG18" s="225">
        <f>0.5*Snubber!$B$16/1000000000000*$W$2^2*Design!$B$32*1000000</f>
        <v>1.4382000000000001E-2</v>
      </c>
      <c r="AH18" s="226">
        <f ca="1">$A18+AE18*Design!$B$19</f>
        <v>97.292056740739596</v>
      </c>
      <c r="AI18" s="226">
        <f ca="1">AD18*Design!$C$12+$A18</f>
        <v>90.10331741015473</v>
      </c>
      <c r="AJ18" s="226">
        <f ca="1">Constants!$D$19+Constants!$D$19*Constants!$C$20/100*(AI18-25)</f>
        <v>162.91604161387389</v>
      </c>
      <c r="AK18" s="225">
        <f ca="1">(1-Constants!$C$17/1000000000*Design!$B$32*1000000) * ($W$2+W18-V18*AJ18/1000) - (W18+V18*Design!$B$40/1000)</f>
        <v>11.270835858121751</v>
      </c>
      <c r="AL18" s="225">
        <f ca="1">IF(AK18&gt;Design!$C$28,Design!$C$28,AK18)</f>
        <v>3.3223709369024856</v>
      </c>
      <c r="AM18" s="225">
        <f t="shared" ca="1" si="48"/>
        <v>0.44292249101658854</v>
      </c>
      <c r="AN18" s="225">
        <f t="shared" ca="1" si="49"/>
        <v>3.3223709369024856</v>
      </c>
      <c r="AO18" s="268">
        <f t="shared" ca="1" si="50"/>
        <v>88.236707191732094</v>
      </c>
      <c r="AP18" s="237">
        <f t="shared" si="59"/>
        <v>1</v>
      </c>
      <c r="AQ18" s="160">
        <f ca="1">FORECAST(AP18, OFFSET(Design!$C$15:$C$17,MATCH(AP18,Design!$B$15:$B$17,1)-1,0,2), OFFSET(Design!$B$15:$B$17,MATCH(AP18,Design!$B$15:$B$17,1)-1,0,2))+(BB18-25)*Design!$B$18/1000</f>
        <v>0.30865443196732556</v>
      </c>
      <c r="AR18" s="238">
        <f ca="1">IF(100*(Design!$C$28+AQ18+AP18*IF(ISBLANK(Design!$B$40),Constants!$C$6,Design!$B$40)/1000*(1+Constants!$C$31/100*(BC18-25)))/($AQ$2+AQ18-AP18*BD18/1000)&gt;Design!$C$35,Design!$C$35,100*(Design!$C$28+AQ18+AP18*IF(ISBLANK(Design!$B$40),Constants!$C$6,Design!$B$40)/1000*(1+Constants!$C$31/100*(BC18-25)))/($AQ$2+AQ18-AP18*BD18/1000))</f>
        <v>22.880936306839743</v>
      </c>
      <c r="AS18" s="161">
        <f ca="1">($AQ$2-AP18*IF(ISBLANK(Design!$B$40),Constants!$C$6,Design!$B$40)/1000*(1+Constants!$C$31/100*(BC18-25))-Design!$C$28) / (IF(ISBLANK(Design!$B$39),Design!$B$38,Design!$B$39)/1000000) * AR18/100/(IF(ISBLANK(Design!$B$32),Design!$B$31,Design!$B$32)*1000000)</f>
        <v>0.30869879793524468</v>
      </c>
      <c r="AT18" s="239">
        <f>$AQ$2*Constants!$C$18/1000+IF(ISBLANK(Design!$B$32),Design!$B$31,Design!$B$32)*1000000*Constants!$D$22/1000000000*($AQ$2-Constants!$C$21)</f>
        <v>7.1374999999999994E-2</v>
      </c>
      <c r="AU18" s="239">
        <f>$AQ$2*AP18*($AQ$2/(Constants!$C$23*1000000000)*IF(ISBLANK(Design!$B$32),Design!$B$31,Design!$B$32)*1000000/2+$AQ$2/(Constants!$C$24*1000000000)*IF(ISBLANK(Design!$B$32),Design!$B$31,Design!$B$32)*1000000/2)</f>
        <v>6.8825695260477868E-2</v>
      </c>
      <c r="AV18" s="239">
        <f t="shared" ca="1" si="51"/>
        <v>3.7795064100589859E-2</v>
      </c>
      <c r="AW18" s="239">
        <f>Constants!$D$22/1000000000*Constants!$C$21*IF(ISBLANK(Design!$B$32),Design!$B$31,Design!$B$32)*1000000</f>
        <v>1.0624999999999999E-2</v>
      </c>
      <c r="AX18" s="239">
        <f t="shared" ca="1" si="52"/>
        <v>0.1886207593610677</v>
      </c>
      <c r="AY18" s="239">
        <f t="shared" ca="1" si="53"/>
        <v>0.23803140798064382</v>
      </c>
      <c r="AZ18" s="239">
        <f ca="1">AP18^2*Design!$B$40/1000*(1+(BC18-25)*(Constants!$C$31/100))</f>
        <v>6.3050175293291308E-2</v>
      </c>
      <c r="BA18" s="239">
        <f>0.5*Snubber!$B$16/1000000000000*$AQ$2^2*Design!$B$32*1000000</f>
        <v>2.5568E-2</v>
      </c>
      <c r="BB18" s="240">
        <f ca="1">$A18+AY18*Design!$B$19</f>
        <v>98.567790254896693</v>
      </c>
      <c r="BC18" s="240">
        <f ca="1">AX18*Design!$C$12+$A18</f>
        <v>91.413105818276307</v>
      </c>
      <c r="BD18" s="240">
        <f ca="1">Constants!$D$19+Constants!$D$19*Constants!$C$20/100*(BC18-25)</f>
        <v>163.88004588225135</v>
      </c>
      <c r="BE18" s="239">
        <f ca="1">(1-Constants!$C$17/1000000000*Design!$B$32*1000000) * ($AQ$2+AQ18-AP18*BD18/1000) - (AQ18+AP18*Design!$B$40/1000)</f>
        <v>15.099967042709133</v>
      </c>
      <c r="BF18" s="239">
        <f ca="1">IF(BE18&gt;Design!$C$28,Design!$C$28,BE18)</f>
        <v>3.3223709369024856</v>
      </c>
      <c r="BG18" s="239">
        <f t="shared" ca="1" si="54"/>
        <v>0.51527034263500282</v>
      </c>
      <c r="BH18" s="239">
        <f t="shared" ca="1" si="55"/>
        <v>3.3223709369024856</v>
      </c>
      <c r="BI18" s="271">
        <f t="shared" ca="1" si="56"/>
        <v>86.573254113602232</v>
      </c>
    </row>
    <row r="19" spans="1:61" ht="12.75" customHeight="1" x14ac:dyDescent="0.3">
      <c r="A19" s="154">
        <f>Design!$D$13</f>
        <v>85</v>
      </c>
      <c r="B19" s="274">
        <f t="shared" si="57"/>
        <v>1.25</v>
      </c>
      <c r="C19" s="156">
        <f ca="1">FORECAST(B19, OFFSET(Design!$C$15:$C$17,MATCH(B19,Design!$B$15:$B$17,1)-1,0,2), OFFSET(Design!$B$15:$B$17,MATCH(B19,Design!$B$15:$B$17,1)-1,0,2))+(N19-25)*Design!$B$18/1000</f>
        <v>0.32898829323422252</v>
      </c>
      <c r="D19" s="215">
        <f ca="1">IF(100*(Design!$C$28+C19+B19*IF(ISBLANK(Design!$B$40),Constants!$C$6,Design!$B$40)/1000*(1+Constants!$C$31/100*(O19-25)))/($C$2+C19-B19*P19/1000)&gt;Design!$C$35,Design!$C$35,100*(Design!$C$28+C19+B19*IF(ISBLANK(Design!$B$40),Constants!$C$6,Design!$B$40)/1000*(1+Constants!$C$31/100*(O19-25)))/($C$2+C19-B19*P19/1000))</f>
        <v>45.912335811995518</v>
      </c>
      <c r="E19" s="157">
        <f ca="1">IF(($C$2-B19*IF(ISBLANK(Design!$B$40),Constants!$C$6,Design!$B$40)/1000*(1+Constants!$C$31/100*(O19-25))-Design!$C$28) / (IF(ISBLANK(Design!$B$39),Design!$B$38,Design!$B$39)/1000000) * D19/100/(IF(ISBLANK(Design!$B$32),Design!$B$31,Design!$B$32)*1000000)&lt;0,0,($C$2-B19*IF(ISBLANK(Design!$B$40),Constants!$C$6,Design!$B$40)/1000*(1+Constants!$C$31/100*(O19-25))-Design!$C$28) / (IF(ISBLANK(Design!$B$39),Design!$B$38,Design!$B$39)/1000000) * D19/100/(IF(ISBLANK(Design!$B$32),Design!$B$31,Design!$B$32)*1000000))</f>
        <v>0.22582418528043596</v>
      </c>
      <c r="F19" s="207">
        <f>$C$2*Constants!$C$18/1000+IF(ISBLANK(Design!$B$32),Design!$B$31,Design!$B$32)*1000000*Constants!$D$22/1000000000*($C$2-Constants!$C$21)</f>
        <v>3.0374999999999999E-2</v>
      </c>
      <c r="G19" s="207">
        <f>$C$2*B19*($C$2/(Constants!$C$23*1000000000)*IF(ISBLANK(Design!$B$32),Design!$B$31,Design!$B$32)*1000000/2+$C$2/(Constants!$C$24*1000000000)*IF(ISBLANK(Design!$B$32),Design!$B$31,Design!$B$32)*1000000/2)</f>
        <v>2.1508029768899335E-2</v>
      </c>
      <c r="H19" s="207">
        <f t="shared" ca="1" si="39"/>
        <v>0.11773322549682866</v>
      </c>
      <c r="I19" s="207">
        <f>Constants!$D$22/1000000000*Constants!$C$21*IF(ISBLANK(Design!$B$32),Design!$B$31,Design!$B$32)*1000000</f>
        <v>1.0624999999999999E-2</v>
      </c>
      <c r="J19" s="207">
        <f t="shared" ca="1" si="40"/>
        <v>0.18024125526572798</v>
      </c>
      <c r="K19" s="207">
        <f t="shared" ca="1" si="41"/>
        <v>0.22242760407796716</v>
      </c>
      <c r="L19" s="207">
        <f ca="1">B19^2*Design!$B$40/1000*(1+(O19-25)*(Constants!$C$31/100))</f>
        <v>9.8428424728797398E-2</v>
      </c>
      <c r="M19" s="207">
        <f>0.5*Snubber!$B$16/1000000000000*$C$2^2*Design!$B$32*1000000</f>
        <v>6.3920000000000001E-3</v>
      </c>
      <c r="N19" s="208">
        <f ca="1">$A19+K19*Design!$B$19</f>
        <v>97.678373432444133</v>
      </c>
      <c r="O19" s="208">
        <f ca="1">J19*Design!$C$12+A19</f>
        <v>91.128202679034757</v>
      </c>
      <c r="P19" s="208">
        <f ca="1">Constants!$D$19+Constants!$D$19*Constants!$C$20/100*(O19-25)</f>
        <v>163.67035717176958</v>
      </c>
      <c r="Q19" s="207">
        <f ca="1">(1-Constants!$C$17/1000000000*Design!$B$32*1000000) * ($C$2+C19-B19*P19/1000) - (C19+B19*Design!$B$40/1000)</f>
        <v>7.3876250387975837</v>
      </c>
      <c r="R19" s="207">
        <f ca="1">IF(Q19&gt;Design!$C$28,Design!$C$28,Q19)</f>
        <v>3.3223709369024856</v>
      </c>
      <c r="S19" s="207">
        <f t="shared" ca="1" si="42"/>
        <v>0.5074892840724925</v>
      </c>
      <c r="T19" s="207">
        <f t="shared" ca="1" si="43"/>
        <v>4.1529636711281075</v>
      </c>
      <c r="U19" s="264">
        <f t="shared" ca="1" si="44"/>
        <v>89.110730460090039</v>
      </c>
      <c r="V19" s="223">
        <f t="shared" si="58"/>
        <v>1.25</v>
      </c>
      <c r="W19" s="158">
        <f ca="1">FORECAST(V19, OFFSET(Design!$C$15:$C$17,MATCH(V19,Design!$B$15:$B$17,1)-1,0,2), OFFSET(Design!$B$15:$B$17,MATCH(V19,Design!$B$15:$B$17,1)-1,0,2))+(AH19-25)*Design!$B$18/1000</f>
        <v>0.3256006745550114</v>
      </c>
      <c r="X19" s="224">
        <f ca="1">IF(100*(Design!$C$28+W19+V19*IF(ISBLANK(Design!$B$40),Constants!$C$6,Design!$B$40)/1000*(1+Constants!$C$31/100*(AI19-25)))/($W$2+W19-V19*AJ19/1000)&gt;Design!$C$35,Design!$C$35,100*(Design!$C$28+W19+V19*IF(ISBLANK(Design!$B$40),Constants!$C$6,Design!$B$40)/1000*(1+Constants!$C$31/100*(AI19-25)))/($W$2+W19-V19*AJ19/1000))</f>
        <v>30.747192433553025</v>
      </c>
      <c r="Y19" s="159">
        <f ca="1">($W$2-V19*IF(ISBLANK(Design!$B$40),Constants!$C$6,Design!$B$40)/1000*(1+Constants!$C$31/100*(AI19-25))-Design!$C$28) / (IF(ISBLANK(Design!$B$39),Design!$B$38,Design!$B$39)/1000000) * X19/100/(IF(ISBLANK(Design!$B$32),Design!$B$31,Design!$B$32)*1000000)</f>
        <v>0.28276938227770931</v>
      </c>
      <c r="Z19" s="225">
        <f>$W$2*Constants!$C$18/1000+IF(ISBLANK(Design!$B$32),Design!$B$31,Design!$B$32)*1000000*Constants!$D$22/1000000000*($W$2-Constants!$C$21)</f>
        <v>5.0874999999999997E-2</v>
      </c>
      <c r="AA19" s="225">
        <f>$W$2*V19*($W$2/(Constants!$C$23*1000000000)*IF(ISBLANK(Design!$B$32),Design!$B$31,Design!$B$32)*1000000/2+$W$2/(Constants!$C$24*1000000000)*IF(ISBLANK(Design!$B$32),Design!$B$31,Design!$B$32)*1000000/2)</f>
        <v>4.8393066980023498E-2</v>
      </c>
      <c r="AB19" s="225">
        <f t="shared" ca="1" si="45"/>
        <v>7.9071957383240563E-2</v>
      </c>
      <c r="AC19" s="225">
        <f>Constants!$D$22/1000000000*Constants!$C$21*IF(ISBLANK(Design!$B$32),Design!$B$31,Design!$B$32)*1000000</f>
        <v>1.0624999999999999E-2</v>
      </c>
      <c r="AD19" s="225">
        <f t="shared" ca="1" si="46"/>
        <v>0.18896502436326407</v>
      </c>
      <c r="AE19" s="225">
        <f t="shared" ca="1" si="47"/>
        <v>0.28185951073079424</v>
      </c>
      <c r="AF19" s="225">
        <f ca="1">V19^2*Design!$B$40/1000*(1+(AI19-25)*(Constants!$C$31/100))</f>
        <v>9.851949269964215E-2</v>
      </c>
      <c r="AG19" s="225">
        <f>0.5*Snubber!$B$16/1000000000000*$W$2^2*Design!$B$32*1000000</f>
        <v>1.4382000000000001E-2</v>
      </c>
      <c r="AH19" s="226">
        <f ca="1">$A19+AE19*Design!$B$19</f>
        <v>101.06599211165528</v>
      </c>
      <c r="AI19" s="226">
        <f ca="1">AD19*Design!$C$12+$A19</f>
        <v>91.424810828350985</v>
      </c>
      <c r="AJ19" s="226">
        <f ca="1">Constants!$D$19+Constants!$D$19*Constants!$C$20/100*(AI19-25)</f>
        <v>163.88866076966633</v>
      </c>
      <c r="AK19" s="225">
        <f ca="1">(1-Constants!$C$17/1000000000*Design!$B$32*1000000) * ($W$2+W19-V19*AJ19/1000) - (W19+V19*Design!$B$40/1000)</f>
        <v>11.217507730472718</v>
      </c>
      <c r="AL19" s="225">
        <f ca="1">IF(AK19&gt;Design!$C$28,Design!$C$28,AK19)</f>
        <v>3.3223709369024856</v>
      </c>
      <c r="AM19" s="225">
        <f t="shared" ca="1" si="48"/>
        <v>0.58372602779370042</v>
      </c>
      <c r="AN19" s="225">
        <f t="shared" ca="1" si="49"/>
        <v>4.1529636711281075</v>
      </c>
      <c r="AO19" s="268">
        <f t="shared" ca="1" si="50"/>
        <v>87.676498464179076</v>
      </c>
      <c r="AP19" s="237">
        <f t="shared" si="59"/>
        <v>1.25</v>
      </c>
      <c r="AQ19" s="160">
        <f ca="1">FORECAST(AP19, OFFSET(Design!$C$15:$C$17,MATCH(AP19,Design!$B$15:$B$17,1)-1,0,2), OFFSET(Design!$B$15:$B$17,MATCH(AP19,Design!$B$15:$B$17,1)-1,0,2))+(BB19-25)*Design!$B$18/1000</f>
        <v>0.32392175532670581</v>
      </c>
      <c r="AR19" s="238">
        <f ca="1">IF(100*(Design!$C$28+AQ19+AP19*IF(ISBLANK(Design!$B$40),Constants!$C$6,Design!$B$40)/1000*(1+Constants!$C$31/100*(BC19-25)))/($AQ$2+AQ19-AP19*BD19/1000)&gt;Design!$C$35,Design!$C$35,100*(Design!$C$28+AQ19+AP19*IF(ISBLANK(Design!$B$40),Constants!$C$6,Design!$B$40)/1000*(1+Constants!$C$31/100*(BC19-25)))/($AQ$2+AQ19-AP19*BD19/1000))</f>
        <v>23.113720170993567</v>
      </c>
      <c r="AS19" s="161">
        <f ca="1">($AQ$2-AP19*IF(ISBLANK(Design!$B$40),Constants!$C$6,Design!$B$40)/1000*(1+Constants!$C$31/100*(BC19-25))-Design!$C$28) / (IF(ISBLANK(Design!$B$39),Design!$B$38,Design!$B$39)/1000000) * AR19/100/(IF(ISBLANK(Design!$B$32),Design!$B$31,Design!$B$32)*1000000)</f>
        <v>0.3114416440736919</v>
      </c>
      <c r="AT19" s="239">
        <f>$AQ$2*Constants!$C$18/1000+IF(ISBLANK(Design!$B$32),Design!$B$31,Design!$B$32)*1000000*Constants!$D$22/1000000000*($AQ$2-Constants!$C$21)</f>
        <v>7.1374999999999994E-2</v>
      </c>
      <c r="AU19" s="239">
        <f>$AQ$2*AP19*($AQ$2/(Constants!$C$23*1000000000)*IF(ISBLANK(Design!$B$32),Design!$B$31,Design!$B$32)*1000000/2+$AQ$2/(Constants!$C$24*1000000000)*IF(ISBLANK(Design!$B$32),Design!$B$31,Design!$B$32)*1000000/2)</f>
        <v>8.6032119075597338E-2</v>
      </c>
      <c r="AV19" s="239">
        <f t="shared" ca="1" si="51"/>
        <v>5.9848404293488942E-2</v>
      </c>
      <c r="AW19" s="239">
        <f>Constants!$D$22/1000000000*Constants!$C$21*IF(ISBLANK(Design!$B$32),Design!$B$31,Design!$B$32)*1000000</f>
        <v>1.0624999999999999E-2</v>
      </c>
      <c r="AX19" s="239">
        <f t="shared" ca="1" si="52"/>
        <v>0.22788052336908629</v>
      </c>
      <c r="AY19" s="239">
        <f t="shared" ca="1" si="53"/>
        <v>0.31131423403440073</v>
      </c>
      <c r="AZ19" s="239">
        <f ca="1">AP19^2*Design!$B$40/1000*(1+(BC19-25)*(Constants!$C$31/100))</f>
        <v>9.8925734025982606E-2</v>
      </c>
      <c r="BA19" s="239">
        <f>0.5*Snubber!$B$16/1000000000000*$AQ$2^2*Design!$B$32*1000000</f>
        <v>2.5568E-2</v>
      </c>
      <c r="BB19" s="240">
        <f ca="1">$A19+AY19*Design!$B$19</f>
        <v>102.74491133996084</v>
      </c>
      <c r="BC19" s="240">
        <f ca="1">AX19*Design!$C$12+$A19</f>
        <v>92.747937794548932</v>
      </c>
      <c r="BD19" s="240">
        <f ca="1">Constants!$D$19+Constants!$D$19*Constants!$C$20/100*(BC19-25)</f>
        <v>164.86248221678801</v>
      </c>
      <c r="BE19" s="239">
        <f ca="1">(1-Constants!$C$17/1000000000*Design!$B$32*1000000) * ($AQ$2+AQ19-AP19*BD19/1000) - (AQ19+AP19*Design!$B$40/1000)</f>
        <v>15.046413541995395</v>
      </c>
      <c r="BF19" s="239">
        <f ca="1">IF(BE19&gt;Design!$C$28,Design!$C$28,BE19)</f>
        <v>3.3223709369024856</v>
      </c>
      <c r="BG19" s="239">
        <f t="shared" ca="1" si="54"/>
        <v>0.66368849142946962</v>
      </c>
      <c r="BH19" s="239">
        <f t="shared" ca="1" si="55"/>
        <v>4.1529636711281075</v>
      </c>
      <c r="BI19" s="271">
        <f t="shared" ca="1" si="56"/>
        <v>86.220958686021035</v>
      </c>
    </row>
    <row r="20" spans="1:61" ht="12.75" customHeight="1" x14ac:dyDescent="0.3">
      <c r="A20" s="154">
        <f>Design!$D$13</f>
        <v>85</v>
      </c>
      <c r="B20" s="274">
        <f t="shared" si="57"/>
        <v>1.5</v>
      </c>
      <c r="C20" s="156">
        <f ca="1">FORECAST(B20, OFFSET(Design!$C$15:$C$17,MATCH(B20,Design!$B$15:$B$17,1)-1,0,2), OFFSET(Design!$B$15:$B$17,MATCH(B20,Design!$B$15:$B$17,1)-1,0,2))+(N20-25)*Design!$B$18/1000</f>
        <v>0.34530644514722508</v>
      </c>
      <c r="D20" s="215">
        <f ca="1">IF(100*(Design!$C$28+C20+B20*IF(ISBLANK(Design!$B$40),Constants!$C$6,Design!$B$40)/1000*(1+Constants!$C$31/100*(O20-25)))/($C$2+C20-B20*P20/1000)&gt;Design!$C$35,Design!$C$35,100*(Design!$C$28+C20+B20*IF(ISBLANK(Design!$B$40),Constants!$C$6,Design!$B$40)/1000*(1+Constants!$C$31/100*(O20-25)))/($C$2+C20-B20*P20/1000))</f>
        <v>46.467870231717313</v>
      </c>
      <c r="E20" s="157">
        <f ca="1">IF(($C$2-B20*IF(ISBLANK(Design!$B$40),Constants!$C$6,Design!$B$40)/1000*(1+Constants!$C$31/100*(O20-25))-Design!$C$28) / (IF(ISBLANK(Design!$B$39),Design!$B$38,Design!$B$39)/1000000) * D20/100/(IF(ISBLANK(Design!$B$32),Design!$B$31,Design!$B$32)*1000000)&lt;0,0,($C$2-B20*IF(ISBLANK(Design!$B$40),Constants!$C$6,Design!$B$40)/1000*(1+Constants!$C$31/100*(O20-25))-Design!$C$28) / (IF(ISBLANK(Design!$B$39),Design!$B$38,Design!$B$39)/1000000) * D20/100/(IF(ISBLANK(Design!$B$32),Design!$B$31,Design!$B$32)*1000000))</f>
        <v>0.22774428447391812</v>
      </c>
      <c r="F20" s="207">
        <f>$C$2*Constants!$C$18/1000+IF(ISBLANK(Design!$B$32),Design!$B$31,Design!$B$32)*1000000*Constants!$D$22/1000000000*($C$2-Constants!$C$21)</f>
        <v>3.0374999999999999E-2</v>
      </c>
      <c r="G20" s="207">
        <f>$C$2*B20*($C$2/(Constants!$C$23*1000000000)*IF(ISBLANK(Design!$B$32),Design!$B$31,Design!$B$32)*1000000/2+$C$2/(Constants!$C$24*1000000000)*IF(ISBLANK(Design!$B$32),Design!$B$31,Design!$B$32)*1000000/2)</f>
        <v>2.5809635722679199E-2</v>
      </c>
      <c r="H20" s="207">
        <f t="shared" ca="1" si="39"/>
        <v>0.17301233949540662</v>
      </c>
      <c r="I20" s="207">
        <f>Constants!$D$22/1000000000*Constants!$C$21*IF(ISBLANK(Design!$B$32),Design!$B$31,Design!$B$32)*1000000</f>
        <v>1.0624999999999999E-2</v>
      </c>
      <c r="J20" s="207">
        <f t="shared" ca="1" si="40"/>
        <v>0.23982197521808582</v>
      </c>
      <c r="K20" s="207">
        <f t="shared" ca="1" si="41"/>
        <v>0.27727484147168457</v>
      </c>
      <c r="L20" s="207">
        <f ca="1">B20^2*Design!$B$40/1000*(1+(O20-25)*(Constants!$C$31/100))</f>
        <v>0.14263256388697207</v>
      </c>
      <c r="M20" s="207">
        <f>0.5*Snubber!$B$16/1000000000000*$C$2^2*Design!$B$32*1000000</f>
        <v>6.3920000000000001E-3</v>
      </c>
      <c r="N20" s="208">
        <f ca="1">$A20+K20*Design!$B$19</f>
        <v>100.80466596388602</v>
      </c>
      <c r="O20" s="208">
        <f ca="1">J20*Design!$C$12+A20</f>
        <v>93.153947157414919</v>
      </c>
      <c r="P20" s="208">
        <f ca="1">Constants!$D$19+Constants!$D$19*Constants!$C$20/100*(O20-25)</f>
        <v>165.1613051078574</v>
      </c>
      <c r="Q20" s="207">
        <f ca="1">(1-Constants!$C$17/1000000000*Design!$B$32*1000000) * ($C$2+C20-B20*P20/1000) - (C20+B20*Design!$B$40/1000)</f>
        <v>7.3331115516200827</v>
      </c>
      <c r="R20" s="207">
        <f ca="1">IF(Q20&gt;Design!$C$28,Design!$C$28,Q20)</f>
        <v>3.3223709369024856</v>
      </c>
      <c r="S20" s="207">
        <f t="shared" ca="1" si="42"/>
        <v>0.66612138057674242</v>
      </c>
      <c r="T20" s="207">
        <f t="shared" ca="1" si="43"/>
        <v>4.9835564053537285</v>
      </c>
      <c r="U20" s="264">
        <f t="shared" ca="1" si="44"/>
        <v>88.209568654771772</v>
      </c>
      <c r="V20" s="223">
        <f t="shared" si="58"/>
        <v>1.5</v>
      </c>
      <c r="W20" s="158">
        <f ca="1">FORECAST(V20, OFFSET(Design!$C$15:$C$17,MATCH(V20,Design!$B$15:$B$17,1)-1,0,2), OFFSET(Design!$B$15:$B$17,MATCH(V20,Design!$B$15:$B$17,1)-1,0,2))+(AH20-25)*Design!$B$18/1000</f>
        <v>0.34101570435516937</v>
      </c>
      <c r="X20" s="224">
        <f ca="1">IF(100*(Design!$C$28+W20+V20*IF(ISBLANK(Design!$B$40),Constants!$C$6,Design!$B$40)/1000*(1+Constants!$C$31/100*(AI20-25)))/($W$2+W20-V20*AJ20/1000)&gt;Design!$C$35,Design!$C$35,100*(Design!$C$28+W20+V20*IF(ISBLANK(Design!$B$40),Constants!$C$6,Design!$B$40)/1000*(1+Constants!$C$31/100*(AI20-25)))/($W$2+W20-V20*AJ20/1000))</f>
        <v>31.078248261338558</v>
      </c>
      <c r="Y20" s="159">
        <f ca="1">($W$2-V20*IF(ISBLANK(Design!$B$40),Constants!$C$6,Design!$B$40)/1000*(1+Constants!$C$31/100*(AI20-25))-Design!$C$28) / (IF(ISBLANK(Design!$B$39),Design!$B$38,Design!$B$39)/1000000) * X20/100/(IF(ISBLANK(Design!$B$32),Design!$B$31,Design!$B$32)*1000000)</f>
        <v>0.2852745761144202</v>
      </c>
      <c r="Z20" s="225">
        <f>$W$2*Constants!$C$18/1000+IF(ISBLANK(Design!$B$32),Design!$B$31,Design!$B$32)*1000000*Constants!$D$22/1000000000*($W$2-Constants!$C$21)</f>
        <v>5.0874999999999997E-2</v>
      </c>
      <c r="AA20" s="225">
        <f>$W$2*V20*($W$2/(Constants!$C$23*1000000000)*IF(ISBLANK(Design!$B$32),Design!$B$31,Design!$B$32)*1000000/2+$W$2/(Constants!$C$24*1000000000)*IF(ISBLANK(Design!$B$32),Design!$B$31,Design!$B$32)*1000000/2)</f>
        <v>5.8071680376028195E-2</v>
      </c>
      <c r="AB20" s="225">
        <f t="shared" ca="1" si="45"/>
        <v>0.11576008774758295</v>
      </c>
      <c r="AC20" s="225">
        <f>Constants!$D$22/1000000000*Constants!$C$21*IF(ISBLANK(Design!$B$32),Design!$B$31,Design!$B$32)*1000000</f>
        <v>1.0624999999999999E-2</v>
      </c>
      <c r="AD20" s="225">
        <f t="shared" ca="1" si="46"/>
        <v>0.23533176812361115</v>
      </c>
      <c r="AE20" s="225">
        <f t="shared" ca="1" si="47"/>
        <v>0.35255099571827625</v>
      </c>
      <c r="AF20" s="225">
        <f ca="1">V20^2*Design!$B$40/1000*(1+(AI20-25)*(Constants!$C$31/100))</f>
        <v>0.14256506597137616</v>
      </c>
      <c r="AG20" s="225">
        <f>0.5*Snubber!$B$16/1000000000000*$W$2^2*Design!$B$32*1000000</f>
        <v>1.4382000000000001E-2</v>
      </c>
      <c r="AH20" s="226">
        <f ca="1">$A20+AE20*Design!$B$19</f>
        <v>105.09540675594175</v>
      </c>
      <c r="AI20" s="226">
        <f ca="1">AD20*Design!$C$12+$A20</f>
        <v>93.001280116202778</v>
      </c>
      <c r="AJ20" s="226">
        <f ca="1">Constants!$D$19+Constants!$D$19*Constants!$C$20/100*(AI20-25)</f>
        <v>165.04894216552526</v>
      </c>
      <c r="AK20" s="225">
        <f ca="1">(1-Constants!$C$17/1000000000*Design!$B$32*1000000) * ($W$2+W20-V20*AJ20/1000) - (W20+V20*Design!$B$40/1000)</f>
        <v>11.163455289379669</v>
      </c>
      <c r="AL20" s="225">
        <f ca="1">IF(AK20&gt;Design!$C$28,Design!$C$28,AK20)</f>
        <v>3.3223709369024856</v>
      </c>
      <c r="AM20" s="225">
        <f t="shared" ca="1" si="48"/>
        <v>0.74482982981326362</v>
      </c>
      <c r="AN20" s="225">
        <f t="shared" ca="1" si="49"/>
        <v>4.9835564053537285</v>
      </c>
      <c r="AO20" s="268">
        <f t="shared" ca="1" si="50"/>
        <v>86.997562677588022</v>
      </c>
      <c r="AP20" s="237">
        <f t="shared" si="59"/>
        <v>1.5</v>
      </c>
      <c r="AQ20" s="160">
        <f ca="1">FORECAST(AP20, OFFSET(Design!$C$15:$C$17,MATCH(AP20,Design!$B$15:$B$17,1)-1,0,2), OFFSET(Design!$B$15:$B$17,MATCH(AP20,Design!$B$15:$B$17,1)-1,0,2))+(BB20-25)*Design!$B$18/1000</f>
        <v>0.3389004621794045</v>
      </c>
      <c r="AR20" s="238">
        <f ca="1">IF(100*(Design!$C$28+AQ20+AP20*IF(ISBLANK(Design!$B$40),Constants!$C$6,Design!$B$40)/1000*(1+Constants!$C$31/100*(BC20-25)))/($AQ$2+AQ20-AP20*BD20/1000)&gt;Design!$C$35,Design!$C$35,100*(Design!$C$28+AQ20+AP20*IF(ISBLANK(Design!$B$40),Constants!$C$6,Design!$B$40)/1000*(1+Constants!$C$31/100*(BC20-25)))/($AQ$2+AQ20-AP20*BD20/1000))</f>
        <v>23.348091635723563</v>
      </c>
      <c r="AS20" s="161">
        <f ca="1">($AQ$2-AP20*IF(ISBLANK(Design!$B$40),Constants!$C$6,Design!$B$40)/1000*(1+Constants!$C$31/100*(BC20-25))-Design!$C$28) / (IF(ISBLANK(Design!$B$39),Design!$B$38,Design!$B$39)/1000000) * AR20/100/(IF(ISBLANK(Design!$B$32),Design!$B$31,Design!$B$32)*1000000)</f>
        <v>0.31419316283735921</v>
      </c>
      <c r="AT20" s="239">
        <f>$AQ$2*Constants!$C$18/1000+IF(ISBLANK(Design!$B$32),Design!$B$31,Design!$B$32)*1000000*Constants!$D$22/1000000000*($AQ$2-Constants!$C$21)</f>
        <v>7.1374999999999994E-2</v>
      </c>
      <c r="AU20" s="239">
        <f>$AQ$2*AP20*($AQ$2/(Constants!$C$23*1000000000)*IF(ISBLANK(Design!$B$32),Design!$B$31,Design!$B$32)*1000000/2+$AQ$2/(Constants!$C$24*1000000000)*IF(ISBLANK(Design!$B$32),Design!$B$31,Design!$B$32)*1000000/2)</f>
        <v>0.10323854289071679</v>
      </c>
      <c r="AV20" s="239">
        <f t="shared" ca="1" si="51"/>
        <v>8.7516272251166483E-2</v>
      </c>
      <c r="AW20" s="239">
        <f>Constants!$D$22/1000000000*Constants!$C$21*IF(ISBLANK(Design!$B$32),Design!$B$31,Design!$B$32)*1000000</f>
        <v>1.0624999999999999E-2</v>
      </c>
      <c r="AX20" s="239">
        <f t="shared" ca="1" si="52"/>
        <v>0.27275481514188327</v>
      </c>
      <c r="AY20" s="239">
        <f t="shared" ca="1" si="53"/>
        <v>0.38966050757379966</v>
      </c>
      <c r="AZ20" s="239">
        <f ca="1">AP20^2*Design!$B$40/1000*(1+(BC20-25)*(Constants!$C$31/100))</f>
        <v>0.1431276185699166</v>
      </c>
      <c r="BA20" s="239">
        <f>0.5*Snubber!$B$16/1000000000000*$AQ$2^2*Design!$B$32*1000000</f>
        <v>2.5568E-2</v>
      </c>
      <c r="BB20" s="240">
        <f ca="1">$A20+AY20*Design!$B$19</f>
        <v>107.21064893170657</v>
      </c>
      <c r="BC20" s="240">
        <f ca="1">AX20*Design!$C$12+$A20</f>
        <v>94.273663714824039</v>
      </c>
      <c r="BD20" s="240">
        <f ca="1">Constants!$D$19+Constants!$D$19*Constants!$C$20/100*(BC20-25)</f>
        <v>165.9854164941105</v>
      </c>
      <c r="BE20" s="239">
        <f ca="1">(1-Constants!$C$17/1000000000*Design!$B$32*1000000) * ($AQ$2+AQ20-AP20*BD20/1000) - (AQ20+AP20*Design!$B$40/1000)</f>
        <v>14.992200175917709</v>
      </c>
      <c r="BF20" s="239">
        <f ca="1">IF(BE20&gt;Design!$C$28,Design!$C$28,BE20)</f>
        <v>3.3223709369024856</v>
      </c>
      <c r="BG20" s="239">
        <f t="shared" ca="1" si="54"/>
        <v>0.83111094128559959</v>
      </c>
      <c r="BH20" s="239">
        <f t="shared" ca="1" si="55"/>
        <v>4.9835564053537285</v>
      </c>
      <c r="BI20" s="271">
        <f t="shared" ca="1" si="56"/>
        <v>85.706646799563657</v>
      </c>
    </row>
    <row r="21" spans="1:61" ht="12.75" customHeight="1" x14ac:dyDescent="0.3">
      <c r="A21" s="154">
        <f>Design!$D$13</f>
        <v>85</v>
      </c>
      <c r="B21" s="274">
        <f t="shared" si="57"/>
        <v>1.75</v>
      </c>
      <c r="C21" s="156">
        <f ca="1">FORECAST(B21, OFFSET(Design!$C$15:$C$17,MATCH(B21,Design!$B$15:$B$17,1)-1,0,2), OFFSET(Design!$B$15:$B$17,MATCH(B21,Design!$B$15:$B$17,1)-1,0,2))+(N21-25)*Design!$B$18/1000</f>
        <v>0.36145973353101718</v>
      </c>
      <c r="D21" s="215">
        <f ca="1">IF(100*(Design!$C$28+C21+B21*IF(ISBLANK(Design!$B$40),Constants!$C$6,Design!$B$40)/1000*(1+Constants!$C$31/100*(O21-25)))/($C$2+C21-B21*P21/1000)&gt;Design!$C$35,Design!$C$35,100*(Design!$C$28+C21+B21*IF(ISBLANK(Design!$B$40),Constants!$C$6,Design!$B$40)/1000*(1+Constants!$C$31/100*(O21-25)))/($C$2+C21-B21*P21/1000))</f>
        <v>47.037859402492181</v>
      </c>
      <c r="E21" s="157">
        <f ca="1">IF(($C$2-B21*IF(ISBLANK(Design!$B$40),Constants!$C$6,Design!$B$40)/1000*(1+Constants!$C$31/100*(O21-25))-Design!$C$28) / (IF(ISBLANK(Design!$B$39),Design!$B$38,Design!$B$39)/1000000) * D21/100/(IF(ISBLANK(Design!$B$32),Design!$B$31,Design!$B$32)*1000000)&lt;0,0,($C$2-B21*IF(ISBLANK(Design!$B$40),Constants!$C$6,Design!$B$40)/1000*(1+Constants!$C$31/100*(O21-25))-Design!$C$28) / (IF(ISBLANK(Design!$B$39),Design!$B$38,Design!$B$39)/1000000) * D21/100/(IF(ISBLANK(Design!$B$32),Design!$B$31,Design!$B$32)*1000000))</f>
        <v>0.2296981421882017</v>
      </c>
      <c r="F21" s="207">
        <f>$C$2*Constants!$C$18/1000+IF(ISBLANK(Design!$B$32),Design!$B$31,Design!$B$32)*1000000*Constants!$D$22/1000000000*($C$2-Constants!$C$21)</f>
        <v>3.0374999999999999E-2</v>
      </c>
      <c r="G21" s="207">
        <f>$C$2*B21*($C$2/(Constants!$C$23*1000000000)*IF(ISBLANK(Design!$B$32),Design!$B$31,Design!$B$32)*1000000/2+$C$2/(Constants!$C$24*1000000000)*IF(ISBLANK(Design!$B$32),Design!$B$31,Design!$B$32)*1000000/2)</f>
        <v>3.0111241676459066E-2</v>
      </c>
      <c r="H21" s="207">
        <f t="shared" ca="1" si="39"/>
        <v>0.24086694320859292</v>
      </c>
      <c r="I21" s="207">
        <f>Constants!$D$22/1000000000*Constants!$C$21*IF(ISBLANK(Design!$B$32),Design!$B$31,Design!$B$32)*1000000</f>
        <v>1.0624999999999999E-2</v>
      </c>
      <c r="J21" s="207">
        <f t="shared" ca="1" si="40"/>
        <v>0.31197818488505197</v>
      </c>
      <c r="K21" s="207">
        <f t="shared" ca="1" si="41"/>
        <v>0.33501442148313021</v>
      </c>
      <c r="L21" s="207">
        <f ca="1">B21^2*Design!$B$40/1000*(1+(O21-25)*(Constants!$C$31/100))</f>
        <v>0.19561512415047716</v>
      </c>
      <c r="M21" s="207">
        <f>0.5*Snubber!$B$16/1000000000000*$C$2^2*Design!$B$32*1000000</f>
        <v>6.3920000000000001E-3</v>
      </c>
      <c r="N21" s="208">
        <f ca="1">$A21+K21*Design!$B$19</f>
        <v>104.09582202453842</v>
      </c>
      <c r="O21" s="208">
        <f ca="1">J21*Design!$C$12+A21</f>
        <v>95.607258286091763</v>
      </c>
      <c r="P21" s="208">
        <f ca="1">Constants!$D$19+Constants!$D$19*Constants!$C$20/100*(O21-25)</f>
        <v>166.96694209856355</v>
      </c>
      <c r="Q21" s="207">
        <f ca="1">(1-Constants!$C$17/1000000000*Design!$B$32*1000000) * ($C$2+C21-B21*P21/1000) - (C21+B21*Design!$B$40/1000)</f>
        <v>7.2773639789710263</v>
      </c>
      <c r="R21" s="207">
        <f ca="1">IF(Q21&gt;Design!$C$28,Design!$C$28,Q21)</f>
        <v>3.3223709369024856</v>
      </c>
      <c r="S21" s="207">
        <f t="shared" ca="1" si="42"/>
        <v>0.84899973051865918</v>
      </c>
      <c r="T21" s="207">
        <f t="shared" ca="1" si="43"/>
        <v>5.8141491395793494</v>
      </c>
      <c r="U21" s="264">
        <f t="shared" ca="1" si="44"/>
        <v>87.258280625716068</v>
      </c>
      <c r="V21" s="223">
        <f t="shared" si="58"/>
        <v>1.75</v>
      </c>
      <c r="W21" s="158">
        <f ca="1">FORECAST(V21, OFFSET(Design!$C$15:$C$17,MATCH(V21,Design!$B$15:$B$17,1)-1,0,2), OFFSET(Design!$B$15:$B$17,MATCH(V21,Design!$B$15:$B$17,1)-1,0,2))+(AH21-25)*Design!$B$18/1000</f>
        <v>0.35618714237293619</v>
      </c>
      <c r="X21" s="224">
        <f ca="1">IF(100*(Design!$C$28+W21+V21*IF(ISBLANK(Design!$B$40),Constants!$C$6,Design!$B$40)/1000*(1+Constants!$C$31/100*(AI21-25)))/($W$2+W21-V21*AJ21/1000)&gt;Design!$C$35,Design!$C$35,100*(Design!$C$28+W21+V21*IF(ISBLANK(Design!$B$40),Constants!$C$6,Design!$B$40)/1000*(1+Constants!$C$31/100*(AI21-25)))/($W$2+W21-V21*AJ21/1000))</f>
        <v>31.413900184272144</v>
      </c>
      <c r="Y21" s="159">
        <f ca="1">($W$2-V21*IF(ISBLANK(Design!$B$40),Constants!$C$6,Design!$B$40)/1000*(1+Constants!$C$31/100*(AI21-25))-Design!$C$28) / (IF(ISBLANK(Design!$B$39),Design!$B$38,Design!$B$39)/1000000) * X21/100/(IF(ISBLANK(Design!$B$32),Design!$B$31,Design!$B$32)*1000000)</f>
        <v>0.2878020380626074</v>
      </c>
      <c r="Z21" s="225">
        <f>$W$2*Constants!$C$18/1000+IF(ISBLANK(Design!$B$32),Design!$B$31,Design!$B$32)*1000000*Constants!$D$22/1000000000*($W$2-Constants!$C$21)</f>
        <v>5.0874999999999997E-2</v>
      </c>
      <c r="AA21" s="225">
        <f>$W$2*V21*($W$2/(Constants!$C$23*1000000000)*IF(ISBLANK(Design!$B$32),Design!$B$31,Design!$B$32)*1000000/2+$W$2/(Constants!$C$24*1000000000)*IF(ISBLANK(Design!$B$32),Design!$B$31,Design!$B$32)*1000000/2)</f>
        <v>6.7750293772032899E-2</v>
      </c>
      <c r="AB21" s="225">
        <f t="shared" ca="1" si="45"/>
        <v>0.16045529739110945</v>
      </c>
      <c r="AC21" s="225">
        <f>Constants!$D$22/1000000000*Constants!$C$21*IF(ISBLANK(Design!$B$32),Design!$B$31,Design!$B$32)*1000000</f>
        <v>1.0624999999999999E-2</v>
      </c>
      <c r="AD21" s="225">
        <f t="shared" ca="1" si="46"/>
        <v>0.28970559116314232</v>
      </c>
      <c r="AE21" s="225">
        <f t="shared" ca="1" si="47"/>
        <v>0.42751602074770867</v>
      </c>
      <c r="AF21" s="225">
        <f ca="1">V21^2*Design!$B$40/1000*(1+(AI21-25)*(Constants!$C$31/100))</f>
        <v>0.19515941435459297</v>
      </c>
      <c r="AG21" s="225">
        <f>0.5*Snubber!$B$16/1000000000000*$W$2^2*Design!$B$32*1000000</f>
        <v>1.4382000000000001E-2</v>
      </c>
      <c r="AH21" s="226">
        <f ca="1">$A21+AE21*Design!$B$19</f>
        <v>109.36841318261939</v>
      </c>
      <c r="AI21" s="226">
        <f ca="1">AD21*Design!$C$12+$A21</f>
        <v>94.849990099546844</v>
      </c>
      <c r="AJ21" s="226">
        <f ca="1">Constants!$D$19+Constants!$D$19*Constants!$C$20/100*(AI21-25)</f>
        <v>166.40959271326648</v>
      </c>
      <c r="AK21" s="225">
        <f ca="1">(1-Constants!$C$17/1000000000*Design!$B$32*1000000) * ($W$2+W21-V21*AJ21/1000) - (W21+V21*Design!$B$40/1000)</f>
        <v>11.108521972658984</v>
      </c>
      <c r="AL21" s="225">
        <f ca="1">IF(AK21&gt;Design!$C$28,Design!$C$28,AK21)</f>
        <v>3.3223709369024856</v>
      </c>
      <c r="AM21" s="225">
        <f t="shared" ca="1" si="48"/>
        <v>0.92676302626544393</v>
      </c>
      <c r="AN21" s="225">
        <f t="shared" ca="1" si="49"/>
        <v>5.8141491395793494</v>
      </c>
      <c r="AO21" s="268">
        <f t="shared" ca="1" si="50"/>
        <v>86.251667378767877</v>
      </c>
      <c r="AP21" s="237">
        <f t="shared" si="59"/>
        <v>1.75</v>
      </c>
      <c r="AQ21" s="160">
        <f ca="1">FORECAST(AP21, OFFSET(Design!$C$15:$C$17,MATCH(AP21,Design!$B$15:$B$17,1)-1,0,2), OFFSET(Design!$B$15:$B$17,MATCH(AP21,Design!$B$15:$B$17,1)-1,0,2))+(BB21-25)*Design!$B$18/1000</f>
        <v>0.35360241435622475</v>
      </c>
      <c r="AR21" s="238">
        <f ca="1">IF(100*(Design!$C$28+AQ21+AP21*IF(ISBLANK(Design!$B$40),Constants!$C$6,Design!$B$40)/1000*(1+Constants!$C$31/100*(BC21-25)))/($AQ$2+AQ21-AP21*BD21/1000)&gt;Design!$C$35,Design!$C$35,100*(Design!$C$28+AQ21+AP21*IF(ISBLANK(Design!$B$40),Constants!$C$6,Design!$B$40)/1000*(1+Constants!$C$31/100*(BC21-25)))/($AQ$2+AQ21-AP21*BD21/1000))</f>
        <v>23.58453496180341</v>
      </c>
      <c r="AS21" s="161">
        <f ca="1">($AQ$2-AP21*IF(ISBLANK(Design!$B$40),Constants!$C$6,Design!$B$40)/1000*(1+Constants!$C$31/100*(BC21-25))-Design!$C$28) / (IF(ISBLANK(Design!$B$39),Design!$B$38,Design!$B$39)/1000000) * AR21/100/(IF(ISBLANK(Design!$B$32),Design!$B$31,Design!$B$32)*1000000)</f>
        <v>0.31695882931637503</v>
      </c>
      <c r="AT21" s="239">
        <f>$AQ$2*Constants!$C$18/1000+IF(ISBLANK(Design!$B$32),Design!$B$31,Design!$B$32)*1000000*Constants!$D$22/1000000000*($AQ$2-Constants!$C$21)</f>
        <v>7.1374999999999994E-2</v>
      </c>
      <c r="AU21" s="239">
        <f>$AQ$2*AP21*($AQ$2/(Constants!$C$23*1000000000)*IF(ISBLANK(Design!$B$32),Design!$B$31,Design!$B$32)*1000000/2+$AQ$2/(Constants!$C$24*1000000000)*IF(ISBLANK(Design!$B$32),Design!$B$31,Design!$B$32)*1000000/2)</f>
        <v>0.12044496670583626</v>
      </c>
      <c r="AV21" s="239">
        <f t="shared" ca="1" si="51"/>
        <v>0.12113624036683994</v>
      </c>
      <c r="AW21" s="239">
        <f>Constants!$D$22/1000000000*Constants!$C$21*IF(ISBLANK(Design!$B$32),Design!$B$31,Design!$B$32)*1000000</f>
        <v>1.0624999999999999E-2</v>
      </c>
      <c r="AX21" s="239">
        <f t="shared" ca="1" si="52"/>
        <v>0.32358120707267618</v>
      </c>
      <c r="AY21" s="239">
        <f t="shared" ca="1" si="53"/>
        <v>0.47286212630404989</v>
      </c>
      <c r="AZ21" s="239">
        <f ca="1">AP21^2*Design!$B$40/1000*(1+(BC21-25)*(Constants!$C$31/100))</f>
        <v>0.19585252851113596</v>
      </c>
      <c r="BA21" s="239">
        <f>0.5*Snubber!$B$16/1000000000000*$AQ$2^2*Design!$B$32*1000000</f>
        <v>2.5568E-2</v>
      </c>
      <c r="BB21" s="240">
        <f ca="1">$A21+AY21*Design!$B$19</f>
        <v>111.95314119933084</v>
      </c>
      <c r="BC21" s="240">
        <f ca="1">AX21*Design!$C$12+$A21</f>
        <v>96.001761040470996</v>
      </c>
      <c r="BD21" s="240">
        <f ca="1">Constants!$D$19+Constants!$D$19*Constants!$C$20/100*(BC21-25)</f>
        <v>167.25729612578667</v>
      </c>
      <c r="BE21" s="239">
        <f ca="1">(1-Constants!$C$17/1000000000*Design!$B$32*1000000) * ($AQ$2+AQ21-AP21*BD21/1000) - (AQ21+AP21*Design!$B$40/1000)</f>
        <v>14.93721139056909</v>
      </c>
      <c r="BF21" s="239">
        <f ca="1">IF(BE21&gt;Design!$C$28,Design!$C$28,BE21)</f>
        <v>3.3223709369024856</v>
      </c>
      <c r="BG21" s="239">
        <f t="shared" ca="1" si="54"/>
        <v>1.0178638618878619</v>
      </c>
      <c r="BH21" s="239">
        <f t="shared" ca="1" si="55"/>
        <v>5.8141491395793494</v>
      </c>
      <c r="BI21" s="271">
        <f t="shared" ca="1" si="56"/>
        <v>85.10155262190996</v>
      </c>
    </row>
    <row r="22" spans="1:61" ht="12.75" customHeight="1" x14ac:dyDescent="0.3">
      <c r="A22" s="154">
        <f>Design!$D$13</f>
        <v>85</v>
      </c>
      <c r="B22" s="274">
        <f t="shared" si="57"/>
        <v>2</v>
      </c>
      <c r="C22" s="156">
        <f ca="1">FORECAST(B22, OFFSET(Design!$C$15:$C$17,MATCH(B22,Design!$B$15:$B$17,1)-1,0,2), OFFSET(Design!$B$15:$B$17,MATCH(B22,Design!$B$15:$B$17,1)-1,0,2))+(N22-25)*Design!$B$18/1000</f>
        <v>0.37746289957534424</v>
      </c>
      <c r="D22" s="215">
        <f ca="1">IF(100*(Design!$C$28+C22+B22*IF(ISBLANK(Design!$B$40),Constants!$C$6,Design!$B$40)/1000*(1+Constants!$C$31/100*(O22-25)))/($C$2+C22-B22*P22/1000)&gt;Design!$C$35,Design!$C$35,100*(Design!$C$28+C22+B22*IF(ISBLANK(Design!$B$40),Constants!$C$6,Design!$B$40)/1000*(1+Constants!$C$31/100*(O22-25)))/($C$2+C22-B22*P22/1000))</f>
        <v>47.625617352967843</v>
      </c>
      <c r="E22" s="157">
        <f ca="1">IF(($C$2-B22*IF(ISBLANK(Design!$B$40),Constants!$C$6,Design!$B$40)/1000*(1+Constants!$C$31/100*(O22-25))-Design!$C$28) / (IF(ISBLANK(Design!$B$39),Design!$B$38,Design!$B$39)/1000000) * D22/100/(IF(ISBLANK(Design!$B$32),Design!$B$31,Design!$B$32)*1000000)&lt;0,0,($C$2-B22*IF(ISBLANK(Design!$B$40),Constants!$C$6,Design!$B$40)/1000*(1+Constants!$C$31/100*(O22-25))-Design!$C$28) / (IF(ISBLANK(Design!$B$39),Design!$B$38,Design!$B$39)/1000000) * D22/100/(IF(ISBLANK(Design!$B$32),Design!$B$31,Design!$B$32)*1000000))</f>
        <v>0.23169642222891504</v>
      </c>
      <c r="F22" s="207">
        <f>$C$2*Constants!$C$18/1000+IF(ISBLANK(Design!$B$32),Design!$B$31,Design!$B$32)*1000000*Constants!$D$22/1000000000*($C$2-Constants!$C$21)</f>
        <v>3.0374999999999999E-2</v>
      </c>
      <c r="G22" s="207">
        <f>$C$2*B22*($C$2/(Constants!$C$23*1000000000)*IF(ISBLANK(Design!$B$32),Design!$B$31,Design!$B$32)*1000000/2+$C$2/(Constants!$C$24*1000000000)*IF(ISBLANK(Design!$B$32),Design!$B$31,Design!$B$32)*1000000/2)</f>
        <v>3.4412847630238934E-2</v>
      </c>
      <c r="H22" s="207">
        <f t="shared" ref="H22:H24" ca="1" si="60">IF($D$78,1,D22/100*(B22^2+E22^2/12)*P22/1000)</f>
        <v>0.32253474455946046</v>
      </c>
      <c r="I22" s="207">
        <f>Constants!$D$22/1000000000*Constants!$C$21*IF(ISBLANK(Design!$B$32),Design!$B$31,Design!$B$32)*1000000</f>
        <v>1.0624999999999999E-2</v>
      </c>
      <c r="J22" s="207">
        <f t="shared" ref="J22:J24" ca="1" si="61">SUM(F22:I22)</f>
        <v>0.39794759218969938</v>
      </c>
      <c r="K22" s="207">
        <f t="shared" ref="K22:K24" ca="1" si="62">B22*C22*(1-D22/100)</f>
        <v>0.39538772674834705</v>
      </c>
      <c r="L22" s="207">
        <f ca="1">B22^2*Design!$B$40/1000*(1+(O22-25)*(Constants!$C$31/100))</f>
        <v>0.25779475145367753</v>
      </c>
      <c r="M22" s="207">
        <f>0.5*Snubber!$B$16/1000000000000*$C$2^2*Design!$B$32*1000000</f>
        <v>6.3920000000000001E-3</v>
      </c>
      <c r="N22" s="208">
        <f ca="1">$A22+K22*Design!$B$19</f>
        <v>107.53710042465579</v>
      </c>
      <c r="O22" s="208">
        <f ca="1">J22*Design!$C$12+A22</f>
        <v>98.530218134449782</v>
      </c>
      <c r="P22" s="208">
        <f ca="1">Constants!$D$19+Constants!$D$19*Constants!$C$20/100*(O22-25)</f>
        <v>169.11824054695506</v>
      </c>
      <c r="Q22" s="207">
        <f ca="1">(1-Constants!$C$17/1000000000*Design!$B$32*1000000) * ($C$2+C22-B22*P22/1000) - (C22+B22*Design!$B$40/1000)</f>
        <v>7.2200963961206286</v>
      </c>
      <c r="R22" s="207">
        <f ca="1">IF(Q22&gt;Design!$C$28,Design!$C$28,Q22)</f>
        <v>3.3223709369024856</v>
      </c>
      <c r="S22" s="207">
        <f t="shared" ref="S22:S24" ca="1" si="63">SUM(J22:M22)</f>
        <v>1.0575220703917239</v>
      </c>
      <c r="T22" s="207">
        <f t="shared" ref="T22:T24" ca="1" si="64">R22*B22</f>
        <v>6.6447418738049713</v>
      </c>
      <c r="U22" s="264">
        <f t="shared" ref="U22:U24" ca="1" si="65">100*T22/(T22+S22)</f>
        <v>86.269984019587923</v>
      </c>
      <c r="V22" s="223">
        <f t="shared" si="58"/>
        <v>2</v>
      </c>
      <c r="W22" s="158">
        <f ca="1">FORECAST(V22, OFFSET(Design!$C$15:$C$17,MATCH(V22,Design!$B$15:$B$17,1)-1,0,2), OFFSET(Design!$B$15:$B$17,MATCH(V22,Design!$B$15:$B$17,1)-1,0,2))+(AH22-25)*Design!$B$18/1000</f>
        <v>0.37112669579632251</v>
      </c>
      <c r="X22" s="224">
        <f ca="1">IF(100*(Design!$C$28+W22+V22*IF(ISBLANK(Design!$B$40),Constants!$C$6,Design!$B$40)/1000*(1+Constants!$C$31/100*(AI22-25)))/($W$2+W22-V22*AJ22/1000)&gt;Design!$C$35,Design!$C$35,100*(Design!$C$28+W22+V22*IF(ISBLANK(Design!$B$40),Constants!$C$6,Design!$B$40)/1000*(1+Constants!$C$31/100*(AI22-25)))/($W$2+W22-V22*AJ22/1000))</f>
        <v>31.755219673857145</v>
      </c>
      <c r="Y22" s="159">
        <f ca="1">($W$2-V22*IF(ISBLANK(Design!$B$40),Constants!$C$6,Design!$B$40)/1000*(1+Constants!$C$31/100*(AI22-25))-Design!$C$28) / (IF(ISBLANK(Design!$B$39),Design!$B$38,Design!$B$39)/1000000) * X22/100/(IF(ISBLANK(Design!$B$32),Design!$B$31,Design!$B$32)*1000000)</f>
        <v>0.29035942264426573</v>
      </c>
      <c r="Z22" s="225">
        <f>$W$2*Constants!$C$18/1000+IF(ISBLANK(Design!$B$32),Design!$B$31,Design!$B$32)*1000000*Constants!$D$22/1000000000*($W$2-Constants!$C$21)</f>
        <v>5.0874999999999997E-2</v>
      </c>
      <c r="AA22" s="225">
        <f>$W$2*V22*($W$2/(Constants!$C$23*1000000000)*IF(ISBLANK(Design!$B$32),Design!$B$31,Design!$B$32)*1000000/2+$W$2/(Constants!$C$24*1000000000)*IF(ISBLANK(Design!$B$32),Design!$B$31,Design!$B$32)*1000000/2)</f>
        <v>7.7428907168037603E-2</v>
      </c>
      <c r="AB22" s="225">
        <f t="shared" ref="AB22:AB24" ca="1" si="66">IF($D$78,1,X22/100*(V22^2+Y22^2/12)*AJ22/1000)</f>
        <v>0.21375140363743728</v>
      </c>
      <c r="AC22" s="225">
        <f>Constants!$D$22/1000000000*Constants!$C$21*IF(ISBLANK(Design!$B$32),Design!$B$31,Design!$B$32)*1000000</f>
        <v>1.0624999999999999E-2</v>
      </c>
      <c r="AD22" s="225">
        <f t="shared" ref="AD22:AD24" ca="1" si="67">SUM(Z22:AC22)</f>
        <v>0.35268031080547491</v>
      </c>
      <c r="AE22" s="225">
        <f t="shared" ref="AE22:AE24" ca="1" si="68">V22*W22*(1-X22/100)</f>
        <v>0.50654919655574548</v>
      </c>
      <c r="AF22" s="225">
        <f ca="1">V22^2*Design!$B$40/1000*(1+(AI22-25)*(Constants!$C$31/100))</f>
        <v>0.25658502862596555</v>
      </c>
      <c r="AG22" s="225">
        <f>0.5*Snubber!$B$16/1000000000000*$W$2^2*Design!$B$32*1000000</f>
        <v>1.4382000000000001E-2</v>
      </c>
      <c r="AH22" s="226">
        <f ca="1">$A22+AE22*Design!$B$19</f>
        <v>113.87330420367749</v>
      </c>
      <c r="AI22" s="226">
        <f ca="1">AD22*Design!$C$12+$A22</f>
        <v>96.991130567386151</v>
      </c>
      <c r="AJ22" s="226">
        <f ca="1">Constants!$D$19+Constants!$D$19*Constants!$C$20/100*(AI22-25)</f>
        <v>167.98547209759622</v>
      </c>
      <c r="AK22" s="225">
        <f ca="1">(1-Constants!$C$17/1000000000*Design!$B$32*1000000) * ($W$2+W22-V22*AJ22/1000) - (W22+V22*Design!$B$40/1000)</f>
        <v>11.052534936361759</v>
      </c>
      <c r="AL22" s="225">
        <f ca="1">IF(AK22&gt;Design!$C$28,Design!$C$28,AK22)</f>
        <v>3.3223709369024856</v>
      </c>
      <c r="AM22" s="225">
        <f t="shared" ref="AM22:AM24" ca="1" si="69">SUM(AD22:AG22)</f>
        <v>1.1301965359871859</v>
      </c>
      <c r="AN22" s="225">
        <f t="shared" ref="AN22:AN24" ca="1" si="70">AL22*V22</f>
        <v>6.6447418738049713</v>
      </c>
      <c r="AO22" s="268">
        <f t="shared" ref="AO22:AO24" ca="1" si="71">100*AN22/(AN22+AM22)</f>
        <v>85.463594996922964</v>
      </c>
      <c r="AP22" s="237">
        <f t="shared" si="59"/>
        <v>2</v>
      </c>
      <c r="AQ22" s="160">
        <f ca="1">FORECAST(AP22, OFFSET(Design!$C$15:$C$17,MATCH(AP22,Design!$B$15:$B$17,1)-1,0,2), OFFSET(Design!$B$15:$B$17,MATCH(AP22,Design!$B$15:$B$17,1)-1,0,2))+(BB22-25)*Design!$B$18/1000</f>
        <v>0.36803907384695517</v>
      </c>
      <c r="AR22" s="238">
        <f ca="1">IF(100*(Design!$C$28+AQ22+AP22*IF(ISBLANK(Design!$B$40),Constants!$C$6,Design!$B$40)/1000*(1+Constants!$C$31/100*(BC22-25)))/($AQ$2+AQ22-AP22*BD22/1000)&gt;Design!$C$35,Design!$C$35,100*(Design!$C$28+AQ22+AP22*IF(ISBLANK(Design!$B$40),Constants!$C$6,Design!$B$40)/1000*(1+Constants!$C$31/100*(BC22-25)))/($AQ$2+AQ22-AP22*BD22/1000))</f>
        <v>23.823577096848485</v>
      </c>
      <c r="AS22" s="161">
        <f ca="1">($AQ$2-AP22*IF(ISBLANK(Design!$B$40),Constants!$C$6,Design!$B$40)/1000*(1+Constants!$C$31/100*(BC22-25))-Design!$C$28) / (IF(ISBLANK(Design!$B$39),Design!$B$38,Design!$B$39)/1000000) * AR22/100/(IF(ISBLANK(Design!$B$32),Design!$B$31,Design!$B$32)*1000000)</f>
        <v>0.31974454907609517</v>
      </c>
      <c r="AT22" s="239">
        <f>$AQ$2*Constants!$C$18/1000+IF(ISBLANK(Design!$B$32),Design!$B$31,Design!$B$32)*1000000*Constants!$D$22/1000000000*($AQ$2-Constants!$C$21)</f>
        <v>7.1374999999999994E-2</v>
      </c>
      <c r="AU22" s="239">
        <f>$AQ$2*AP22*($AQ$2/(Constants!$C$23*1000000000)*IF(ISBLANK(Design!$B$32),Design!$B$31,Design!$B$32)*1000000/2+$AQ$2/(Constants!$C$24*1000000000)*IF(ISBLANK(Design!$B$32),Design!$B$31,Design!$B$32)*1000000/2)</f>
        <v>0.13765139052095574</v>
      </c>
      <c r="AV22" s="239">
        <f t="shared" ref="AV22:AV24" ca="1" si="72">IF($D$78,1,AR22/100*(AP22^2+AS22^2/12)*BD22/1000)</f>
        <v>0.16109218870626554</v>
      </c>
      <c r="AW22" s="239">
        <f>Constants!$D$22/1000000000*Constants!$C$21*IF(ISBLANK(Design!$B$32),Design!$B$31,Design!$B$32)*1000000</f>
        <v>1.0624999999999999E-2</v>
      </c>
      <c r="AX22" s="239">
        <f t="shared" ref="AX22:AX24" ca="1" si="73">SUM(AT22:AW22)</f>
        <v>0.38074357922722124</v>
      </c>
      <c r="AY22" s="239">
        <f t="shared" ref="AY22:AY24" ca="1" si="74">AP22*AQ22*(1-AR22/100)</f>
        <v>0.56071800268499739</v>
      </c>
      <c r="AZ22" s="239">
        <f ca="1">AP22^2*Design!$B$40/1000*(1+(BC22-25)*(Constants!$C$31/100))</f>
        <v>0.25733499141126831</v>
      </c>
      <c r="BA22" s="239">
        <f>0.5*Snubber!$B$16/1000000000000*$AQ$2^2*Design!$B$32*1000000</f>
        <v>2.5568E-2</v>
      </c>
      <c r="BB22" s="240">
        <f ca="1">$A22+AY22*Design!$B$19</f>
        <v>116.96092615304485</v>
      </c>
      <c r="BC22" s="240">
        <f ca="1">AX22*Design!$C$12+$A22</f>
        <v>97.945281693725519</v>
      </c>
      <c r="BD22" s="240">
        <f ca="1">Constants!$D$19+Constants!$D$19*Constants!$C$20/100*(BC22-25)</f>
        <v>168.68772732658198</v>
      </c>
      <c r="BE22" s="239">
        <f ca="1">(1-Constants!$C$17/1000000000*Design!$B$32*1000000) * ($AQ$2+AQ22-AP22*BD22/1000) - (AQ22+AP22*Design!$B$40/1000)</f>
        <v>14.881321341531102</v>
      </c>
      <c r="BF22" s="239">
        <f ca="1">IF(BE22&gt;Design!$C$28,Design!$C$28,BE22)</f>
        <v>3.3223709369024856</v>
      </c>
      <c r="BG22" s="239">
        <f t="shared" ref="BG22:BG24" ca="1" si="75">SUM(AX22:BA22)</f>
        <v>1.2243645733234869</v>
      </c>
      <c r="BH22" s="239">
        <f t="shared" ref="BH22:BH24" ca="1" si="76">BF22*AP22</f>
        <v>6.6447418738049713</v>
      </c>
      <c r="BI22" s="271">
        <f t="shared" ref="BI22:BI24" ca="1" si="77">100*BH22/(BH22+BG22)</f>
        <v>84.440869092954344</v>
      </c>
    </row>
    <row r="23" spans="1:61" ht="12.75" customHeight="1" x14ac:dyDescent="0.3">
      <c r="A23" s="154">
        <f>Design!$D$13</f>
        <v>85</v>
      </c>
      <c r="B23" s="274">
        <f t="shared" si="57"/>
        <v>2.25</v>
      </c>
      <c r="C23" s="156">
        <f ca="1">FORECAST(B23, OFFSET(Design!$C$15:$C$17,MATCH(B23,Design!$B$15:$B$17,1)-1,0,2), OFFSET(Design!$B$15:$B$17,MATCH(B23,Design!$B$15:$B$17,1)-1,0,2))+(N23-25)*Design!$B$18/1000</f>
        <v>0.38092171573661726</v>
      </c>
      <c r="D23" s="215">
        <f ca="1">IF(100*(Design!$C$28+C23+B23*IF(ISBLANK(Design!$B$40),Constants!$C$6,Design!$B$40)/1000*(1+Constants!$C$31/100*(O23-25)))/($C$2+C23-B23*P23/1000)&gt;Design!$C$35,Design!$C$35,100*(Design!$C$28+C23+B23*IF(ISBLANK(Design!$B$40),Constants!$C$6,Design!$B$40)/1000*(1+Constants!$C$31/100*(O23-25)))/($C$2+C23-B23*P23/1000))</f>
        <v>48.154309121193002</v>
      </c>
      <c r="E23" s="157">
        <f ca="1">IF(($C$2-B23*IF(ISBLANK(Design!$B$40),Constants!$C$6,Design!$B$40)/1000*(1+Constants!$C$31/100*(O23-25))-Design!$C$28) / (IF(ISBLANK(Design!$B$39),Design!$B$38,Design!$B$39)/1000000) * D23/100/(IF(ISBLANK(Design!$B$32),Design!$B$31,Design!$B$32)*1000000)&lt;0,0,($C$2-B23*IF(ISBLANK(Design!$B$40),Constants!$C$6,Design!$B$40)/1000*(1+Constants!$C$31/100*(O23-25))-Design!$C$28) / (IF(ISBLANK(Design!$B$39),Design!$B$38,Design!$B$39)/1000000) * D23/100/(IF(ISBLANK(Design!$B$32),Design!$B$31,Design!$B$32)*1000000))</f>
        <v>0.23336082679241807</v>
      </c>
      <c r="F23" s="207">
        <f>$C$2*Constants!$C$18/1000+IF(ISBLANK(Design!$B$32),Design!$B$31,Design!$B$32)*1000000*Constants!$D$22/1000000000*($C$2-Constants!$C$21)</f>
        <v>3.0374999999999999E-2</v>
      </c>
      <c r="G23" s="207">
        <f>$C$2*B23*($C$2/(Constants!$C$23*1000000000)*IF(ISBLANK(Design!$B$32),Design!$B$31,Design!$B$32)*1000000/2+$C$2/(Constants!$C$24*1000000000)*IF(ISBLANK(Design!$B$32),Design!$B$31,Design!$B$32)*1000000/2)</f>
        <v>3.8714453584018801E-2</v>
      </c>
      <c r="H23" s="207">
        <f t="shared" ca="1" si="60"/>
        <v>0.41878774459830748</v>
      </c>
      <c r="I23" s="207">
        <f>Constants!$D$22/1000000000*Constants!$C$21*IF(ISBLANK(Design!$B$32),Design!$B$31,Design!$B$32)*1000000</f>
        <v>1.0624999999999999E-2</v>
      </c>
      <c r="J23" s="207">
        <f t="shared" ca="1" si="61"/>
        <v>0.49850219818232627</v>
      </c>
      <c r="K23" s="207">
        <f t="shared" ca="1" si="62"/>
        <v>0.44435586426987261</v>
      </c>
      <c r="L23" s="207">
        <f ca="1">B23^2*Design!$B$40/1000*(1+(O23-25)*(Constants!$C$31/100))</f>
        <v>0.32967249675440913</v>
      </c>
      <c r="M23" s="207">
        <f>0.5*Snubber!$B$16/1000000000000*$C$2^2*Design!$B$32*1000000</f>
        <v>6.3920000000000001E-3</v>
      </c>
      <c r="N23" s="208">
        <f ca="1">$A23+K23*Design!$B$19</f>
        <v>110.32828426338274</v>
      </c>
      <c r="O23" s="208">
        <f ca="1">J23*Design!$C$12+A23</f>
        <v>101.9490747381991</v>
      </c>
      <c r="P23" s="208">
        <f ca="1">Constants!$D$19+Constants!$D$19*Constants!$C$20/100*(O23-25)</f>
        <v>171.63451900731454</v>
      </c>
      <c r="Q23" s="207">
        <f ca="1">(1-Constants!$C$17/1000000000*Design!$B$32*1000000) * ($C$2+C23-B23*P23/1000) - (C23+B23*Design!$B$40/1000)</f>
        <v>7.1615457101948108</v>
      </c>
      <c r="R23" s="207">
        <f ca="1">IF(Q23&gt;Design!$C$28,Design!$C$28,Q23)</f>
        <v>3.3223709369024856</v>
      </c>
      <c r="S23" s="207">
        <f t="shared" ca="1" si="63"/>
        <v>1.278922559206608</v>
      </c>
      <c r="T23" s="207">
        <f t="shared" ca="1" si="64"/>
        <v>7.4753346080305931</v>
      </c>
      <c r="U23" s="264">
        <f t="shared" ca="1" si="65"/>
        <v>85.390850019885477</v>
      </c>
      <c r="V23" s="223">
        <f t="shared" si="58"/>
        <v>2.25</v>
      </c>
      <c r="W23" s="158">
        <f ca="1">FORECAST(V23, OFFSET(Design!$C$15:$C$17,MATCH(V23,Design!$B$15:$B$17,1)-1,0,2), OFFSET(Design!$B$15:$B$17,MATCH(V23,Design!$B$15:$B$17,1)-1,0,2))+(AH23-25)*Design!$B$18/1000</f>
        <v>0.37367800139064067</v>
      </c>
      <c r="X23" s="224">
        <f ca="1">IF(100*(Design!$C$28+W23+V23*IF(ISBLANK(Design!$B$40),Constants!$C$6,Design!$B$40)/1000*(1+Constants!$C$31/100*(AI23-25)))/($W$2+W23-V23*AJ23/1000)&gt;Design!$C$35,Design!$C$35,100*(Design!$C$28+W23+V23*IF(ISBLANK(Design!$B$40),Constants!$C$6,Design!$B$40)/1000*(1+Constants!$C$31/100*(AI23-25)))/($W$2+W23-V23*AJ23/1000))</f>
        <v>32.034345676412137</v>
      </c>
      <c r="Y23" s="159">
        <f ca="1">($W$2-V23*IF(ISBLANK(Design!$B$40),Constants!$C$6,Design!$B$40)/1000*(1+Constants!$C$31/100*(AI23-25))-Design!$C$28) / (IF(ISBLANK(Design!$B$39),Design!$B$38,Design!$B$39)/1000000) * X23/100/(IF(ISBLANK(Design!$B$32),Design!$B$31,Design!$B$32)*1000000)</f>
        <v>0.29232532420558732</v>
      </c>
      <c r="Z23" s="225">
        <f>$W$2*Constants!$C$18/1000+IF(ISBLANK(Design!$B$32),Design!$B$31,Design!$B$32)*1000000*Constants!$D$22/1000000000*($W$2-Constants!$C$21)</f>
        <v>5.0874999999999997E-2</v>
      </c>
      <c r="AA23" s="225">
        <f>$W$2*V23*($W$2/(Constants!$C$23*1000000000)*IF(ISBLANK(Design!$B$32),Design!$B$31,Design!$B$32)*1000000/2+$W$2/(Constants!$C$24*1000000000)*IF(ISBLANK(Design!$B$32),Design!$B$31,Design!$B$32)*1000000/2)</f>
        <v>8.7107520564042293E-2</v>
      </c>
      <c r="AB23" s="225">
        <f t="shared" ca="1" si="66"/>
        <v>0.27572361351377256</v>
      </c>
      <c r="AC23" s="225">
        <f>Constants!$D$22/1000000000*Constants!$C$21*IF(ISBLANK(Design!$B$32),Design!$B$31,Design!$B$32)*1000000</f>
        <v>1.0624999999999999E-2</v>
      </c>
      <c r="AD23" s="225">
        <f t="shared" ca="1" si="67"/>
        <v>0.42433113407781486</v>
      </c>
      <c r="AE23" s="225">
        <f t="shared" ca="1" si="68"/>
        <v>0.57143857209402305</v>
      </c>
      <c r="AF23" s="225">
        <f ca="1">V23^2*Design!$B$40/1000*(1+(AI23-25)*(Constants!$C$31/100))</f>
        <v>0.32716384130304277</v>
      </c>
      <c r="AG23" s="225">
        <f>0.5*Snubber!$B$16/1000000000000*$W$2^2*Design!$B$32*1000000</f>
        <v>1.4382000000000001E-2</v>
      </c>
      <c r="AH23" s="226">
        <f ca="1">$A23+AE23*Design!$B$19</f>
        <v>117.57199860935931</v>
      </c>
      <c r="AI23" s="226">
        <f ca="1">AD23*Design!$C$12+$A23</f>
        <v>99.427258558645704</v>
      </c>
      <c r="AJ23" s="226">
        <f ca="1">Constants!$D$19+Constants!$D$19*Constants!$C$20/100*(AI23-25)</f>
        <v>169.77846229916324</v>
      </c>
      <c r="AK23" s="225">
        <f ca="1">(1-Constants!$C$17/1000000000*Design!$B$32*1000000) * ($W$2+W23-V23*AJ23/1000) - (W23+V23*Design!$B$40/1000)</f>
        <v>10.995852210225138</v>
      </c>
      <c r="AL23" s="225">
        <f ca="1">IF(AK23&gt;Design!$C$28,Design!$C$28,AK23)</f>
        <v>3.3223709369024856</v>
      </c>
      <c r="AM23" s="225">
        <f t="shared" ca="1" si="69"/>
        <v>1.3373155474748806</v>
      </c>
      <c r="AN23" s="225">
        <f t="shared" ca="1" si="70"/>
        <v>7.4753346080305931</v>
      </c>
      <c r="AO23" s="268">
        <f t="shared" ca="1" si="71"/>
        <v>84.825046678615436</v>
      </c>
      <c r="AP23" s="237">
        <f t="shared" si="59"/>
        <v>2.25</v>
      </c>
      <c r="AQ23" s="160">
        <f ca="1">FORECAST(AP23, OFFSET(Design!$C$15:$C$17,MATCH(AP23,Design!$B$15:$B$17,1)-1,0,2), OFFSET(Design!$B$15:$B$17,MATCH(AP23,Design!$B$15:$B$17,1)-1,0,2))+(BB23-25)*Design!$B$18/1000</f>
        <v>0.37017323920262674</v>
      </c>
      <c r="AR23" s="238">
        <f ca="1">IF(100*(Design!$C$28+AQ23+AP23*IF(ISBLANK(Design!$B$40),Constants!$C$6,Design!$B$40)/1000*(1+Constants!$C$31/100*(BC23-25)))/($AQ$2+AQ23-AP23*BD23/1000)&gt;Design!$C$35,Design!$C$35,100*(Design!$C$28+AQ23+AP23*IF(ISBLANK(Design!$B$40),Constants!$C$6,Design!$B$40)/1000*(1+Constants!$C$31/100*(BC23-25)))/($AQ$2+AQ23-AP23*BD23/1000))</f>
        <v>24.008477833850201</v>
      </c>
      <c r="AS23" s="161">
        <f ca="1">($AQ$2-AP23*IF(ISBLANK(Design!$B$40),Constants!$C$6,Design!$B$40)/1000*(1+Constants!$C$31/100*(BC23-25))-Design!$C$28) / (IF(ISBLANK(Design!$B$39),Design!$B$38,Design!$B$39)/1000000) * AR23/100/(IF(ISBLANK(Design!$B$32),Design!$B$31,Design!$B$32)*1000000)</f>
        <v>0.32178870264211767</v>
      </c>
      <c r="AT23" s="239">
        <f>$AQ$2*Constants!$C$18/1000+IF(ISBLANK(Design!$B$32),Design!$B$31,Design!$B$32)*1000000*Constants!$D$22/1000000000*($AQ$2-Constants!$C$21)</f>
        <v>7.1374999999999994E-2</v>
      </c>
      <c r="AU23" s="239">
        <f>$AQ$2*AP23*($AQ$2/(Constants!$C$23*1000000000)*IF(ISBLANK(Design!$B$32),Design!$B$31,Design!$B$32)*1000000/2+$AQ$2/(Constants!$C$24*1000000000)*IF(ISBLANK(Design!$B$32),Design!$B$31,Design!$B$32)*1000000/2)</f>
        <v>0.15485781433607521</v>
      </c>
      <c r="AV23" s="239">
        <f t="shared" ca="1" si="72"/>
        <v>0.20730977978180903</v>
      </c>
      <c r="AW23" s="239">
        <f>Constants!$D$22/1000000000*Constants!$C$21*IF(ISBLANK(Design!$B$32),Design!$B$31,Design!$B$32)*1000000</f>
        <v>1.0624999999999999E-2</v>
      </c>
      <c r="AX23" s="239">
        <f t="shared" ca="1" si="73"/>
        <v>0.4441675941178842</v>
      </c>
      <c r="AY23" s="239">
        <f t="shared" ca="1" si="74"/>
        <v>0.63292562802409236</v>
      </c>
      <c r="AZ23" s="239">
        <f ca="1">AP23^2*Design!$B$40/1000*(1+(BC23-25)*(Constants!$C$31/100))</f>
        <v>0.32783476121252675</v>
      </c>
      <c r="BA23" s="239">
        <f>0.5*Snubber!$B$16/1000000000000*$AQ$2^2*Design!$B$32*1000000</f>
        <v>2.5568E-2</v>
      </c>
      <c r="BB23" s="240">
        <f ca="1">$A23+AY23*Design!$B$19</f>
        <v>121.07676079737325</v>
      </c>
      <c r="BC23" s="240">
        <f ca="1">AX23*Design!$C$12+$A23</f>
        <v>100.10169820000806</v>
      </c>
      <c r="BD23" s="240">
        <f ca="1">Constants!$D$19+Constants!$D$19*Constants!$C$20/100*(BC23-25)</f>
        <v>170.27484987520594</v>
      </c>
      <c r="BE23" s="239">
        <f ca="1">(1-Constants!$C$17/1000000000*Design!$B$32*1000000) * ($AQ$2+AQ23-AP23*BD23/1000) - (AQ23+AP23*Design!$B$40/1000)</f>
        <v>14.824931757633991</v>
      </c>
      <c r="BF23" s="239">
        <f ca="1">IF(BE23&gt;Design!$C$28,Design!$C$28,BE23)</f>
        <v>3.3223709369024856</v>
      </c>
      <c r="BG23" s="239">
        <f t="shared" ca="1" si="75"/>
        <v>1.4304959833545032</v>
      </c>
      <c r="BH23" s="239">
        <f t="shared" ca="1" si="76"/>
        <v>7.4753346080305931</v>
      </c>
      <c r="BI23" s="271">
        <f t="shared" ca="1" si="77"/>
        <v>83.937534307712198</v>
      </c>
    </row>
    <row r="24" spans="1:61" ht="12.75" customHeight="1" thickBot="1" x14ac:dyDescent="0.35">
      <c r="A24" s="163">
        <f>Design!$D$13</f>
        <v>85</v>
      </c>
      <c r="B24" s="275">
        <f t="shared" si="57"/>
        <v>2.5</v>
      </c>
      <c r="C24" s="165">
        <f ca="1">FORECAST(B24, OFFSET(Design!$C$15:$C$17,MATCH(B24,Design!$B$15:$B$17,1)-1,0,2), OFFSET(Design!$B$15:$B$17,MATCH(B24,Design!$B$15:$B$17,1)-1,0,2))+(N24-25)*Design!$B$18/1000</f>
        <v>0.38440505089169924</v>
      </c>
      <c r="D24" s="216">
        <f ca="1">IF(100*(Design!$C$28+C24+B24*IF(ISBLANK(Design!$B$40),Constants!$C$6,Design!$B$40)/1000*(1+Constants!$C$31/100*(O24-25)))/($C$2+C24-B24*P24/1000)&gt;Design!$C$35,Design!$C$35,100*(Design!$C$28+C24+B24*IF(ISBLANK(Design!$B$40),Constants!$C$6,Design!$B$40)/1000*(1+Constants!$C$31/100*(O24-25)))/($C$2+C24-B24*P24/1000))</f>
        <v>48.710991922513195</v>
      </c>
      <c r="E24" s="166">
        <f ca="1">IF(($C$2-B24*IF(ISBLANK(Design!$B$40),Constants!$C$6,Design!$B$40)/1000*(1+Constants!$C$31/100*(O24-25))-Design!$C$28) / (IF(ISBLANK(Design!$B$39),Design!$B$38,Design!$B$39)/1000000) * D24/100/(IF(ISBLANK(Design!$B$32),Design!$B$31,Design!$B$32)*1000000)&lt;0,0,($C$2-B24*IF(ISBLANK(Design!$B$40),Constants!$C$6,Design!$B$40)/1000*(1+Constants!$C$31/100*(O24-25))-Design!$C$28) / (IF(ISBLANK(Design!$B$39),Design!$B$38,Design!$B$39)/1000000) * D24/100/(IF(ISBLANK(Design!$B$32),Design!$B$31,Design!$B$32)*1000000))</f>
        <v>0.23510828176224574</v>
      </c>
      <c r="F24" s="209">
        <f>$C$2*Constants!$C$18/1000+IF(ISBLANK(Design!$B$32),Design!$B$31,Design!$B$32)*1000000*Constants!$D$22/1000000000*($C$2-Constants!$C$21)</f>
        <v>3.0374999999999999E-2</v>
      </c>
      <c r="G24" s="209">
        <f>$C$2*B24*($C$2/(Constants!$C$23*1000000000)*IF(ISBLANK(Design!$B$32),Design!$B$31,Design!$B$32)*1000000/2+$C$2/(Constants!$C$24*1000000000)*IF(ISBLANK(Design!$B$32),Design!$B$31,Design!$B$32)*1000000/2)</f>
        <v>4.3016059537798669E-2</v>
      </c>
      <c r="H24" s="209">
        <f t="shared" ca="1" si="60"/>
        <v>0.53186453600919181</v>
      </c>
      <c r="I24" s="209">
        <f>Constants!$D$22/1000000000*Constants!$C$21*IF(ISBLANK(Design!$B$32),Design!$B$31,Design!$B$32)*1000000</f>
        <v>1.0624999999999999E-2</v>
      </c>
      <c r="J24" s="209">
        <f t="shared" ca="1" si="61"/>
        <v>0.61588059554699048</v>
      </c>
      <c r="K24" s="209">
        <f t="shared" ca="1" si="62"/>
        <v>0.49289384400527714</v>
      </c>
      <c r="L24" s="209">
        <f ca="1">B24^2*Design!$B$40/1000*(1+(O24-25)*(Constants!$C$31/100))</f>
        <v>0.41190436411780906</v>
      </c>
      <c r="M24" s="209">
        <f>0.5*Snubber!$B$16/1000000000000*$C$2^2*Design!$B$32*1000000</f>
        <v>6.3920000000000001E-3</v>
      </c>
      <c r="N24" s="210">
        <f ca="1">$A24+K24*Design!$B$19</f>
        <v>113.0949491083008</v>
      </c>
      <c r="O24" s="210">
        <f ca="1">J24*Design!$C$12+A24</f>
        <v>105.93994024859768</v>
      </c>
      <c r="P24" s="210">
        <f ca="1">Constants!$D$19+Constants!$D$19*Constants!$C$20/100*(O24-25)</f>
        <v>174.5717960229679</v>
      </c>
      <c r="Q24" s="209">
        <f ca="1">(1-Constants!$C$17/1000000000*Design!$B$32*1000000) * ($C$2+C24-B24*P24/1000) - (C24+B24*Design!$B$40/1000)</f>
        <v>7.1007815486071237</v>
      </c>
      <c r="R24" s="209">
        <f ca="1">IF(Q24&gt;Design!$C$28,Design!$C$28,Q24)</f>
        <v>3.3223709369024856</v>
      </c>
      <c r="S24" s="209">
        <f t="shared" ca="1" si="63"/>
        <v>1.5270708036700766</v>
      </c>
      <c r="T24" s="209">
        <f t="shared" ca="1" si="64"/>
        <v>8.305927342256215</v>
      </c>
      <c r="U24" s="265">
        <f t="shared" ca="1" si="65"/>
        <v>84.469937032351353</v>
      </c>
      <c r="V24" s="227">
        <f t="shared" si="58"/>
        <v>2.5</v>
      </c>
      <c r="W24" s="167">
        <f ca="1">FORECAST(V24, OFFSET(Design!$C$15:$C$17,MATCH(V24,Design!$B$15:$B$17,1)-1,0,2), OFFSET(Design!$B$15:$B$17,MATCH(V24,Design!$B$15:$B$17,1)-1,0,2))+(AH24-25)*Design!$B$18/1000</f>
        <v>0.37621762033485212</v>
      </c>
      <c r="X24" s="228">
        <f ca="1">IF(100*(Design!$C$28+W24+V24*IF(ISBLANK(Design!$B$40),Constants!$C$6,Design!$B$40)/1000*(1+Constants!$C$31/100*(AI24-25)))/($W$2+W24-V24*AJ24/1000)&gt;Design!$C$35,Design!$C$35,100*(Design!$C$28+W24+V24*IF(ISBLANK(Design!$B$40),Constants!$C$6,Design!$B$40)/1000*(1+Constants!$C$31/100*(AI24-25)))/($W$2+W24-V24*AJ24/1000))</f>
        <v>32.322895879783999</v>
      </c>
      <c r="Y24" s="168">
        <f ca="1">($W$2-V24*IF(ISBLANK(Design!$B$40),Constants!$C$6,Design!$B$40)/1000*(1+Constants!$C$31/100*(AI24-25))-Design!$C$28) / (IF(ISBLANK(Design!$B$39),Design!$B$38,Design!$B$39)/1000000) * X24/100/(IF(ISBLANK(Design!$B$32),Design!$B$31,Design!$B$32)*1000000)</f>
        <v>0.29435289823060129</v>
      </c>
      <c r="Z24" s="229">
        <f>$W$2*Constants!$C$18/1000+IF(ISBLANK(Design!$B$32),Design!$B$31,Design!$B$32)*1000000*Constants!$D$22/1000000000*($W$2-Constants!$C$21)</f>
        <v>5.0874999999999997E-2</v>
      </c>
      <c r="AA24" s="229">
        <f>$W$2*V24*($W$2/(Constants!$C$23*1000000000)*IF(ISBLANK(Design!$B$32),Design!$B$31,Design!$B$32)*1000000/2+$W$2/(Constants!$C$24*1000000000)*IF(ISBLANK(Design!$B$32),Design!$B$31,Design!$B$32)*1000000/2)</f>
        <v>9.6786133960046997E-2</v>
      </c>
      <c r="AB24" s="229">
        <f t="shared" ca="1" si="66"/>
        <v>0.34750211263825365</v>
      </c>
      <c r="AC24" s="229">
        <f>Constants!$D$22/1000000000*Constants!$C$21*IF(ISBLANK(Design!$B$32),Design!$B$31,Design!$B$32)*1000000</f>
        <v>1.0624999999999999E-2</v>
      </c>
      <c r="AD24" s="229">
        <f t="shared" ca="1" si="67"/>
        <v>0.50578824659830068</v>
      </c>
      <c r="AE24" s="229">
        <f t="shared" ca="1" si="68"/>
        <v>0.63653297658154206</v>
      </c>
      <c r="AF24" s="229">
        <f ca="1">V24^2*Design!$B$40/1000*(1+(AI24-25)*(Constants!$C$31/100))</f>
        <v>0.40730732047202034</v>
      </c>
      <c r="AG24" s="229">
        <f>0.5*Snubber!$B$16/1000000000000*$W$2^2*Design!$B$32*1000000</f>
        <v>1.4382000000000001E-2</v>
      </c>
      <c r="AH24" s="230">
        <f ca="1">$A24+AE24*Design!$B$19</f>
        <v>121.2823796651479</v>
      </c>
      <c r="AI24" s="230">
        <f ca="1">AD24*Design!$C$12+$A24</f>
        <v>102.19680038434223</v>
      </c>
      <c r="AJ24" s="230">
        <f ca="1">Constants!$D$19+Constants!$D$19*Constants!$C$20/100*(AI24-25)</f>
        <v>171.81684508287589</v>
      </c>
      <c r="AK24" s="229">
        <f ca="1">(1-Constants!$C$17/1000000000*Design!$B$32*1000000) * ($W$2+W24-V24*AJ24/1000) - (W24+V24*Design!$B$40/1000)</f>
        <v>10.937724178218636</v>
      </c>
      <c r="AL24" s="229">
        <f ca="1">IF(AK24&gt;Design!$C$28,Design!$C$28,AK24)</f>
        <v>3.3223709369024856</v>
      </c>
      <c r="AM24" s="229">
        <f t="shared" ca="1" si="69"/>
        <v>1.564010543651863</v>
      </c>
      <c r="AN24" s="229">
        <f t="shared" ca="1" si="70"/>
        <v>8.305927342256215</v>
      </c>
      <c r="AO24" s="269">
        <f t="shared" ca="1" si="71"/>
        <v>84.153795477427494</v>
      </c>
      <c r="AP24" s="241">
        <f t="shared" si="59"/>
        <v>2.5</v>
      </c>
      <c r="AQ24" s="169">
        <f ca="1">FORECAST(AP24, OFFSET(Design!$C$15:$C$17,MATCH(AP24,Design!$B$15:$B$17,1)-1,0,2), OFFSET(Design!$B$15:$B$17,MATCH(AP24,Design!$B$15:$B$17,1)-1,0,2))+(BB24-25)*Design!$B$18/1000</f>
        <v>0.37228652988586874</v>
      </c>
      <c r="AR24" s="242">
        <f ca="1">IF(100*(Design!$C$28+AQ24+AP24*IF(ISBLANK(Design!$B$40),Constants!$C$6,Design!$B$40)/1000*(1+Constants!$C$31/100*(BC24-25)))/($AQ$2+AQ24-AP24*BD24/1000)&gt;Design!$C$35,Design!$C$35,100*(Design!$C$28+AQ24+AP24*IF(ISBLANK(Design!$B$40),Constants!$C$6,Design!$B$40)/1000*(1+Constants!$C$31/100*(BC24-25)))/($AQ$2+AQ24-AP24*BD24/1000))</f>
        <v>24.198227005119204</v>
      </c>
      <c r="AS24" s="170">
        <f ca="1">($AQ$2-AP24*IF(ISBLANK(Design!$B$40),Constants!$C$6,Design!$B$40)/1000*(1+Constants!$C$31/100*(BC24-25))-Design!$C$28) / (IF(ISBLANK(Design!$B$39),Design!$B$38,Design!$B$39)/1000000) * AR24/100/(IF(ISBLANK(Design!$B$32),Design!$B$31,Design!$B$32)*1000000)</f>
        <v>0.32388249406940472</v>
      </c>
      <c r="AT24" s="243">
        <f>$AQ$2*Constants!$C$18/1000+IF(ISBLANK(Design!$B$32),Design!$B$31,Design!$B$32)*1000000*Constants!$D$22/1000000000*($AQ$2-Constants!$C$21)</f>
        <v>7.1374999999999994E-2</v>
      </c>
      <c r="AU24" s="243">
        <f>$AQ$2*AP24*($AQ$2/(Constants!$C$23*1000000000)*IF(ISBLANK(Design!$B$32),Design!$B$31,Design!$B$32)*1000000/2+$AQ$2/(Constants!$C$24*1000000000)*IF(ISBLANK(Design!$B$32),Design!$B$31,Design!$B$32)*1000000/2)</f>
        <v>0.17206423815119468</v>
      </c>
      <c r="AV24" s="243">
        <f t="shared" ca="1" si="72"/>
        <v>0.26055195747601406</v>
      </c>
      <c r="AW24" s="243">
        <f>Constants!$D$22/1000000000*Constants!$C$21*IF(ISBLANK(Design!$B$32),Design!$B$31,Design!$B$32)*1000000</f>
        <v>1.0624999999999999E-2</v>
      </c>
      <c r="AX24" s="243">
        <f t="shared" ca="1" si="73"/>
        <v>0.51461619562720873</v>
      </c>
      <c r="AY24" s="243">
        <f t="shared" ca="1" si="74"/>
        <v>0.70549947568651328</v>
      </c>
      <c r="AZ24" s="243">
        <f ca="1">AP24^2*Design!$B$40/1000*(1+(BC24-25)*(Constants!$C$31/100))</f>
        <v>0.40767594251865868</v>
      </c>
      <c r="BA24" s="243">
        <f>0.5*Snubber!$B$16/1000000000000*$AQ$2^2*Design!$B$32*1000000</f>
        <v>2.5568E-2</v>
      </c>
      <c r="BB24" s="244">
        <f ca="1">$A24+AY24*Design!$B$19</f>
        <v>125.21347011413125</v>
      </c>
      <c r="BC24" s="244">
        <f ca="1">AX24*Design!$C$12+$A24</f>
        <v>102.49695065132509</v>
      </c>
      <c r="BD24" s="244">
        <f ca="1">Constants!$D$19+Constants!$D$19*Constants!$C$20/100*(BC24-25)</f>
        <v>172.03775567937527</v>
      </c>
      <c r="BE24" s="243">
        <f ca="1">(1-Constants!$C$17/1000000000*Design!$B$32*1000000) * ($AQ$2+AQ24-AP24*BD24/1000) - (AQ24+AP24*Design!$B$40/1000)</f>
        <v>14.767362444822346</v>
      </c>
      <c r="BF24" s="243">
        <f ca="1">IF(BE24&gt;Design!$C$28,Design!$C$28,BE24)</f>
        <v>3.3223709369024856</v>
      </c>
      <c r="BG24" s="243">
        <f t="shared" ca="1" si="75"/>
        <v>1.6533596138323807</v>
      </c>
      <c r="BH24" s="243">
        <f t="shared" ca="1" si="76"/>
        <v>8.305927342256215</v>
      </c>
      <c r="BI24" s="272">
        <f t="shared" ca="1" si="77"/>
        <v>83.398815385858512</v>
      </c>
    </row>
    <row r="25" spans="1:61" x14ac:dyDescent="0.3">
      <c r="A25" s="172"/>
      <c r="G25" s="193"/>
    </row>
    <row r="27" spans="1:61" x14ac:dyDescent="0.3">
      <c r="G27" s="11"/>
    </row>
    <row r="75" spans="2:9" ht="15" thickBot="1" x14ac:dyDescent="0.35"/>
    <row r="76" spans="2:9" x14ac:dyDescent="0.3">
      <c r="B76" s="248" t="s">
        <v>225</v>
      </c>
      <c r="C76" s="190"/>
      <c r="D76" s="190"/>
      <c r="E76" s="190"/>
      <c r="F76" s="190"/>
      <c r="H76" s="302">
        <v>0</v>
      </c>
      <c r="I76" s="303">
        <v>155</v>
      </c>
    </row>
    <row r="77" spans="2:9" ht="15" thickBot="1" x14ac:dyDescent="0.35">
      <c r="B77" s="246" t="s">
        <v>250</v>
      </c>
      <c r="C77" s="191"/>
      <c r="D77" s="191"/>
      <c r="E77" s="191"/>
      <c r="F77" s="194"/>
      <c r="H77" s="304">
        <v>3.5</v>
      </c>
      <c r="I77" s="305">
        <v>155</v>
      </c>
    </row>
    <row r="78" spans="2:9" x14ac:dyDescent="0.3">
      <c r="B78" s="247" t="s">
        <v>226</v>
      </c>
      <c r="C78" s="192"/>
      <c r="D78" s="171">
        <v>0</v>
      </c>
      <c r="F78" s="11"/>
    </row>
  </sheetData>
  <sheetProtection algorithmName="SHA-512" hashValue="3OvMb7PHZL7LN0vtFgQ2K0B8ceJJp/97sPhKaR2sD/s8ZlHb2Rz/If6MNrjGTKhnAKZieuaNMHkNdNrOJmYDyw==" saltValue="i+GVZT7vvN65HGmGeAvNIg==" spinCount="100000" sheet="1" objects="1" scenarios="1"/>
  <mergeCells count="1">
    <mergeCell ref="A1:BI1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5"/>
  <sheetViews>
    <sheetView topLeftCell="A88" zoomScaleNormal="100" workbookViewId="0">
      <selection sqref="A1:AU1"/>
    </sheetView>
  </sheetViews>
  <sheetFormatPr defaultRowHeight="14.4" x14ac:dyDescent="0.3"/>
  <cols>
    <col min="1" max="6" width="6.6640625" style="1" customWidth="1"/>
    <col min="7" max="16" width="6.6640625" style="197" customWidth="1"/>
    <col min="17" max="47" width="6.6640625" customWidth="1"/>
  </cols>
  <sheetData>
    <row r="1" spans="1:47" ht="24" customHeight="1" thickBot="1" x14ac:dyDescent="0.35">
      <c r="A1" s="405" t="s">
        <v>190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5"/>
      <c r="AQ1" s="405"/>
      <c r="AR1" s="405"/>
      <c r="AS1" s="405"/>
      <c r="AT1" s="405"/>
      <c r="AU1" s="405"/>
    </row>
    <row r="2" spans="1:47" s="291" customFormat="1" ht="18" customHeight="1" x14ac:dyDescent="0.3">
      <c r="A2" s="301" t="s">
        <v>297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</row>
    <row r="3" spans="1:47" s="200" customFormat="1" ht="16.2" thickBot="1" x14ac:dyDescent="0.35">
      <c r="A3" s="261" t="s">
        <v>224</v>
      </c>
      <c r="B3" s="298" t="s">
        <v>117</v>
      </c>
      <c r="C3" s="254" t="s">
        <v>103</v>
      </c>
      <c r="D3" s="254" t="s">
        <v>249</v>
      </c>
      <c r="E3" s="245" t="s">
        <v>247</v>
      </c>
      <c r="F3" s="245" t="s">
        <v>248</v>
      </c>
      <c r="G3" s="245" t="s">
        <v>104</v>
      </c>
      <c r="H3" s="245" t="s">
        <v>105</v>
      </c>
      <c r="I3" s="245" t="s">
        <v>106</v>
      </c>
      <c r="J3" s="245" t="s">
        <v>212</v>
      </c>
      <c r="K3" s="245" t="s">
        <v>267</v>
      </c>
      <c r="L3" s="245" t="s">
        <v>269</v>
      </c>
      <c r="M3" s="245" t="s">
        <v>299</v>
      </c>
      <c r="N3" s="245" t="s">
        <v>300</v>
      </c>
      <c r="O3" s="245" t="s">
        <v>122</v>
      </c>
      <c r="P3" s="245" t="s">
        <v>261</v>
      </c>
      <c r="Q3" s="262" t="s">
        <v>260</v>
      </c>
      <c r="R3" s="254" t="s">
        <v>103</v>
      </c>
      <c r="S3" s="254" t="s">
        <v>249</v>
      </c>
      <c r="T3" s="245" t="s">
        <v>247</v>
      </c>
      <c r="U3" s="245" t="s">
        <v>248</v>
      </c>
      <c r="V3" s="245" t="s">
        <v>104</v>
      </c>
      <c r="W3" s="245" t="s">
        <v>105</v>
      </c>
      <c r="X3" s="245" t="s">
        <v>106</v>
      </c>
      <c r="Y3" s="245" t="s">
        <v>212</v>
      </c>
      <c r="Z3" s="245" t="s">
        <v>107</v>
      </c>
      <c r="AA3" s="245" t="s">
        <v>269</v>
      </c>
      <c r="AB3" s="245" t="s">
        <v>299</v>
      </c>
      <c r="AC3" s="245" t="s">
        <v>300</v>
      </c>
      <c r="AD3" s="245" t="s">
        <v>122</v>
      </c>
      <c r="AE3" s="245" t="s">
        <v>261</v>
      </c>
      <c r="AF3" s="262" t="s">
        <v>260</v>
      </c>
      <c r="AG3" s="254" t="s">
        <v>103</v>
      </c>
      <c r="AH3" s="254" t="s">
        <v>249</v>
      </c>
      <c r="AI3" s="245" t="s">
        <v>247</v>
      </c>
      <c r="AJ3" s="245" t="s">
        <v>248</v>
      </c>
      <c r="AK3" s="245" t="s">
        <v>104</v>
      </c>
      <c r="AL3" s="245" t="s">
        <v>105</v>
      </c>
      <c r="AM3" s="245" t="s">
        <v>106</v>
      </c>
      <c r="AN3" s="245" t="s">
        <v>212</v>
      </c>
      <c r="AO3" s="245" t="s">
        <v>107</v>
      </c>
      <c r="AP3" s="245" t="s">
        <v>269</v>
      </c>
      <c r="AQ3" s="245" t="s">
        <v>299</v>
      </c>
      <c r="AR3" s="245" t="s">
        <v>300</v>
      </c>
      <c r="AS3" s="245" t="s">
        <v>122</v>
      </c>
      <c r="AT3" s="245" t="s">
        <v>261</v>
      </c>
      <c r="AU3" s="262" t="s">
        <v>260</v>
      </c>
    </row>
    <row r="4" spans="1:47" s="162" customFormat="1" ht="12.75" customHeight="1" x14ac:dyDescent="0.25">
      <c r="A4" s="201">
        <f>Design!$D$13</f>
        <v>85</v>
      </c>
      <c r="B4" s="202">
        <f t="shared" ref="B4:B43" si="0">$B5+$AU$88</f>
        <v>12.000000000000002</v>
      </c>
      <c r="C4" s="203">
        <f>Design!$D$6</f>
        <v>2.5</v>
      </c>
      <c r="D4" s="203">
        <f ca="1">FORECAST(C4, OFFSET(Design!$C$15:$C$17,MATCH(C4,Design!$B$15:$B$17,1)-1,0,2), OFFSET(Design!$B$15:$B$17,MATCH(C4,Design!$B$15:$B$17,1)-1,0,2))+(M4-25)*Design!$B$18/1000</f>
        <v>0.37621762033278183</v>
      </c>
      <c r="E4" s="214">
        <f ca="1">IF(100*(Design!$C$28+D4+C4*IF(ISBLANK(Design!$B$40),Constants!$C$6,Design!$B$40)/1000*(1+Constants!$C$31/100*(N4-25)))/($B4+D4-C4*O4/1000)&gt;Design!$C$35,Design!$C$35,100*(Design!$C$28+D4+C4*IF(ISBLANK(Design!$B$40),Constants!$C$6,Design!$B$40)/1000*(1+Constants!$C$31/100*(N4-25)))/($B4+D4-C4*O4/1000))</f>
        <v>32.322895879772446</v>
      </c>
      <c r="F4" s="204">
        <f ca="1">IF(($B4-C4*IF(ISBLANK(Design!$B$40),Constants!$C$6,Design!$B$40)/1000*(1+Constants!$C$31/100*(N4-25))-Design!$C$28)/(IF(ISBLANK(Design!$B$39),Design!$B$38,Design!$B$39)/1000000)*E4/100/(IF(ISBLANK(Design!$B$32),Design!$B$31,Design!$B$32)*1000000)&lt;0, 0, ($B4-C4*IF(ISBLANK(Design!$B$40),Constants!$C$6,Design!$B$40)/1000*(1+Constants!$C$31/100*(N4-25))-Design!$C$28)/(IF(ISBLANK(Design!$B$39),Design!$B$38,Design!$B$39)/1000000)*E4/100/(IF(ISBLANK(Design!$B$32),Design!$B$31,Design!$B$32)*1000000))</f>
        <v>0.29435289823049582</v>
      </c>
      <c r="G4" s="205">
        <f>B4*Constants!$C$18/1000+IF(ISBLANK(Design!$B$32),Design!$B$31,Design!$B$32)*1000000*Constants!$D$22/1000000000*(B4-Constants!$C$21)</f>
        <v>5.087500000000001E-2</v>
      </c>
      <c r="H4" s="205">
        <f>B4*C4*(B4/(Constants!$C$23*1000000000)*IF(ISBLANK(Design!$B$32),Design!$B$31,Design!$B$32)*1000000/2+B4/(Constants!$C$24*1000000000)*IF(ISBLANK(Design!$B$32),Design!$B$31,Design!$B$32)*1000000/2)</f>
        <v>9.6786133960047038E-2</v>
      </c>
      <c r="I4" s="205">
        <f t="shared" ref="I4:I44" ca="1" si="1">IF($D$115,1,E4/100*(C4^2+F4^2/12)*O4/1000)</f>
        <v>0.34750211263815678</v>
      </c>
      <c r="J4" s="205">
        <f>Constants!$D$22/1000000000*Constants!$C$21*IF(ISBLANK(Design!$B$32),Design!$B$31,Design!$B$32)*1000000</f>
        <v>1.0624999999999999E-2</v>
      </c>
      <c r="K4" s="205">
        <f ca="1">SUM(G4:J4)</f>
        <v>0.50578824659820387</v>
      </c>
      <c r="L4" s="205">
        <f ca="1">C4*D4*(1-E4/100)</f>
        <v>0.63653297657814789</v>
      </c>
      <c r="M4" s="206">
        <f ca="1">$A4+L4*Design!$B$19</f>
        <v>121.28237966495442</v>
      </c>
      <c r="N4" s="206">
        <f ca="1">K4*Design!$C$12+A4</f>
        <v>102.19680038433893</v>
      </c>
      <c r="O4" s="206">
        <f ca="1">Constants!$D$19+Constants!$D$19*Constants!$C$20/100*(N4-25)</f>
        <v>171.81684508287344</v>
      </c>
      <c r="P4" s="205">
        <f ca="1">(1-Constants!$C$17/1000000000*Design!$B$32*1000000) * ($B4+D4-C4*O4/1000) - (D4+C4*(1+($A4-25)*Constants!$C$31/100)*IF(ISBLANK(Design!$B$40),Constants!$C$6/1000,Design!$B$40/1000))</f>
        <v>10.908249178218728</v>
      </c>
      <c r="Q4" s="212">
        <f ca="1">IF(P4&gt;Design!$C$28,Design!$C$28,P4)</f>
        <v>3.3223709369024856</v>
      </c>
      <c r="R4" s="217">
        <f>2*Design!$D$6/3</f>
        <v>1.6666666666666667</v>
      </c>
      <c r="S4" s="218">
        <f ca="1">FORECAST(R4, OFFSET(Design!$C$15:$C$17,MATCH(R4,Design!$B$15:$B$17,1)-1,0,2), OFFSET(Design!$B$15:$B$17,MATCH(R4,Design!$B$15:$B$17,1)-1,0,2))+(AB4-25)*Design!$B$18/1000</f>
        <v>0.35115633676882541</v>
      </c>
      <c r="T4" s="219">
        <f ca="1">IF(100*(Design!$C$28+S4+R4*IF(ISBLANK(Design!$B$40),Constants!$C$6,Design!$B$40)/1000*(1+Constants!$C$31/100*(AC4-25)))/($B4+S4-R4*AD4/1000)&gt;Design!$C$35,Design!$C$35,100*(Design!$C$28+S4+R4*IF(ISBLANK(Design!$B$40),Constants!$C$6,Design!$B$40)/1000*(1+Constants!$C$31/100*(AC4-25)))/($B4+S4-R4*AD4/1000))</f>
        <v>31.301441894942645</v>
      </c>
      <c r="U4" s="220">
        <f ca="1">IF(($B4-R4*IF(ISBLANK(Design!$B$40),Constants!$C$6,Design!$B$40)/1000*(1+Constants!$C$31/100*(AC4-25))-Design!$C$28)/(Design!$B$39/1000000)*T4/100/(IF(ISBLANK(IF(ISBLANK(Design!$B$39),Design!$B$38,Design!$B$39)),Design!$B$31,Design!$B$32)*1000000)&lt;0,0,($B4-R4*IF(ISBLANK(Design!$B$40),Constants!$C$6,Design!$B$40)/1000*(1+Constants!$C$31/100*(AC4-25))-Design!$C$28)/(IF(ISBLANK(Design!$B$39),Design!$B$38,Design!$B$39)/1000000)*T4/100/(IF(ISBLANK(Design!$B$32),Design!$B$31,Design!$B$32)*1000000))</f>
        <v>0.2869566203322475</v>
      </c>
      <c r="V4" s="221">
        <f>$B4*Constants!$C$18/1000+IF(ISBLANK(Design!$B$32),Design!$B$31,Design!$B$32)*1000000*Constants!$D$22/1000000000*($B4-Constants!$C$21)</f>
        <v>5.087500000000001E-2</v>
      </c>
      <c r="W4" s="221">
        <f>$B4*R4*($B4/(Constants!$C$23*1000000000)*IF(ISBLANK(Design!$B$32),Design!$B$31,Design!$B$32)*1000000/2+$B4/(Constants!$C$24*1000000000)*IF(ISBLANK(Design!$B$32),Design!$B$31,Design!$B$32)*1000000/2)</f>
        <v>6.4524089306698021E-2</v>
      </c>
      <c r="X4" s="221">
        <f t="shared" ref="X4:X44" ca="1" si="2">IF($D$115,1,T4/100*(R4^2+U4^2/12)*AD4/1000)</f>
        <v>0.14463250182716686</v>
      </c>
      <c r="Y4" s="221">
        <f>Constants!$D$22/1000000000*Constants!$C$21*IF(ISBLANK(Design!$B$32),Design!$B$31,Design!$B$32)*1000000</f>
        <v>1.0624999999999999E-2</v>
      </c>
      <c r="Z4" s="221">
        <f ca="1">SUM(V4:Y4)</f>
        <v>0.27065659113386487</v>
      </c>
      <c r="AA4" s="221">
        <f ca="1">R4*S4*(1-T4/100)</f>
        <v>0.40206556675787075</v>
      </c>
      <c r="AB4" s="222">
        <f ca="1">$A4+AA4*Design!$B$19</f>
        <v>107.91773730519863</v>
      </c>
      <c r="AC4" s="222">
        <f ca="1">Z4*Design!$C$12+$A4</f>
        <v>94.202324098551401</v>
      </c>
      <c r="AD4" s="222">
        <f ca="1">Constants!$D$19+Constants!$D$19*Constants!$C$20/100*(AC4-25)</f>
        <v>165.93291053653383</v>
      </c>
      <c r="AE4" s="221">
        <f ca="1">(1-Constants!$C$17/1000000000*Design!$B$32*1000000) * ($B4+S4-R4*AD4/1000) - (S4+R4*(1+($A4-25)*Constants!$C$31/100)*IF(ISBLANK(Design!$B$40),Constants!$C$6/1000,Design!$B$40/1000))</f>
        <v>11.107291252622776</v>
      </c>
      <c r="AF4" s="220">
        <f ca="1">IF(AE4&gt;Design!$C$28,Design!$C$28,AE4)</f>
        <v>3.3223709369024856</v>
      </c>
      <c r="AG4" s="232">
        <f>Design!$D$6/3</f>
        <v>0.83333333333333337</v>
      </c>
      <c r="AH4" s="232">
        <f ca="1">FORECAST(AG4, OFFSET(Design!$C$15:$C$17,MATCH(AG4,Design!$B$15:$B$17,1)-1,0,2), OFFSET(Design!$B$15:$B$17,MATCH(AG4,Design!$B$15:$B$17,1)-1,0,2))+(AQ4-25)*Design!$B$18/1000</f>
        <v>0.29933523689001751</v>
      </c>
      <c r="AI4" s="233">
        <f ca="1">IF(100*(Design!$C$28+AH4+AG4*IF(ISBLANK(Design!$B$40),Constants!$C$6,Design!$B$40)/1000*(1+Constants!$C$31/100*(AR4-25)))/($B4+AH4-AG4*AS4/1000)&gt;Design!$C$35,Design!$C$35,100*(Design!$C$28+AH4+AG4*IF(ISBLANK(Design!$B$40),Constants!$C$6,Design!$B$40)/1000*(1+Constants!$C$31/100*(AR4-25)))/($B4+AH4-AG4*AS4/1000))</f>
        <v>30.203076359619335</v>
      </c>
      <c r="AJ4" s="234">
        <f ca="1">IF(($B4-AG4*IF(ISBLANK(Design!$B$40),Constants!$C$6,Design!$B$40)/1000*(1+Constants!$C$31/100*(AR4-25))-Design!$C$28)/(IF(ISBLANK(Design!$B$39),Design!$B$38,Design!$B$39)/1000000)*AI4/100/(IF(ISBLANK(Design!$B$32),Design!$B$31,Design!$B$32)*1000000)&lt;0,0,($B4-AG4*IF(ISBLANK(Design!$B$40),Constants!$C$6,Design!$B$40)/1000*(1+Constants!$C$31/100*(AR4-25))-Design!$C$28)/(IF(ISBLANK(Design!$B$39),Design!$B$38,Design!$B$39)/1000000)*AI4/100/(IF(ISBLANK(Design!$B$32),Design!$B$31,Design!$B$32)*1000000))</f>
        <v>0.27862496247694074</v>
      </c>
      <c r="AK4" s="235">
        <f>$B4*Constants!$C$18/1000+IF(ISBLANK(Design!$B$32),Design!$B$31,Design!$B$32)*1000000*Constants!$D$22/1000000000*($B4-Constants!$C$21)</f>
        <v>5.087500000000001E-2</v>
      </c>
      <c r="AL4" s="235">
        <f>$B4*AG4*($B4/(Constants!$C$23*1000000000)*IF(ISBLANK(Design!$B$32),Design!$B$31,Design!$B$32)*1000000/2+$B4/(Constants!$C$24*1000000000)*IF(ISBLANK(Design!$B$32),Design!$B$31,Design!$B$32)*1000000/2)</f>
        <v>3.226204465334901E-2</v>
      </c>
      <c r="AM4" s="235">
        <f t="shared" ref="AM4:AM44" ca="1" si="3">IF($D$115,1,AI4/100*(AG4^2+AJ4^2/12)*AS4/1000)</f>
        <v>3.4372572859445609E-2</v>
      </c>
      <c r="AN4" s="235">
        <f>Constants!$D$22/1000000000*Constants!$C$21*IF(ISBLANK(Design!$B$32),Design!$B$31,Design!$B$32)*1000000</f>
        <v>1.0624999999999999E-2</v>
      </c>
      <c r="AO4" s="235">
        <f ca="1">SUM(AK4:AN4)</f>
        <v>0.12813461751279462</v>
      </c>
      <c r="AP4" s="235">
        <f ca="1">AG4*AH4*(1-AI4/100)</f>
        <v>0.17410565560073174</v>
      </c>
      <c r="AQ4" s="236">
        <f ca="1">$A4+AP4*Design!$B$19</f>
        <v>94.924022369241712</v>
      </c>
      <c r="AR4" s="236">
        <f ca="1">AO4*Design!$C$12+$A4</f>
        <v>89.35657699543502</v>
      </c>
      <c r="AS4" s="236">
        <f ca="1">Constants!$D$19+Constants!$D$19*Constants!$C$20/100*(AR4-25)</f>
        <v>162.36644066864017</v>
      </c>
      <c r="AT4" s="235">
        <f ca="1">(1-Constants!$C$17/1000000000*Design!$B$32*1000000) * ($B4+AH4-AG4*AS4/1000) - (AH4+AG4*(1+($A4-25)*Constants!$C$31/100)*IF(ISBLANK(Design!$B$40),Constants!$C$6/1000,Design!$B$40/1000))</f>
        <v>11.296231696648659</v>
      </c>
      <c r="AU4" s="234">
        <f ca="1">IF(AT4&gt;Design!$C$28,Design!$C$28,AT4)</f>
        <v>3.3223709369024856</v>
      </c>
    </row>
    <row r="5" spans="1:47" s="162" customFormat="1" ht="12.75" customHeight="1" x14ac:dyDescent="0.25">
      <c r="A5" s="154">
        <f>Design!$D$13</f>
        <v>85</v>
      </c>
      <c r="B5" s="155">
        <f t="shared" si="0"/>
        <v>11.795000000000002</v>
      </c>
      <c r="C5" s="156">
        <f>Design!$D$6</f>
        <v>2.5</v>
      </c>
      <c r="D5" s="156">
        <f ca="1">FORECAST(C5, OFFSET(Design!$C$15:$C$17,MATCH(C5,Design!$B$15:$B$17,1)-1,0,2), OFFSET(Design!$B$15:$B$17,MATCH(C5,Design!$B$15:$B$17,1)-1,0,2))+(M5-25)*Design!$B$18/1000</f>
        <v>0.37649481915758726</v>
      </c>
      <c r="E5" s="215">
        <f ca="1">IF(100*(Design!$C$28+D5+C5*IF(ISBLANK(Design!$B$40),Constants!$C$6,Design!$B$40)/1000*(1+Constants!$C$31/100*(N5-25)))/($B5+D5-C5*O5/1000)&gt;Design!$C$35,Design!$C$35,100*(Design!$C$28+D5+C5*IF(ISBLANK(Design!$B$40),Constants!$C$6,Design!$B$40)/1000*(1+Constants!$C$31/100*(N5-25)))/($B5+D5-C5*O5/1000))</f>
        <v>32.889399039530474</v>
      </c>
      <c r="F5" s="157">
        <f ca="1">IF(($B5-C5*IF(ISBLANK(Design!$B$40),Constants!$C$6,Design!$B$40)/1000*(1+Constants!$C$31/100*(N5-25))-Design!$C$28)/(IF(ISBLANK(Design!$B$39),Design!$B$38,Design!$B$39)/1000000)*E5/100/(IF(ISBLANK(Design!$B$32),Design!$B$31,Design!$B$32)*1000000)&lt;0, 0, ($B5-C5*IF(ISBLANK(Design!$B$40),Constants!$C$6,Design!$B$40)/1000*(1+Constants!$C$31/100*(N5-25))-Design!$C$28)/(IF(ISBLANK(Design!$B$39),Design!$B$38,Design!$B$39)/1000000)*E5/100/(IF(ISBLANK(Design!$B$32),Design!$B$31,Design!$B$32)*1000000))</f>
        <v>0.29229970506089814</v>
      </c>
      <c r="G5" s="207">
        <f>B5*Constants!$C$18/1000+IF(ISBLANK(Design!$B$32),Design!$B$31,Design!$B$32)*1000000*Constants!$D$22/1000000000*(B5-Constants!$C$21)</f>
        <v>4.9824375000000011E-2</v>
      </c>
      <c r="H5" s="207">
        <f>B5*C5*(B5/(Constants!$C$23*1000000000)*IF(ISBLANK(Design!$B$32),Design!$B$31,Design!$B$32)*1000000/2+B5/(Constants!$C$24*1000000000)*IF(ISBLANK(Design!$B$32),Design!$B$31,Design!$B$32)*1000000/2)</f>
        <v>9.3507520475298686E-2</v>
      </c>
      <c r="I5" s="207">
        <f t="shared" ca="1" si="1"/>
        <v>0.35368220708507997</v>
      </c>
      <c r="J5" s="207">
        <f>Constants!$D$22/1000000000*Constants!$C$21*IF(ISBLANK(Design!$B$32),Design!$B$31,Design!$B$32)*1000000</f>
        <v>1.0624999999999999E-2</v>
      </c>
      <c r="K5" s="207">
        <f t="shared" ref="K5:K44" ca="1" si="4">SUM(G5:J5)</f>
        <v>0.5076391025603787</v>
      </c>
      <c r="L5" s="207">
        <f t="shared" ref="L5:L44" ca="1" si="5">C5*D5*(1-E5/100)</f>
        <v>0.63166983930422438</v>
      </c>
      <c r="M5" s="208">
        <f ca="1">A5+L5*Design!$B$19</f>
        <v>121.00518084034078</v>
      </c>
      <c r="N5" s="208">
        <f ca="1">K5*Design!$C$12+A5</f>
        <v>102.25972948705288</v>
      </c>
      <c r="O5" s="208">
        <f ca="1">Constants!$D$19+Constants!$D$19*Constants!$C$20/100*(N5-25)</f>
        <v>171.86316090247092</v>
      </c>
      <c r="P5" s="207">
        <f ca="1">(1-Constants!$C$17/1000000000*Design!$B$32*1000000) * ($B5+D5-C5*O5/1000) - (D5+C5*(1+($A5-25)*Constants!$C$31/100)*IF(ISBLANK(Design!$B$40),Constants!$C$6/1000,Design!$B$40/1000))</f>
        <v>10.711839028775515</v>
      </c>
      <c r="Q5" s="213">
        <f ca="1">IF(P5&gt;Design!$C$28,Design!$C$28,P5)</f>
        <v>3.3223709369024856</v>
      </c>
      <c r="R5" s="223">
        <f>2*Design!$D$6/3</f>
        <v>1.6666666666666667</v>
      </c>
      <c r="S5" s="158">
        <f ca="1">FORECAST(R5, OFFSET(Design!$C$15:$C$17,MATCH(R5,Design!$B$15:$B$17,1)-1,0,2), OFFSET(Design!$B$15:$B$17,MATCH(R5,Design!$B$15:$B$17,1)-1,0,2))+(AB5-25)*Design!$B$18/1000</f>
        <v>0.35132597191512238</v>
      </c>
      <c r="T5" s="224">
        <f ca="1">IF(100*(Design!$C$28+S5+R5*IF(ISBLANK(Design!$B$40),Constants!$C$6,Design!$B$40)/1000*(1+Constants!$C$31/100*(AC5-25)))/($B5+S5-R5*AD5/1000)&gt;Design!$C$35,Design!$C$35,100*(Design!$C$28+S5+R5*IF(ISBLANK(Design!$B$40),Constants!$C$6,Design!$B$40)/1000*(1+Constants!$C$31/100*(AC5-25)))/($B5+S5-R5*AD5/1000))</f>
        <v>31.842867855582341</v>
      </c>
      <c r="U5" s="159">
        <f ca="1">IF(($B5-R5*IF(ISBLANK(Design!$B$40),Constants!$C$6,Design!$B$40)/1000*(1+Constants!$C$31/100*(AC5-25))-Design!$C$28)/(Design!$B$39/1000000)*T5/100/(IF(ISBLANK(IF(ISBLANK(Design!$B$39),Design!$B$38,Design!$B$39)),Design!$B$31,Design!$B$32)*1000000)&lt;0,0,($B5-R5*IF(ISBLANK(Design!$B$40),Constants!$C$6,Design!$B$40)/1000*(1+Constants!$C$31/100*(AC5-25))-Design!$C$28)/(IF(ISBLANK(Design!$B$39),Design!$B$38,Design!$B$39)/1000000)*T5/100/(IF(ISBLANK(Design!$B$32),Design!$B$31,Design!$B$32)*1000000))</f>
        <v>0.28493884963265659</v>
      </c>
      <c r="V5" s="225">
        <f>$B5*Constants!$C$18/1000+IF(ISBLANK(Design!$B$32),Design!$B$31,Design!$B$32)*1000000*Constants!$D$22/1000000000*($B5-Constants!$C$21)</f>
        <v>4.9824375000000011E-2</v>
      </c>
      <c r="W5" s="225">
        <f>$B5*R5*($B5/(Constants!$C$23*1000000000)*IF(ISBLANK(Design!$B$32),Design!$B$31,Design!$B$32)*1000000/2+$B5/(Constants!$C$24*1000000000)*IF(ISBLANK(Design!$B$32),Design!$B$31,Design!$B$32)*1000000/2)</f>
        <v>6.2338346983532467E-2</v>
      </c>
      <c r="X5" s="225">
        <f t="shared" ca="1" si="2"/>
        <v>0.14711236644714459</v>
      </c>
      <c r="Y5" s="225">
        <f>Constants!$D$22/1000000000*Constants!$C$21*IF(ISBLANK(Design!$B$32),Design!$B$31,Design!$B$32)*1000000</f>
        <v>1.0624999999999999E-2</v>
      </c>
      <c r="Z5" s="225">
        <f t="shared" ref="Z5" ca="1" si="6">SUM(V5:Y5)</f>
        <v>0.26990008843067703</v>
      </c>
      <c r="AA5" s="225">
        <f t="shared" ref="AA5:AA44" ca="1" si="7">R5*S5*(1-T5/100)</f>
        <v>0.39908951155974942</v>
      </c>
      <c r="AB5" s="226">
        <f ca="1">$A5+AA5*Design!$B$19</f>
        <v>107.74810215890571</v>
      </c>
      <c r="AC5" s="226">
        <f ca="1">Z5*Design!$C$12+$A5</f>
        <v>94.17660300664302</v>
      </c>
      <c r="AD5" s="226">
        <f ca="1">Constants!$D$19+Constants!$D$19*Constants!$C$20/100*(AC5-25)</f>
        <v>165.91397981288927</v>
      </c>
      <c r="AE5" s="225">
        <f ca="1">(1-Constants!$C$17/1000000000*Design!$B$32*1000000) * ($B5+S5-R5*AD5/1000) - (S5+R5*(1+($A5-25)*Constants!$C$31/100)*IF(ISBLANK(Design!$B$40),Constants!$C$6/1000,Design!$B$40/1000))</f>
        <v>10.911026753408873</v>
      </c>
      <c r="AF5" s="159">
        <f ca="1">IF(AE5&gt;Design!$C$28,Design!$C$28,AE5)</f>
        <v>3.3223709369024856</v>
      </c>
      <c r="AG5" s="160">
        <f>Design!$D$6/3</f>
        <v>0.83333333333333337</v>
      </c>
      <c r="AH5" s="160">
        <f ca="1">FORECAST(AG5, OFFSET(Design!$C$15:$C$17,MATCH(AG5,Design!$B$15:$B$17,1)-1,0,2), OFFSET(Design!$B$15:$B$17,MATCH(AG5,Design!$B$15:$B$17,1)-1,0,2))+(AQ5-25)*Design!$B$18/1000</f>
        <v>0.29940654089970098</v>
      </c>
      <c r="AI5" s="238">
        <f ca="1">IF(100*(Design!$C$28+AH5+AG5*IF(ISBLANK(Design!$B$40),Constants!$C$6,Design!$B$40)/1000*(1+Constants!$C$31/100*(AR5-25)))/($B5+AH5-AG5*AS5/1000)&gt;Design!$C$35,Design!$C$35,100*(Design!$C$28+AH5+AG5*IF(ISBLANK(Design!$B$40),Constants!$C$6,Design!$B$40)/1000*(1+Constants!$C$31/100*(AR5-25)))/($B5+AH5-AG5*AS5/1000))</f>
        <v>30.721069402288894</v>
      </c>
      <c r="AJ5" s="161">
        <f ca="1">IF(($B5-AG5*IF(ISBLANK(Design!$B$40),Constants!$C$6,Design!$B$40)/1000*(1+Constants!$C$31/100*(AR5-25))-Design!$C$28)/(IF(ISBLANK(Design!$B$39),Design!$B$38,Design!$B$39)/1000000)*AI5/100/(IF(ISBLANK(Design!$B$32),Design!$B$31,Design!$B$32)*1000000)&lt;0,0,($B5-AG5*IF(ISBLANK(Design!$B$40),Constants!$C$6,Design!$B$40)/1000*(1+Constants!$C$31/100*(AR5-25))-Design!$C$28)/(IF(ISBLANK(Design!$B$39),Design!$B$38,Design!$B$39)/1000000)*AI5/100/(IF(ISBLANK(Design!$B$32),Design!$B$31,Design!$B$32)*1000000))</f>
        <v>0.27666812655104933</v>
      </c>
      <c r="AK5" s="239">
        <f>$B5*Constants!$C$18/1000+IF(ISBLANK(Design!$B$32),Design!$B$31,Design!$B$32)*1000000*Constants!$D$22/1000000000*($B5-Constants!$C$21)</f>
        <v>4.9824375000000011E-2</v>
      </c>
      <c r="AL5" s="239">
        <f>$B5*AG5*($B5/(Constants!$C$23*1000000000)*IF(ISBLANK(Design!$B$32),Design!$B$31,Design!$B$32)*1000000/2+$B5/(Constants!$C$24*1000000000)*IF(ISBLANK(Design!$B$32),Design!$B$31,Design!$B$32)*1000000/2)</f>
        <v>3.1169173491766233E-2</v>
      </c>
      <c r="AM5" s="239">
        <f t="shared" ca="1" si="3"/>
        <v>3.4949115175051469E-2</v>
      </c>
      <c r="AN5" s="239">
        <f>Constants!$D$22/1000000000*Constants!$C$21*IF(ISBLANK(Design!$B$32),Design!$B$31,Design!$B$32)*1000000</f>
        <v>1.0624999999999999E-2</v>
      </c>
      <c r="AO5" s="239">
        <f t="shared" ref="AO5" ca="1" si="8">SUM(AK5:AN5)</f>
        <v>0.12656766366681771</v>
      </c>
      <c r="AP5" s="239">
        <f t="shared" ref="AP5:AP44" ca="1" si="9">AG5*AH5*(1-AI5/100)</f>
        <v>0.17285470806242614</v>
      </c>
      <c r="AQ5" s="240">
        <f ca="1">$A5+AP5*Design!$B$19</f>
        <v>94.852718359558295</v>
      </c>
      <c r="AR5" s="240">
        <f ca="1">AO5*Design!$C$12+$A5</f>
        <v>89.303300564671801</v>
      </c>
      <c r="AS5" s="240">
        <f ca="1">Constants!$D$19+Constants!$D$19*Constants!$C$20/100*(AR5-25)</f>
        <v>162.32722921559844</v>
      </c>
      <c r="AT5" s="239">
        <f ca="1">(1-Constants!$C$17/1000000000*Design!$B$32*1000000) * ($B5+AH5-AG5*AS5/1000) - (AH5+AG5*(1+($A5-25)*Constants!$C$31/100)*IF(ISBLANK(Design!$B$40),Constants!$C$6/1000,Design!$B$40/1000))</f>
        <v>11.099972453700151</v>
      </c>
      <c r="AU5" s="161">
        <f ca="1">IF(AT5&gt;Design!$C$28,Design!$C$28,AT5)</f>
        <v>3.3223709369024856</v>
      </c>
    </row>
    <row r="6" spans="1:47" s="162" customFormat="1" ht="12.75" customHeight="1" x14ac:dyDescent="0.25">
      <c r="A6" s="154">
        <f>Design!$D$13</f>
        <v>85</v>
      </c>
      <c r="B6" s="155">
        <f t="shared" si="0"/>
        <v>11.590000000000002</v>
      </c>
      <c r="C6" s="156">
        <f>Design!$D$6</f>
        <v>2.5</v>
      </c>
      <c r="D6" s="156">
        <f ca="1">FORECAST(C6, OFFSET(Design!$C$15:$C$17,MATCH(C6,Design!$B$15:$B$17,1)-1,0,2), OFFSET(Design!$B$15:$B$17,MATCH(C6,Design!$B$15:$B$17,1)-1,0,2))+(M6-25)*Design!$B$18/1000</f>
        <v>0.37678236822659039</v>
      </c>
      <c r="E6" s="215">
        <f ca="1">IF(100*(Design!$C$28+D6+C6*IF(ISBLANK(Design!$B$40),Constants!$C$6,Design!$B$40)/1000*(1+Constants!$C$31/100*(N6-25)))/($B6+D6-C6*O6/1000)&gt;Design!$C$35,Design!$C$35,100*(Design!$C$28+D6+C6*IF(ISBLANK(Design!$B$40),Constants!$C$6,Design!$B$40)/1000*(1+Constants!$C$31/100*(N6-25)))/($B6+D6-C6*O6/1000))</f>
        <v>33.476173872152565</v>
      </c>
      <c r="F6" s="157">
        <f ca="1">IF(($B6-C6*IF(ISBLANK(Design!$B$40),Constants!$C$6,Design!$B$40)/1000*(1+Constants!$C$31/100*(N6-25))-Design!$C$28)/(IF(ISBLANK(Design!$B$39),Design!$B$38,Design!$B$39)/1000000)*E6/100/(IF(ISBLANK(Design!$B$32),Design!$B$31,Design!$B$32)*1000000)&lt;0, 0, ($B6-C6*IF(ISBLANK(Design!$B$40),Constants!$C$6,Design!$B$40)/1000*(1+Constants!$C$31/100*(N6-25))-Design!$C$28)/(IF(ISBLANK(Design!$B$39),Design!$B$38,Design!$B$39)/1000000)*E6/100/(IF(ISBLANK(Design!$B$32),Design!$B$31,Design!$B$32)*1000000))</f>
        <v>0.29017360243104978</v>
      </c>
      <c r="G6" s="207">
        <f>B6*Constants!$C$18/1000+IF(ISBLANK(Design!$B$32),Design!$B$31,Design!$B$32)*1000000*Constants!$D$22/1000000000*(B6-Constants!$C$21)</f>
        <v>4.8773750000000005E-2</v>
      </c>
      <c r="H6" s="207">
        <f>B6*C6*(B6/(Constants!$C$23*1000000000)*IF(ISBLANK(Design!$B$32),Design!$B$31,Design!$B$32)*1000000/2+B6/(Constants!$C$24*1000000000)*IF(ISBLANK(Design!$B$32),Design!$B$31,Design!$B$32)*1000000/2)</f>
        <v>9.0285399174990233E-2</v>
      </c>
      <c r="I6" s="207">
        <f t="shared" ca="1" si="1"/>
        <v>0.36009862236214502</v>
      </c>
      <c r="J6" s="207">
        <f>Constants!$D$22/1000000000*Constants!$C$21*IF(ISBLANK(Design!$B$32),Design!$B$31,Design!$B$32)*1000000</f>
        <v>1.0624999999999999E-2</v>
      </c>
      <c r="K6" s="207">
        <f ca="1">SUM(G6:J6)</f>
        <v>0.50978277153713525</v>
      </c>
      <c r="L6" s="207">
        <f t="shared" ca="1" si="5"/>
        <v>0.62662511879860727</v>
      </c>
      <c r="M6" s="208">
        <f ca="1">A6+L6*Design!$B$19</f>
        <v>120.71763177152062</v>
      </c>
      <c r="N6" s="208">
        <f ca="1">K6*Design!$C$12+A6</f>
        <v>102.3326142322626</v>
      </c>
      <c r="O6" s="208">
        <f ca="1">Constants!$D$19+Constants!$D$19*Constants!$C$20/100*(N6-25)</f>
        <v>171.91680407494528</v>
      </c>
      <c r="P6" s="207">
        <f ca="1">(1-Constants!$C$17/1000000000*Design!$B$32*1000000) * ($B6+D6-C6*O6/1000) - (D6+C6*(1+($A6-25)*Constants!$C$31/100)*IF(ISBLANK(Design!$B$40),Constants!$C$6/1000,Design!$B$40/1000))</f>
        <v>10.515410899595972</v>
      </c>
      <c r="Q6" s="213">
        <f ca="1">IF(P6&gt;Design!$C$28,Design!$C$28,P6)</f>
        <v>3.3223709369024856</v>
      </c>
      <c r="R6" s="223">
        <f>2*Design!$D$6/3</f>
        <v>1.6666666666666667</v>
      </c>
      <c r="S6" s="158">
        <f ca="1">FORECAST(R6, OFFSET(Design!$C$15:$C$17,MATCH(R6,Design!$B$15:$B$17,1)-1,0,2), OFFSET(Design!$B$15:$B$17,MATCH(R6,Design!$B$15:$B$17,1)-1,0,2))+(AB6-25)*Design!$B$18/1000</f>
        <v>0.35150175588833427</v>
      </c>
      <c r="T6" s="224">
        <f ca="1">IF(100*(Design!$C$28+S6+R6*IF(ISBLANK(Design!$B$40),Constants!$C$6,Design!$B$40)/1000*(1+Constants!$C$31/100*(AC6-25)))/($B6+S6-R6*AD6/1000)&gt;Design!$C$35,Design!$C$35,100*(Design!$C$28+S6+R6*IF(ISBLANK(Design!$B$40),Constants!$C$6,Design!$B$40)/1000*(1+Constants!$C$31/100*(AC6-25)))/($B6+S6-R6*AD6/1000))</f>
        <v>32.403367737765798</v>
      </c>
      <c r="U6" s="159">
        <f ca="1">IF(($B6-R6*IF(ISBLANK(Design!$B$40),Constants!$C$6,Design!$B$40)/1000*(1+Constants!$C$31/100*(AC6-25))-Design!$C$28)/(Design!$B$39/1000000)*T6/100/(IF(ISBLANK(IF(ISBLANK(Design!$B$39),Design!$B$38,Design!$B$39)),Design!$B$31,Design!$B$32)*1000000)&lt;0,0,($B6-R6*IF(ISBLANK(Design!$B$40),Constants!$C$6,Design!$B$40)/1000*(1+Constants!$C$31/100*(AC6-25))-Design!$C$28)/(IF(ISBLANK(Design!$B$39),Design!$B$38,Design!$B$39)/1000000)*T6/100/(IF(ISBLANK(Design!$B$32),Design!$B$31,Design!$B$32)*1000000))</f>
        <v>0.28285011960343182</v>
      </c>
      <c r="V6" s="225">
        <f>$B6*Constants!$C$18/1000+IF(ISBLANK(Design!$B$32),Design!$B$31,Design!$B$32)*1000000*Constants!$D$22/1000000000*($B6-Constants!$C$21)</f>
        <v>4.8773750000000005E-2</v>
      </c>
      <c r="W6" s="225">
        <f>$B6*R6*($B6/(Constants!$C$23*1000000000)*IF(ISBLANK(Design!$B$32),Design!$B$31,Design!$B$32)*1000000/2+$B6/(Constants!$C$24*1000000000)*IF(ISBLANK(Design!$B$32),Design!$B$31,Design!$B$32)*1000000/2)</f>
        <v>6.019026611666016E-2</v>
      </c>
      <c r="X6" s="225">
        <f t="shared" ca="1" si="2"/>
        <v>0.14968233744005624</v>
      </c>
      <c r="Y6" s="225">
        <f>Constants!$D$22/1000000000*Constants!$C$21*IF(ISBLANK(Design!$B$32),Design!$B$31,Design!$B$32)*1000000</f>
        <v>1.0624999999999999E-2</v>
      </c>
      <c r="Z6" s="225">
        <f ca="1">SUM(V6:Y6)</f>
        <v>0.26927135355671639</v>
      </c>
      <c r="AA6" s="225">
        <f t="shared" ca="1" si="7"/>
        <v>0.39600558220522242</v>
      </c>
      <c r="AB6" s="226">
        <f ca="1">$A6+AA6*Design!$B$19</f>
        <v>107.57231818569768</v>
      </c>
      <c r="AC6" s="226">
        <f ca="1">Z6*Design!$C$12+$A6</f>
        <v>94.155226020928353</v>
      </c>
      <c r="AD6" s="226">
        <f ca="1">Constants!$D$19+Constants!$D$19*Constants!$C$20/100*(AC6-25)</f>
        <v>165.89824635140326</v>
      </c>
      <c r="AE6" s="225">
        <f ca="1">(1-Constants!$C$17/1000000000*Design!$B$32*1000000) * ($B6+S6-R6*AD6/1000) - (S6+R6*(1+($A6-25)*Constants!$C$31/100)*IF(ISBLANK(Design!$B$40),Constants!$C$6/1000,Design!$B$40/1000))</f>
        <v>10.714756890572298</v>
      </c>
      <c r="AF6" s="159">
        <f ca="1">IF(AE6&gt;Design!$C$28,Design!$C$28,AE6)</f>
        <v>3.3223709369024856</v>
      </c>
      <c r="AG6" s="160">
        <f>Design!$D$6/3</f>
        <v>0.83333333333333337</v>
      </c>
      <c r="AH6" s="160">
        <f ca="1">FORECAST(AG6, OFFSET(Design!$C$15:$C$17,MATCH(AG6,Design!$B$15:$B$17,1)-1,0,2), OFFSET(Design!$B$15:$B$17,MATCH(AG6,Design!$B$15:$B$17,1)-1,0,2))+(AQ6-25)*Design!$B$18/1000</f>
        <v>0.29948036916854304</v>
      </c>
      <c r="AI6" s="238">
        <f ca="1">IF(100*(Design!$C$28+AH6+AG6*IF(ISBLANK(Design!$B$40),Constants!$C$6,Design!$B$40)/1000*(1+Constants!$C$31/100*(AR6-25)))/($B6+AH6-AG6*AS6/1000)&gt;Design!$C$35,Design!$C$35,100*(Design!$C$28+AH6+AG6*IF(ISBLANK(Design!$B$40),Constants!$C$6,Design!$B$40)/1000*(1+Constants!$C$31/100*(AR6-25)))/($B6+AH6-AG6*AS6/1000))</f>
        <v>31.257140191714591</v>
      </c>
      <c r="AJ6" s="161">
        <f ca="1">IF(($B6-AG6*IF(ISBLANK(Design!$B$40),Constants!$C$6,Design!$B$40)/1000*(1+Constants!$C$31/100*(AR6-25))-Design!$C$28)/(IF(ISBLANK(Design!$B$39),Design!$B$38,Design!$B$39)/1000000)*AI6/100/(IF(ISBLANK(Design!$B$32),Design!$B$31,Design!$B$32)*1000000)&lt;0,0,($B6-AG6*IF(ISBLANK(Design!$B$40),Constants!$C$6,Design!$B$40)/1000*(1+Constants!$C$31/100*(AR6-25))-Design!$C$28)/(IF(ISBLANK(Design!$B$39),Design!$B$38,Design!$B$39)/1000000)*AI6/100/(IF(ISBLANK(Design!$B$32),Design!$B$31,Design!$B$32)*1000000))</f>
        <v>0.27464299304907408</v>
      </c>
      <c r="AK6" s="239">
        <f>$B6*Constants!$C$18/1000+IF(ISBLANK(Design!$B$32),Design!$B$31,Design!$B$32)*1000000*Constants!$D$22/1000000000*($B6-Constants!$C$21)</f>
        <v>4.8773750000000005E-2</v>
      </c>
      <c r="AL6" s="239">
        <f>$B6*AG6*($B6/(Constants!$C$23*1000000000)*IF(ISBLANK(Design!$B$32),Design!$B$31,Design!$B$32)*1000000/2+$B6/(Constants!$C$24*1000000000)*IF(ISBLANK(Design!$B$32),Design!$B$31,Design!$B$32)*1000000/2)</f>
        <v>3.009513305833008E-2</v>
      </c>
      <c r="AM6" s="239">
        <f t="shared" ca="1" si="3"/>
        <v>3.5545868564761524E-2</v>
      </c>
      <c r="AN6" s="239">
        <f>Constants!$D$22/1000000000*Constants!$C$21*IF(ISBLANK(Design!$B$32),Design!$B$31,Design!$B$32)*1000000</f>
        <v>1.0624999999999999E-2</v>
      </c>
      <c r="AO6" s="239">
        <f ca="1">SUM(AK6:AN6)</f>
        <v>0.12503975162309161</v>
      </c>
      <c r="AP6" s="239">
        <f t="shared" ca="1" si="9"/>
        <v>0.17155947527572263</v>
      </c>
      <c r="AQ6" s="240">
        <f ca="1">$A6+AP6*Design!$B$19</f>
        <v>94.778890090716189</v>
      </c>
      <c r="AR6" s="240">
        <f ca="1">AO6*Design!$C$12+$A6</f>
        <v>89.25135155518511</v>
      </c>
      <c r="AS6" s="240">
        <f ca="1">Constants!$D$19+Constants!$D$19*Constants!$C$20/100*(AR6-25)</f>
        <v>162.28899474461625</v>
      </c>
      <c r="AT6" s="239">
        <f ca="1">(1-Constants!$C$17/1000000000*Design!$B$32*1000000) * ($B6+AH6-AG6*AS6/1000) - (AH6+AG6*(1+($A6-25)*Constants!$C$31/100)*IF(ISBLANK(Design!$B$40),Constants!$C$6/1000,Design!$B$40/1000))</f>
        <v>10.903712323920365</v>
      </c>
      <c r="AU6" s="161">
        <f ca="1">IF(AT6&gt;Design!$C$28,Design!$C$28,AT6)</f>
        <v>3.3223709369024856</v>
      </c>
    </row>
    <row r="7" spans="1:47" s="162" customFormat="1" ht="12.75" customHeight="1" x14ac:dyDescent="0.25">
      <c r="A7" s="154">
        <f>Design!$D$13</f>
        <v>85</v>
      </c>
      <c r="B7" s="155">
        <f t="shared" si="0"/>
        <v>11.385000000000002</v>
      </c>
      <c r="C7" s="156">
        <f>Design!$D$6</f>
        <v>2.5</v>
      </c>
      <c r="D7" s="156">
        <f ca="1">FORECAST(C7, OFFSET(Design!$C$15:$C$17,MATCH(C7,Design!$B$15:$B$17,1)-1,0,2), OFFSET(Design!$B$15:$B$17,MATCH(C7,Design!$B$15:$B$17,1)-1,0,2))+(M7-25)*Design!$B$18/1000</f>
        <v>0.37708085859001239</v>
      </c>
      <c r="E7" s="215">
        <f ca="1">IF(100*(Design!$C$28+D7+C7*IF(ISBLANK(Design!$B$40),Constants!$C$6,Design!$B$40)/1000*(1+Constants!$C$31/100*(N7-25)))/($B7+D7-C7*O7/1000)&gt;Design!$C$35,Design!$C$35,100*(Design!$C$28+D7+C7*IF(ISBLANK(Design!$B$40),Constants!$C$6,Design!$B$40)/1000*(1+Constants!$C$31/100*(N7-25)))/($B7+D7-C7*O7/1000))</f>
        <v>34.084328959823281</v>
      </c>
      <c r="F7" s="157">
        <f ca="1">IF(($B7-C7*IF(ISBLANK(Design!$B$40),Constants!$C$6,Design!$B$40)/1000*(1+Constants!$C$31/100*(N7-25))-Design!$C$28)/(IF(ISBLANK(Design!$B$39),Design!$B$38,Design!$B$39)/1000000)*E7/100/(IF(ISBLANK(Design!$B$32),Design!$B$31,Design!$B$32)*1000000)&lt;0, 0, ($B7-C7*IF(ISBLANK(Design!$B$40),Constants!$C$6,Design!$B$40)/1000*(1+Constants!$C$31/100*(N7-25))-Design!$C$28)/(IF(ISBLANK(Design!$B$39),Design!$B$38,Design!$B$39)/1000000)*E7/100/(IF(ISBLANK(Design!$B$32),Design!$B$31,Design!$B$32)*1000000))</f>
        <v>0.28797060287912568</v>
      </c>
      <c r="G7" s="207">
        <f>B7*Constants!$C$18/1000+IF(ISBLANK(Design!$B$32),Design!$B$31,Design!$B$32)*1000000*Constants!$D$22/1000000000*(B7-Constants!$C$21)</f>
        <v>4.7723125000000005E-2</v>
      </c>
      <c r="H7" s="207">
        <f>B7*C7*(B7/(Constants!$C$23*1000000000)*IF(ISBLANK(Design!$B$32),Design!$B$31,Design!$B$32)*1000000/2+B7/(Constants!$C$24*1000000000)*IF(ISBLANK(Design!$B$32),Design!$B$31,Design!$B$32)*1000000/2)</f>
        <v>8.7119770059121651E-2</v>
      </c>
      <c r="I7" s="207">
        <f t="shared" ca="1" si="1"/>
        <v>0.36676499942501678</v>
      </c>
      <c r="J7" s="207">
        <f>Constants!$D$22/1000000000*Constants!$C$21*IF(ISBLANK(Design!$B$32),Design!$B$31,Design!$B$32)*1000000</f>
        <v>1.0624999999999999E-2</v>
      </c>
      <c r="K7" s="207">
        <f t="shared" ca="1" si="4"/>
        <v>0.51223289448413845</v>
      </c>
      <c r="L7" s="207">
        <f t="shared" ca="1" si="5"/>
        <v>0.6213884457591663</v>
      </c>
      <c r="M7" s="208">
        <f ca="1">A7+L7*Design!$B$19</f>
        <v>120.41914140827248</v>
      </c>
      <c r="N7" s="208">
        <f ca="1">K7*Design!$C$12+A7</f>
        <v>102.41591841246071</v>
      </c>
      <c r="O7" s="208">
        <f ca="1">Constants!$D$19+Constants!$D$19*Constants!$C$20/100*(N7-25)</f>
        <v>171.97811595157108</v>
      </c>
      <c r="P7" s="207">
        <f ca="1">(1-Constants!$C$17/1000000000*Design!$B$32*1000000) * ($B7+D7-C7*O7/1000) - (D7+C7*(1+($A7-25)*Constants!$C$31/100)*IF(ISBLANK(Design!$B$40),Constants!$C$6/1000,Design!$B$40/1000))</f>
        <v>10.318963948450852</v>
      </c>
      <c r="Q7" s="213">
        <f ca="1">IF(P7&gt;Design!$C$28,Design!$C$28,P7)</f>
        <v>3.3223709369024856</v>
      </c>
      <c r="R7" s="223">
        <f>2*Design!$D$6/3</f>
        <v>1.6666666666666667</v>
      </c>
      <c r="S7" s="158">
        <f ca="1">FORECAST(R7, OFFSET(Design!$C$15:$C$17,MATCH(R7,Design!$B$15:$B$17,1)-1,0,2), OFFSET(Design!$B$15:$B$17,MATCH(R7,Design!$B$15:$B$17,1)-1,0,2))+(AB7-25)*Design!$B$18/1000</f>
        <v>0.35168402902426632</v>
      </c>
      <c r="T7" s="224">
        <f ca="1">IF(100*(Design!$C$28+S7+R7*IF(ISBLANK(Design!$B$40),Constants!$C$6,Design!$B$40)/1000*(1+Constants!$C$31/100*(AC7-25)))/($B7+S7-R7*AD7/1000)&gt;Design!$C$35,Design!$C$35,100*(Design!$C$28+S7+R7*IF(ISBLANK(Design!$B$40),Constants!$C$6,Design!$B$40)/1000*(1+Constants!$C$31/100*(AC7-25)))/($B7+S7-R7*AD7/1000))</f>
        <v>32.983967060343431</v>
      </c>
      <c r="U7" s="159">
        <f ca="1">IF(($B7-R7*IF(ISBLANK(Design!$B$40),Constants!$C$6,Design!$B$40)/1000*(1+Constants!$C$31/100*(AC7-25))-Design!$C$28)/(Design!$B$39/1000000)*T7/100/(IF(ISBLANK(IF(ISBLANK(Design!$B$39),Design!$B$38,Design!$B$39)),Design!$B$31,Design!$B$32)*1000000)&lt;0,0,($B7-R7*IF(ISBLANK(Design!$B$40),Constants!$C$6,Design!$B$40)/1000*(1+Constants!$C$31/100*(AC7-25))-Design!$C$28)/(IF(ISBLANK(Design!$B$39),Design!$B$38,Design!$B$39)/1000000)*T7/100/(IF(ISBLANK(Design!$B$32),Design!$B$31,Design!$B$32)*1000000))</f>
        <v>0.28068660717004401</v>
      </c>
      <c r="V7" s="225">
        <f>$B7*Constants!$C$18/1000+IF(ISBLANK(Design!$B$32),Design!$B$31,Design!$B$32)*1000000*Constants!$D$22/1000000000*($B7-Constants!$C$21)</f>
        <v>4.7723125000000005E-2</v>
      </c>
      <c r="W7" s="225">
        <f>$B7*R7*($B7/(Constants!$C$23*1000000000)*IF(ISBLANK(Design!$B$32),Design!$B$31,Design!$B$32)*1000000/2+$B7/(Constants!$C$24*1000000000)*IF(ISBLANK(Design!$B$32),Design!$B$31,Design!$B$32)*1000000/2)</f>
        <v>5.8079846706081101E-2</v>
      </c>
      <c r="X7" s="225">
        <f t="shared" ca="1" si="2"/>
        <v>0.15234736718033307</v>
      </c>
      <c r="Y7" s="225">
        <f>Constants!$D$22/1000000000*Constants!$C$21*IF(ISBLANK(Design!$B$32),Design!$B$31,Design!$B$32)*1000000</f>
        <v>1.0624999999999999E-2</v>
      </c>
      <c r="Z7" s="225">
        <f t="shared" ref="Z7:Z44" ca="1" si="10">SUM(V7:Y7)</f>
        <v>0.26877533888641414</v>
      </c>
      <c r="AA7" s="225">
        <f t="shared" ca="1" si="7"/>
        <v>0.39280780789068948</v>
      </c>
      <c r="AB7" s="226">
        <f ca="1">$A7+AA7*Design!$B$19</f>
        <v>107.3900450497693</v>
      </c>
      <c r="AC7" s="226">
        <f ca="1">Z7*Design!$C$12+$A7</f>
        <v>94.138361522138084</v>
      </c>
      <c r="AD7" s="226">
        <f ca="1">Constants!$D$19+Constants!$D$19*Constants!$C$20/100*(AC7-25)</f>
        <v>165.88583408029365</v>
      </c>
      <c r="AE7" s="225">
        <f ca="1">(1-Constants!$C$17/1000000000*Design!$B$32*1000000) * ($B7+S7-R7*AD7/1000) - (S7+R7*(1+($A7-25)*Constants!$C$31/100)*IF(ISBLANK(Design!$B$40),Constants!$C$6/1000,Design!$B$40/1000))</f>
        <v>10.518481451880003</v>
      </c>
      <c r="AF7" s="159">
        <f ca="1">IF(AE7&gt;Design!$C$28,Design!$C$28,AE7)</f>
        <v>3.3223709369024856</v>
      </c>
      <c r="AG7" s="160">
        <f>Design!$D$6/3</f>
        <v>0.83333333333333337</v>
      </c>
      <c r="AH7" s="160">
        <f ca="1">FORECAST(AG7, OFFSET(Design!$C$15:$C$17,MATCH(AG7,Design!$B$15:$B$17,1)-1,0,2), OFFSET(Design!$B$15:$B$17,MATCH(AG7,Design!$B$15:$B$17,1)-1,0,2))+(AQ7-25)*Design!$B$18/1000</f>
        <v>0.29955685810765487</v>
      </c>
      <c r="AI7" s="238">
        <f ca="1">IF(100*(Design!$C$28+AH7+AG7*IF(ISBLANK(Design!$B$40),Constants!$C$6,Design!$B$40)/1000*(1+Constants!$C$31/100*(AR7-25)))/($B7+AH7-AG7*AS7/1000)&gt;Design!$C$35,Design!$C$35,100*(Design!$C$28+AH7+AG7*IF(ISBLANK(Design!$B$40),Constants!$C$6,Design!$B$40)/1000*(1+Constants!$C$31/100*(AR7-25)))/($B7+AH7-AG7*AS7/1000))</f>
        <v>31.81225154842739</v>
      </c>
      <c r="AJ7" s="161">
        <f ca="1">IF(($B7-AG7*IF(ISBLANK(Design!$B$40),Constants!$C$6,Design!$B$40)/1000*(1+Constants!$C$31/100*(AR7-25))-Design!$C$28)/(IF(ISBLANK(Design!$B$39),Design!$B$38,Design!$B$39)/1000000)*AI7/100/(IF(ISBLANK(Design!$B$32),Design!$B$31,Design!$B$32)*1000000)&lt;0,0,($B7-AG7*IF(ISBLANK(Design!$B$40),Constants!$C$6,Design!$B$40)/1000*(1+Constants!$C$31/100*(AR7-25))-Design!$C$28)/(IF(ISBLANK(Design!$B$39),Design!$B$38,Design!$B$39)/1000000)*AI7/100/(IF(ISBLANK(Design!$B$32),Design!$B$31,Design!$B$32)*1000000))</f>
        <v>0.27254591997309846</v>
      </c>
      <c r="AK7" s="239">
        <f>$B7*Constants!$C$18/1000+IF(ISBLANK(Design!$B$32),Design!$B$31,Design!$B$32)*1000000*Constants!$D$22/1000000000*($B7-Constants!$C$21)</f>
        <v>4.7723125000000005E-2</v>
      </c>
      <c r="AL7" s="239">
        <f>$B7*AG7*($B7/(Constants!$C$23*1000000000)*IF(ISBLANK(Design!$B$32),Design!$B$31,Design!$B$32)*1000000/2+$B7/(Constants!$C$24*1000000000)*IF(ISBLANK(Design!$B$32),Design!$B$31,Design!$B$32)*1000000/2)</f>
        <v>2.903992335304055E-2</v>
      </c>
      <c r="AM7" s="239">
        <f t="shared" ca="1" si="3"/>
        <v>3.6163910507675728E-2</v>
      </c>
      <c r="AN7" s="239">
        <f>Constants!$D$22/1000000000*Constants!$C$21*IF(ISBLANK(Design!$B$32),Design!$B$31,Design!$B$32)*1000000</f>
        <v>1.0624999999999999E-2</v>
      </c>
      <c r="AO7" s="239">
        <f t="shared" ref="AO7:AO44" ca="1" si="11">SUM(AK7:AN7)</f>
        <v>0.12355195886071628</v>
      </c>
      <c r="AP7" s="239">
        <f t="shared" ca="1" si="9"/>
        <v>0.17021756406323499</v>
      </c>
      <c r="AQ7" s="240">
        <f ca="1">$A7+AP7*Design!$B$19</f>
        <v>94.702401151604391</v>
      </c>
      <c r="AR7" s="240">
        <f ca="1">AO7*Design!$C$12+$A7</f>
        <v>89.200766601264348</v>
      </c>
      <c r="AS7" s="240">
        <f ca="1">Constants!$D$19+Constants!$D$19*Constants!$C$20/100*(AR7-25)</f>
        <v>162.25176421853058</v>
      </c>
      <c r="AT7" s="239">
        <f ca="1">(1-Constants!$C$17/1000000000*Design!$B$32*1000000) * ($B7+AH7-AG7*AS7/1000) - (AH7+AG7*(1+($A7-25)*Constants!$C$31/100)*IF(ISBLANK(Design!$B$40),Constants!$C$6/1000,Design!$B$40/1000))</f>
        <v>10.707451279997724</v>
      </c>
      <c r="AU7" s="161">
        <f ca="1">IF(AT7&gt;Design!$C$28,Design!$C$28,AT7)</f>
        <v>3.3223709369024856</v>
      </c>
    </row>
    <row r="8" spans="1:47" s="162" customFormat="1" ht="12.75" customHeight="1" x14ac:dyDescent="0.25">
      <c r="A8" s="154">
        <f>Design!$D$13</f>
        <v>85</v>
      </c>
      <c r="B8" s="155">
        <f t="shared" si="0"/>
        <v>11.180000000000001</v>
      </c>
      <c r="C8" s="156">
        <f>Design!$D$6</f>
        <v>2.5</v>
      </c>
      <c r="D8" s="156">
        <f ca="1">FORECAST(C8, OFFSET(Design!$C$15:$C$17,MATCH(C8,Design!$B$15:$B$17,1)-1,0,2), OFFSET(Design!$B$15:$B$17,MATCH(C8,Design!$B$15:$B$17,1)-1,0,2))+(M8-25)*Design!$B$18/1000</f>
        <v>0.37739092721942979</v>
      </c>
      <c r="E8" s="215">
        <f ca="1">IF(100*(Design!$C$28+D8+C8*IF(ISBLANK(Design!$B$40),Constants!$C$6,Design!$B$40)/1000*(1+Constants!$C$31/100*(N8-25)))/($B8+D8-C8*O8/1000)&gt;Design!$C$35,Design!$C$35,100*(Design!$C$28+D8+C8*IF(ISBLANK(Design!$B$40),Constants!$C$6,Design!$B$40)/1000*(1+Constants!$C$31/100*(N8-25)))/($B8+D8-C8*O8/1000))</f>
        <v>34.715055310502919</v>
      </c>
      <c r="F8" s="157">
        <f ca="1">IF(($B8-C8*IF(ISBLANK(Design!$B$40),Constants!$C$6,Design!$B$40)/1000*(1+Constants!$C$31/100*(N8-25))-Design!$C$28)/(IF(ISBLANK(Design!$B$39),Design!$B$38,Design!$B$39)/1000000)*E8/100/(IF(ISBLANK(Design!$B$32),Design!$B$31,Design!$B$32)*1000000)&lt;0, 0, ($B8-C8*IF(ISBLANK(Design!$B$40),Constants!$C$6,Design!$B$40)/1000*(1+Constants!$C$31/100*(N8-25))-Design!$C$28)/(IF(ISBLANK(Design!$B$39),Design!$B$38,Design!$B$39)/1000000)*E8/100/(IF(ISBLANK(Design!$B$32),Design!$B$31,Design!$B$32)*1000000))</f>
        <v>0.28568642289934332</v>
      </c>
      <c r="G8" s="207">
        <f>B8*Constants!$C$18/1000+IF(ISBLANK(Design!$B$32),Design!$B$31,Design!$B$32)*1000000*Constants!$D$22/1000000000*(B8-Constants!$C$21)</f>
        <v>4.6672500000000013E-2</v>
      </c>
      <c r="H8" s="207">
        <f>B8*C8*(B8/(Constants!$C$23*1000000000)*IF(ISBLANK(Design!$B$32),Design!$B$31,Design!$B$32)*1000000/2+B8/(Constants!$C$24*1000000000)*IF(ISBLANK(Design!$B$32),Design!$B$31,Design!$B$32)*1000000/2)</f>
        <v>8.4010633127692927E-2</v>
      </c>
      <c r="I8" s="207">
        <f t="shared" ca="1" si="1"/>
        <v>0.37369605093542857</v>
      </c>
      <c r="J8" s="207">
        <f>Constants!$D$22/1000000000*Constants!$C$21*IF(ISBLANK(Design!$B$32),Design!$B$31,Design!$B$32)*1000000</f>
        <v>1.0624999999999999E-2</v>
      </c>
      <c r="K8" s="207">
        <f t="shared" ca="1" si="4"/>
        <v>0.51500418406312154</v>
      </c>
      <c r="L8" s="207">
        <f t="shared" ca="1" si="5"/>
        <v>0.61594864524596238</v>
      </c>
      <c r="M8" s="208">
        <f ca="1">A8+L8*Design!$B$19</f>
        <v>120.10907277901985</v>
      </c>
      <c r="N8" s="208">
        <f ca="1">K8*Design!$C$12+A8</f>
        <v>102.51014225814613</v>
      </c>
      <c r="O8" s="208">
        <f ca="1">Constants!$D$19+Constants!$D$19*Constants!$C$20/100*(N8-25)</f>
        <v>172.04746470199555</v>
      </c>
      <c r="P8" s="207">
        <f ca="1">(1-Constants!$C$17/1000000000*Design!$B$32*1000000) * ($B8+D8-C8*O8/1000) - (D8+C8*(1+($A8-25)*Constants!$C$31/100)*IF(ISBLANK(Design!$B$40),Constants!$C$6/1000,Design!$B$40/1000))</f>
        <v>10.122497266962775</v>
      </c>
      <c r="Q8" s="213">
        <f ca="1">IF(P8&gt;Design!$C$28,Design!$C$28,P8)</f>
        <v>3.3223709369024856</v>
      </c>
      <c r="R8" s="223">
        <f>2*Design!$D$6/3</f>
        <v>1.6666666666666667</v>
      </c>
      <c r="S8" s="158">
        <f ca="1">FORECAST(R8, OFFSET(Design!$C$15:$C$17,MATCH(R8,Design!$B$15:$B$17,1)-1,0,2), OFFSET(Design!$B$15:$B$17,MATCH(R8,Design!$B$15:$B$17,1)-1,0,2))+(AB8-25)*Design!$B$18/1000</f>
        <v>0.35187315724027357</v>
      </c>
      <c r="T8" s="224">
        <f ca="1">IF(100*(Design!$C$28+S8+R8*IF(ISBLANK(Design!$B$40),Constants!$C$6,Design!$B$40)/1000*(1+Constants!$C$31/100*(AC8-25)))/($B8+S8-R8*AD8/1000)&gt;Design!$C$35,Design!$C$35,100*(Design!$C$28+S8+R8*IF(ISBLANK(Design!$B$40),Constants!$C$6,Design!$B$40)/1000*(1+Constants!$C$31/100*(AC8-25)))/($B8+S8-R8*AD8/1000))</f>
        <v>33.585766177531212</v>
      </c>
      <c r="U8" s="159">
        <f ca="1">IF(($B8-R8*IF(ISBLANK(Design!$B$40),Constants!$C$6,Design!$B$40)/1000*(1+Constants!$C$31/100*(AC8-25))-Design!$C$28)/(Design!$B$39/1000000)*T8/100/(IF(ISBLANK(IF(ISBLANK(Design!$B$39),Design!$B$38,Design!$B$39)),Design!$B$31,Design!$B$32)*1000000)&lt;0,0,($B8-R8*IF(ISBLANK(Design!$B$40),Constants!$C$6,Design!$B$40)/1000*(1+Constants!$C$31/100*(AC8-25))-Design!$C$28)/(IF(ISBLANK(Design!$B$39),Design!$B$38,Design!$B$39)/1000000)*T8/100/(IF(ISBLANK(Design!$B$32),Design!$B$31,Design!$B$32)*1000000))</f>
        <v>0.27844420985244767</v>
      </c>
      <c r="V8" s="225">
        <f>$B8*Constants!$C$18/1000+IF(ISBLANK(Design!$B$32),Design!$B$31,Design!$B$32)*1000000*Constants!$D$22/1000000000*($B8-Constants!$C$21)</f>
        <v>4.6672500000000013E-2</v>
      </c>
      <c r="W8" s="225">
        <f>$B8*R8*($B8/(Constants!$C$23*1000000000)*IF(ISBLANK(Design!$B$32),Design!$B$31,Design!$B$32)*1000000/2+$B8/(Constants!$C$24*1000000000)*IF(ISBLANK(Design!$B$32),Design!$B$31,Design!$B$32)*1000000/2)</f>
        <v>5.6007088751795289E-2</v>
      </c>
      <c r="X8" s="225">
        <f t="shared" ca="1" si="2"/>
        <v>0.155112777795259</v>
      </c>
      <c r="Y8" s="225">
        <f>Constants!$D$22/1000000000*Constants!$C$21*IF(ISBLANK(Design!$B$32),Design!$B$31,Design!$B$32)*1000000</f>
        <v>1.0624999999999999E-2</v>
      </c>
      <c r="Z8" s="225">
        <f t="shared" ca="1" si="10"/>
        <v>0.26841736654705428</v>
      </c>
      <c r="AA8" s="225">
        <f t="shared" ca="1" si="7"/>
        <v>0.38948976901343091</v>
      </c>
      <c r="AB8" s="226">
        <f ca="1">$A8+AA8*Design!$B$19</f>
        <v>107.20091683376556</v>
      </c>
      <c r="AC8" s="226">
        <f ca="1">Z8*Design!$C$12+$A8</f>
        <v>94.126190462599851</v>
      </c>
      <c r="AD8" s="226">
        <f ca="1">Constants!$D$19+Constants!$D$19*Constants!$C$20/100*(AC8-25)</f>
        <v>165.87687618047349</v>
      </c>
      <c r="AE8" s="225">
        <f ca="1">(1-Constants!$C$17/1000000000*Design!$B$32*1000000) * ($B8+S8-R8*AD8/1000) - (S8+R8*(1+($A8-25)*Constants!$C$31/100)*IF(ISBLANK(Design!$B$40),Constants!$C$6/1000,Design!$B$40/1000))</f>
        <v>10.322200209245953</v>
      </c>
      <c r="AF8" s="159">
        <f ca="1">IF(AE8&gt;Design!$C$28,Design!$C$28,AE8)</f>
        <v>3.3223709369024856</v>
      </c>
      <c r="AG8" s="160">
        <f>Design!$D$6/3</f>
        <v>0.83333333333333337</v>
      </c>
      <c r="AH8" s="160">
        <f ca="1">FORECAST(AG8, OFFSET(Design!$C$15:$C$17,MATCH(AG8,Design!$B$15:$B$17,1)-1,0,2), OFFSET(Design!$B$15:$B$17,MATCH(AG8,Design!$B$15:$B$17,1)-1,0,2))+(AQ8-25)*Design!$B$18/1000</f>
        <v>0.2996361541342083</v>
      </c>
      <c r="AI8" s="238">
        <f ca="1">IF(100*(Design!$C$28+AH8+AG8*IF(ISBLANK(Design!$B$40),Constants!$C$6,Design!$B$40)/1000*(1+Constants!$C$31/100*(AR8-25)))/($B8+AH8-AG8*AS8/1000)&gt;Design!$C$35,Design!$C$35,100*(Design!$C$28+AH8+AG8*IF(ISBLANK(Design!$B$40),Constants!$C$6,Design!$B$40)/1000*(1+Constants!$C$31/100*(AR8-25)))/($B8+AH8-AG8*AS8/1000))</f>
        <v>32.387435879170738</v>
      </c>
      <c r="AJ8" s="161">
        <f ca="1">IF(($B8-AG8*IF(ISBLANK(Design!$B$40),Constants!$C$6,Design!$B$40)/1000*(1+Constants!$C$31/100*(AR8-25))-Design!$C$28)/(IF(ISBLANK(Design!$B$39),Design!$B$38,Design!$B$39)/1000000)*AI8/100/(IF(ISBLANK(Design!$B$32),Design!$B$31,Design!$B$32)*1000000)&lt;0,0,($B8-AG8*IF(ISBLANK(Design!$B$40),Constants!$C$6,Design!$B$40)/1000*(1+Constants!$C$31/100*(AR8-25))-Design!$C$28)/(IF(ISBLANK(Design!$B$39),Design!$B$38,Design!$B$39)/1000000)*AI8/100/(IF(ISBLANK(Design!$B$32),Design!$B$31,Design!$B$32)*1000000))</f>
        <v>0.27037300181614038</v>
      </c>
      <c r="AK8" s="239">
        <f>$B8*Constants!$C$18/1000+IF(ISBLANK(Design!$B$32),Design!$B$31,Design!$B$32)*1000000*Constants!$D$22/1000000000*($B8-Constants!$C$21)</f>
        <v>4.6672500000000013E-2</v>
      </c>
      <c r="AL8" s="239">
        <f>$B8*AG8*($B8/(Constants!$C$23*1000000000)*IF(ISBLANK(Design!$B$32),Design!$B$31,Design!$B$32)*1000000/2+$B8/(Constants!$C$24*1000000000)*IF(ISBLANK(Design!$B$32),Design!$B$31,Design!$B$32)*1000000/2)</f>
        <v>2.8003544375897645E-2</v>
      </c>
      <c r="AM8" s="239">
        <f t="shared" ca="1" si="3"/>
        <v>3.6804396570459884E-2</v>
      </c>
      <c r="AN8" s="239">
        <f>Constants!$D$22/1000000000*Constants!$C$21*IF(ISBLANK(Design!$B$32),Design!$B$31,Design!$B$32)*1000000</f>
        <v>1.0624999999999999E-2</v>
      </c>
      <c r="AO8" s="239">
        <f t="shared" ca="1" si="11"/>
        <v>0.12210544094635753</v>
      </c>
      <c r="AP8" s="239">
        <f t="shared" ca="1" si="9"/>
        <v>0.16882640570264865</v>
      </c>
      <c r="AQ8" s="240">
        <f ca="1">$A8+AP8*Design!$B$19</f>
        <v>94.623105125050969</v>
      </c>
      <c r="AR8" s="240">
        <f ca="1">AO8*Design!$C$12+$A8</f>
        <v>89.151584992176154</v>
      </c>
      <c r="AS8" s="240">
        <f ca="1">Constants!$D$19+Constants!$D$19*Constants!$C$20/100*(AR8-25)</f>
        <v>162.21556655424166</v>
      </c>
      <c r="AT8" s="239">
        <f ca="1">(1-Constants!$C$17/1000000000*Design!$B$32*1000000) * ($B8+AH8-AG8*AS8/1000) - (AH8+AG8*(1+($A8-25)*Constants!$C$31/100)*IF(ISBLANK(Design!$B$40),Constants!$C$6/1000,Design!$B$40/1000))</f>
        <v>10.511189292636228</v>
      </c>
      <c r="AU8" s="161">
        <f ca="1">IF(AT8&gt;Design!$C$28,Design!$C$28,AT8)</f>
        <v>3.3223709369024856</v>
      </c>
    </row>
    <row r="9" spans="1:47" s="162" customFormat="1" ht="12.75" customHeight="1" x14ac:dyDescent="0.25">
      <c r="A9" s="154">
        <f>Design!$D$13</f>
        <v>85</v>
      </c>
      <c r="B9" s="155">
        <f t="shared" si="0"/>
        <v>10.975000000000001</v>
      </c>
      <c r="C9" s="156">
        <f>Design!$D$6</f>
        <v>2.5</v>
      </c>
      <c r="D9" s="156">
        <f ca="1">FORECAST(C9, OFFSET(Design!$C$15:$C$17,MATCH(C9,Design!$B$15:$B$17,1)-1,0,2), OFFSET(Design!$B$15:$B$17,MATCH(C9,Design!$B$15:$B$17,1)-1,0,2))+(M9-25)*Design!$B$18/1000</f>
        <v>0.37771326156072738</v>
      </c>
      <c r="E9" s="215">
        <f ca="1">IF(100*(Design!$C$28+D9+C9*IF(ISBLANK(Design!$B$40),Constants!$C$6,Design!$B$40)/1000*(1+Constants!$C$31/100*(N9-25)))/($B9+D9-C9*O9/1000)&gt;Design!$C$35,Design!$C$35,100*(Design!$C$28+D9+C9*IF(ISBLANK(Design!$B$40),Constants!$C$6,Design!$B$40)/1000*(1+Constants!$C$31/100*(N9-25)))/($B9+D9-C9*O9/1000))</f>
        <v>35.369634173487611</v>
      </c>
      <c r="F9" s="157">
        <f ca="1">IF(($B9-C9*IF(ISBLANK(Design!$B$40),Constants!$C$6,Design!$B$40)/1000*(1+Constants!$C$31/100*(N9-25))-Design!$C$28)/(IF(ISBLANK(Design!$B$39),Design!$B$38,Design!$B$39)/1000000)*E9/100/(IF(ISBLANK(Design!$B$32),Design!$B$31,Design!$B$32)*1000000)&lt;0, 0, ($B9-C9*IF(ISBLANK(Design!$B$40),Constants!$C$6,Design!$B$40)/1000*(1+Constants!$C$31/100*(N9-25))-Design!$C$28)/(IF(ISBLANK(Design!$B$39),Design!$B$38,Design!$B$39)/1000000)*E9/100/(IF(ISBLANK(Design!$B$32),Design!$B$31,Design!$B$32)*1000000))</f>
        <v>0.28331645491713864</v>
      </c>
      <c r="G9" s="207">
        <f>B9*Constants!$C$18/1000+IF(ISBLANK(Design!$B$32),Design!$B$31,Design!$B$32)*1000000*Constants!$D$22/1000000000*(B9-Constants!$C$21)</f>
        <v>4.5621875000000006E-2</v>
      </c>
      <c r="H9" s="207">
        <f>B9*C9*(B9/(Constants!$C$23*1000000000)*IF(ISBLANK(Design!$B$32),Design!$B$31,Design!$B$32)*1000000/2+B9/(Constants!$C$24*1000000000)*IF(ISBLANK(Design!$B$32),Design!$B$31,Design!$B$32)*1000000/2)</f>
        <v>8.0957988380704088E-2</v>
      </c>
      <c r="I9" s="207">
        <f t="shared" ca="1" si="1"/>
        <v>0.38090766874561854</v>
      </c>
      <c r="J9" s="207">
        <f>Constants!$D$22/1000000000*Constants!$C$21*IF(ISBLANK(Design!$B$32),Design!$B$31,Design!$B$32)*1000000</f>
        <v>1.0624999999999999E-2</v>
      </c>
      <c r="K9" s="207">
        <f t="shared" ca="1" si="4"/>
        <v>0.51811253212632258</v>
      </c>
      <c r="L9" s="207">
        <f t="shared" ca="1" si="5"/>
        <v>0.61029365680487413</v>
      </c>
      <c r="M9" s="208">
        <f ca="1">A9+L9*Design!$B$19</f>
        <v>119.78673843787783</v>
      </c>
      <c r="N9" s="208">
        <f ca="1">K9*Design!$C$12+A9</f>
        <v>102.61582609229497</v>
      </c>
      <c r="O9" s="208">
        <f ca="1">Constants!$D$19+Constants!$D$19*Constants!$C$20/100*(N9-25)</f>
        <v>172.1252480039291</v>
      </c>
      <c r="P9" s="207">
        <f ca="1">(1-Constants!$C$17/1000000000*Design!$B$32*1000000) * ($B9+D9-C9*O9/1000) - (D9+C9*(1+($A9-25)*Constants!$C$31/100)*IF(ISBLANK(Design!$B$40),Constants!$C$6/1000,Design!$B$40/1000))</f>
        <v>9.9260098739742659</v>
      </c>
      <c r="Q9" s="213">
        <f ca="1">IF(P9&gt;Design!$C$28,Design!$C$28,P9)</f>
        <v>3.3223709369024856</v>
      </c>
      <c r="R9" s="223">
        <f>2*Design!$D$6/3</f>
        <v>1.6666666666666667</v>
      </c>
      <c r="S9" s="158">
        <f ca="1">FORECAST(R9, OFFSET(Design!$C$15:$C$17,MATCH(R9,Design!$B$15:$B$17,1)-1,0,2), OFFSET(Design!$B$15:$B$17,MATCH(R9,Design!$B$15:$B$17,1)-1,0,2))+(AB9-25)*Design!$B$18/1000</f>
        <v>0.35206953448413159</v>
      </c>
      <c r="T9" s="224">
        <f ca="1">IF(100*(Design!$C$28+S9+R9*IF(ISBLANK(Design!$B$40),Constants!$C$6,Design!$B$40)/1000*(1+Constants!$C$31/100*(AC9-25)))/($B9+S9-R9*AD9/1000)&gt;Design!$C$35,Design!$C$35,100*(Design!$C$28+S9+R9*IF(ISBLANK(Design!$B$40),Constants!$C$6,Design!$B$40)/1000*(1+Constants!$C$31/100*(AC9-25)))/($B9+S9-R9*AD9/1000))</f>
        <v>34.20994722966649</v>
      </c>
      <c r="U9" s="159">
        <f ca="1">IF(($B9-R9*IF(ISBLANK(Design!$B$40),Constants!$C$6,Design!$B$40)/1000*(1+Constants!$C$31/100*(AC9-25))-Design!$C$28)/(Design!$B$39/1000000)*T9/100/(IF(ISBLANK(IF(ISBLANK(Design!$B$39),Design!$B$38,Design!$B$39)),Design!$B$31,Design!$B$32)*1000000)&lt;0,0,($B9-R9*IF(ISBLANK(Design!$B$40),Constants!$C$6,Design!$B$40)/1000*(1+Constants!$C$31/100*(AC9-25))-Design!$C$28)/(IF(ISBLANK(Design!$B$39),Design!$B$38,Design!$B$39)/1000000)*T9/100/(IF(ISBLANK(Design!$B$32),Design!$B$31,Design!$B$32)*1000000))</f>
        <v>0.27611851977212282</v>
      </c>
      <c r="V9" s="225">
        <f>$B9*Constants!$C$18/1000+IF(ISBLANK(Design!$B$32),Design!$B$31,Design!$B$32)*1000000*Constants!$D$22/1000000000*($B9-Constants!$C$21)</f>
        <v>4.5621875000000006E-2</v>
      </c>
      <c r="W9" s="225">
        <f>$B9*R9*($B9/(Constants!$C$23*1000000000)*IF(ISBLANK(Design!$B$32),Design!$B$31,Design!$B$32)*1000000/2+$B9/(Constants!$C$24*1000000000)*IF(ISBLANK(Design!$B$32),Design!$B$31,Design!$B$32)*1000000/2)</f>
        <v>5.3971992253802732E-2</v>
      </c>
      <c r="X9" s="225">
        <f t="shared" ca="1" si="2"/>
        <v>0.15798429633423128</v>
      </c>
      <c r="Y9" s="225">
        <f>Constants!$D$22/1000000000*Constants!$C$21*IF(ISBLANK(Design!$B$32),Design!$B$31,Design!$B$32)*1000000</f>
        <v>1.0624999999999999E-2</v>
      </c>
      <c r="Z9" s="225">
        <f t="shared" ca="1" si="10"/>
        <v>0.26820316358803398</v>
      </c>
      <c r="AA9" s="225">
        <f t="shared" ca="1" si="7"/>
        <v>0.38604455420896289</v>
      </c>
      <c r="AB9" s="226">
        <f ca="1">$A9+AA9*Design!$B$19</f>
        <v>107.00453958991088</v>
      </c>
      <c r="AC9" s="226">
        <f ca="1">Z9*Design!$C$12+$A9</f>
        <v>94.118907561993154</v>
      </c>
      <c r="AD9" s="226">
        <f ca="1">Constants!$D$19+Constants!$D$19*Constants!$C$20/100*(AC9-25)</f>
        <v>165.87151596562697</v>
      </c>
      <c r="AE9" s="225">
        <f ca="1">(1-Constants!$C$17/1000000000*Design!$B$32*1000000) * ($B9+S9-R9*AD9/1000) - (S9+R9*(1+($A9-25)*Constants!$C$31/100)*IF(ISBLANK(Design!$B$40),Constants!$C$6/1000,Design!$B$40/1000))</f>
        <v>10.125912917222612</v>
      </c>
      <c r="AF9" s="159">
        <f ca="1">IF(AE9&gt;Design!$C$28,Design!$C$28,AE9)</f>
        <v>3.3223709369024856</v>
      </c>
      <c r="AG9" s="160">
        <f>Design!$D$6/3</f>
        <v>0.83333333333333337</v>
      </c>
      <c r="AH9" s="160">
        <f ca="1">FORECAST(AG9, OFFSET(Design!$C$15:$C$17,MATCH(AG9,Design!$B$15:$B$17,1)-1,0,2), OFFSET(Design!$B$15:$B$17,MATCH(AG9,Design!$B$15:$B$17,1)-1,0,2))+(AQ9-25)*Design!$B$18/1000</f>
        <v>0.29971841460573012</v>
      </c>
      <c r="AI9" s="238">
        <f ca="1">IF(100*(Design!$C$28+AH9+AG9*IF(ISBLANK(Design!$B$40),Constants!$C$6,Design!$B$40)/1000*(1+Constants!$C$31/100*(AR9-25)))/($B9+AH9-AG9*AS9/1000)&gt;Design!$C$35,Design!$C$35,100*(Design!$C$28+AH9+AG9*IF(ISBLANK(Design!$B$40),Constants!$C$6,Design!$B$40)/1000*(1+Constants!$C$31/100*(AR9-25)))/($B9+AH9-AG9*AS9/1000))</f>
        <v>32.983801576909144</v>
      </c>
      <c r="AJ9" s="161">
        <f ca="1">IF(($B9-AG9*IF(ISBLANK(Design!$B$40),Constants!$C$6,Design!$B$40)/1000*(1+Constants!$C$31/100*(AR9-25))-Design!$C$28)/(IF(ISBLANK(Design!$B$39),Design!$B$38,Design!$B$39)/1000000)*AI9/100/(IF(ISBLANK(Design!$B$32),Design!$B$31,Design!$B$32)*1000000)&lt;0,0,($B9-AG9*IF(ISBLANK(Design!$B$40),Constants!$C$6,Design!$B$40)/1000*(1+Constants!$C$31/100*(AR9-25))-Design!$C$28)/(IF(ISBLANK(Design!$B$39),Design!$B$38,Design!$B$39)/1000000)*AI9/100/(IF(ISBLANK(Design!$B$32),Design!$B$31,Design!$B$32)*1000000))</f>
        <v>0.26812004529896954</v>
      </c>
      <c r="AK9" s="239">
        <f>$B9*Constants!$C$18/1000+IF(ISBLANK(Design!$B$32),Design!$B$31,Design!$B$32)*1000000*Constants!$D$22/1000000000*($B9-Constants!$C$21)</f>
        <v>4.5621875000000006E-2</v>
      </c>
      <c r="AL9" s="239">
        <f>$B9*AG9*($B9/(Constants!$C$23*1000000000)*IF(ISBLANK(Design!$B$32),Design!$B$31,Design!$B$32)*1000000/2+$B9/(Constants!$C$24*1000000000)*IF(ISBLANK(Design!$B$32),Design!$B$31,Design!$B$32)*1000000/2)</f>
        <v>2.6985996126901366E-2</v>
      </c>
      <c r="AM9" s="239">
        <f t="shared" ca="1" si="3"/>
        <v>3.7468567622728988E-2</v>
      </c>
      <c r="AN9" s="239">
        <f>Constants!$D$22/1000000000*Constants!$C$21*IF(ISBLANK(Design!$B$32),Design!$B$31,Design!$B$32)*1000000</f>
        <v>1.0624999999999999E-2</v>
      </c>
      <c r="AO9" s="239">
        <f t="shared" ca="1" si="11"/>
        <v>0.12070143874963035</v>
      </c>
      <c r="AP9" s="239">
        <f t="shared" ca="1" si="9"/>
        <v>0.16738323953559853</v>
      </c>
      <c r="AQ9" s="240">
        <f ca="1">$A9+AP9*Design!$B$19</f>
        <v>94.54084465352912</v>
      </c>
      <c r="AR9" s="240">
        <f ca="1">AO9*Design!$C$12+$A9</f>
        <v>89.103848917487426</v>
      </c>
      <c r="AS9" s="240">
        <f ca="1">Constants!$D$19+Constants!$D$19*Constants!$C$20/100*(AR9-25)</f>
        <v>162.18043280327075</v>
      </c>
      <c r="AT9" s="239">
        <f ca="1">(1-Constants!$C$17/1000000000*Design!$B$32*1000000) * ($B9+AH9-AG9*AS9/1000) - (AH9+AG9*(1+($A9-25)*Constants!$C$31/100)*IF(ISBLANK(Design!$B$40),Constants!$C$6/1000,Design!$B$40/1000))</f>
        <v>10.314926330371648</v>
      </c>
      <c r="AU9" s="161">
        <f ca="1">IF(AT9&gt;Design!$C$28,Design!$C$28,AT9)</f>
        <v>3.3223709369024856</v>
      </c>
    </row>
    <row r="10" spans="1:47" s="162" customFormat="1" ht="12.75" customHeight="1" x14ac:dyDescent="0.25">
      <c r="A10" s="154">
        <f>Design!$D$13</f>
        <v>85</v>
      </c>
      <c r="B10" s="155">
        <f t="shared" si="0"/>
        <v>10.770000000000001</v>
      </c>
      <c r="C10" s="156">
        <f>Design!$D$6</f>
        <v>2.5</v>
      </c>
      <c r="D10" s="156">
        <f ca="1">FORECAST(C10, OFFSET(Design!$C$15:$C$17,MATCH(C10,Design!$B$15:$B$17,1)-1,0,2), OFFSET(Design!$B$15:$B$17,MATCH(C10,Design!$B$15:$B$17,1)-1,0,2))+(M10-25)*Design!$B$18/1000</f>
        <v>0.37804860464032652</v>
      </c>
      <c r="E10" s="215">
        <f ca="1">IF(100*(Design!$C$28+D10+C10*IF(ISBLANK(Design!$B$40),Constants!$C$6,Design!$B$40)/1000*(1+Constants!$C$31/100*(N10-25)))/($B10+D10-C10*O10/1000)&gt;Design!$C$35,Design!$C$35,100*(Design!$C$28+D10+C10*IF(ISBLANK(Design!$B$40),Constants!$C$6,Design!$B$40)/1000*(1+Constants!$C$31/100*(N10-25)))/($B10+D10-C10*O10/1000))</f>
        <v>36.049445762702319</v>
      </c>
      <c r="F10" s="157">
        <f ca="1">IF(($B10-C10*IF(ISBLANK(Design!$B$40),Constants!$C$6,Design!$B$40)/1000*(1+Constants!$C$31/100*(N10-25))-Design!$C$28)/(IF(ISBLANK(Design!$B$39),Design!$B$38,Design!$B$39)/1000000)*E10/100/(IF(ISBLANK(Design!$B$32),Design!$B$31,Design!$B$32)*1000000)&lt;0, 0, ($B10-C10*IF(ISBLANK(Design!$B$40),Constants!$C$6,Design!$B$40)/1000*(1+Constants!$C$31/100*(N10-25))-Design!$C$28)/(IF(ISBLANK(Design!$B$39),Design!$B$38,Design!$B$39)/1000000)*E10/100/(IF(ISBLANK(Design!$B$32),Design!$B$31,Design!$B$32)*1000000))</f>
        <v>0.28085573601536334</v>
      </c>
      <c r="G10" s="207">
        <f>B10*Constants!$C$18/1000+IF(ISBLANK(Design!$B$32),Design!$B$31,Design!$B$32)*1000000*Constants!$D$22/1000000000*(B10-Constants!$C$21)</f>
        <v>4.4571250000000007E-2</v>
      </c>
      <c r="H10" s="207">
        <f>B10*C10*(B10/(Constants!$C$23*1000000000)*IF(ISBLANK(Design!$B$32),Design!$B$31,Design!$B$32)*1000000/2+B10/(Constants!$C$24*1000000000)*IF(ISBLANK(Design!$B$32),Design!$B$31,Design!$B$32)*1000000/2)</f>
        <v>7.796183581815512E-2</v>
      </c>
      <c r="I10" s="207">
        <f t="shared" ca="1" si="1"/>
        <v>0.38841704459981002</v>
      </c>
      <c r="J10" s="207">
        <f>Constants!$D$22/1000000000*Constants!$C$21*IF(ISBLANK(Design!$B$32),Design!$B$31,Design!$B$32)*1000000</f>
        <v>1.0624999999999999E-2</v>
      </c>
      <c r="K10" s="207">
        <f t="shared" ca="1" si="4"/>
        <v>0.5215751304179651</v>
      </c>
      <c r="L10" s="207">
        <f t="shared" ca="1" si="5"/>
        <v>0.60441044488464768</v>
      </c>
      <c r="M10" s="208">
        <f ca="1">A10+L10*Design!$B$19</f>
        <v>119.45139535842492</v>
      </c>
      <c r="N10" s="208">
        <f ca="1">K10*Design!$C$12+A10</f>
        <v>102.73355443421082</v>
      </c>
      <c r="O10" s="208">
        <f ca="1">Constants!$D$19+Constants!$D$19*Constants!$C$20/100*(N10-25)</f>
        <v>172.21189606357916</v>
      </c>
      <c r="P10" s="207">
        <f ca="1">(1-Constants!$C$17/1000000000*Design!$B$32*1000000) * ($B10+D10-C10*O10/1000) - (D10+C10*(1+($A10-25)*Constants!$C$31/100)*IF(ISBLANK(Design!$B$40),Constants!$C$6/1000,Design!$B$40/1000))</f>
        <v>9.7295007081005966</v>
      </c>
      <c r="Q10" s="213">
        <f ca="1">IF(P10&gt;Design!$C$28,Design!$C$28,P10)</f>
        <v>3.3223709369024856</v>
      </c>
      <c r="R10" s="223">
        <f>2*Design!$D$6/3</f>
        <v>1.6666666666666667</v>
      </c>
      <c r="S10" s="158">
        <f ca="1">FORECAST(R10, OFFSET(Design!$C$15:$C$17,MATCH(R10,Design!$B$15:$B$17,1)-1,0,2), OFFSET(Design!$B$15:$B$17,MATCH(R10,Design!$B$15:$B$17,1)-1,0,2))+(AB10-25)*Design!$B$18/1000</f>
        <v>0.35227358546961929</v>
      </c>
      <c r="T10" s="224">
        <f ca="1">IF(100*(Design!$C$28+S10+R10*IF(ISBLANK(Design!$B$40),Constants!$C$6,Design!$B$40)/1000*(1+Constants!$C$31/100*(AC10-25)))/($B10+S10-R10*AD10/1000)&gt;Design!$C$35,Design!$C$35,100*(Design!$C$28+S10+R10*IF(ISBLANK(Design!$B$40),Constants!$C$6,Design!$B$40)/1000*(1+Constants!$C$31/100*(AC10-25)))/($B10+S10-R10*AD10/1000))</f>
        <v>34.857781883051636</v>
      </c>
      <c r="U10" s="159">
        <f ca="1">IF(($B10-R10*IF(ISBLANK(Design!$B$40),Constants!$C$6,Design!$B$40)/1000*(1+Constants!$C$31/100*(AC10-25))-Design!$C$28)/(Design!$B$39/1000000)*T10/100/(IF(ISBLANK(IF(ISBLANK(Design!$B$39),Design!$B$38,Design!$B$39)),Design!$B$31,Design!$B$32)*1000000)&lt;0,0,($B10-R10*IF(ISBLANK(Design!$B$40),Constants!$C$6,Design!$B$40)/1000*(1+Constants!$C$31/100*(AC10-25))-Design!$C$28)/(IF(ISBLANK(Design!$B$39),Design!$B$38,Design!$B$39)/1000000)*T10/100/(IF(ISBLANK(Design!$B$32),Design!$B$31,Design!$B$32)*1000000))</f>
        <v>0.27370479470325537</v>
      </c>
      <c r="V10" s="225">
        <f>$B10*Constants!$C$18/1000+IF(ISBLANK(Design!$B$32),Design!$B$31,Design!$B$32)*1000000*Constants!$D$22/1000000000*($B10-Constants!$C$21)</f>
        <v>4.4571250000000007E-2</v>
      </c>
      <c r="W10" s="225">
        <f>$B10*R10*($B10/(Constants!$C$23*1000000000)*IF(ISBLANK(Design!$B$32),Design!$B$31,Design!$B$32)*1000000/2+$B10/(Constants!$C$24*1000000000)*IF(ISBLANK(Design!$B$32),Design!$B$31,Design!$B$32)*1000000/2)</f>
        <v>5.1974557212103416E-2</v>
      </c>
      <c r="X10" s="225">
        <f t="shared" ca="1" si="2"/>
        <v>0.16096809403058093</v>
      </c>
      <c r="Y10" s="225">
        <f>Constants!$D$22/1000000000*Constants!$C$21*IF(ISBLANK(Design!$B$32),Design!$B$31,Design!$B$32)*1000000</f>
        <v>1.0624999999999999E-2</v>
      </c>
      <c r="Z10" s="225">
        <f t="shared" ca="1" si="10"/>
        <v>0.26813890124268436</v>
      </c>
      <c r="AA10" s="225">
        <f t="shared" ca="1" si="7"/>
        <v>0.3824647123583565</v>
      </c>
      <c r="AB10" s="226">
        <f ca="1">$A10+AA10*Design!$B$19</f>
        <v>106.80048860442632</v>
      </c>
      <c r="AC10" s="226">
        <f ca="1">Z10*Design!$C$12+$A10</f>
        <v>94.116722642251261</v>
      </c>
      <c r="AD10" s="226">
        <f ca="1">Constants!$D$19+Constants!$D$19*Constants!$C$20/100*(AC10-25)</f>
        <v>165.86990786469693</v>
      </c>
      <c r="AE10" s="225">
        <f ca="1">(1-Constants!$C$17/1000000000*Design!$B$32*1000000) * ($B10+S10-R10*AD10/1000) - (S10+R10*(1+($A10-25)*Constants!$C$31/100)*IF(ISBLANK(Design!$B$40),Constants!$C$6/1000,Design!$B$40/1000))</f>
        <v>9.929619311316797</v>
      </c>
      <c r="AF10" s="159">
        <f ca="1">IF(AE10&gt;Design!$C$28,Design!$C$28,AE10)</f>
        <v>3.3223709369024856</v>
      </c>
      <c r="AG10" s="160">
        <f>Design!$D$6/3</f>
        <v>0.83333333333333337</v>
      </c>
      <c r="AH10" s="160">
        <f ca="1">FORECAST(AG10, OFFSET(Design!$C$15:$C$17,MATCH(AG10,Design!$B$15:$B$17,1)-1,0,2), OFFSET(Design!$B$15:$B$17,MATCH(AG10,Design!$B$15:$B$17,1)-1,0,2))+(AQ10-25)*Design!$B$18/1000</f>
        <v>0.2998038088610373</v>
      </c>
      <c r="AI10" s="238">
        <f ca="1">IF(100*(Design!$C$28+AH10+AG10*IF(ISBLANK(Design!$B$40),Constants!$C$6,Design!$B$40)/1000*(1+Constants!$C$31/100*(AR10-25)))/($B10+AH10-AG10*AS10/1000)&gt;Design!$C$35,Design!$C$35,100*(Design!$C$28+AH10+AG10*IF(ISBLANK(Design!$B$40),Constants!$C$6,Design!$B$40)/1000*(1+Constants!$C$31/100*(AR10-25)))/($B10+AH10-AG10*AS10/1000))</f>
        <v>33.602540140160244</v>
      </c>
      <c r="AJ10" s="161">
        <f ca="1">IF(($B10-AG10*IF(ISBLANK(Design!$B$40),Constants!$C$6,Design!$B$40)/1000*(1+Constants!$C$31/100*(AR10-25))-Design!$C$28)/(IF(ISBLANK(Design!$B$39),Design!$B$38,Design!$B$39)/1000000)*AI10/100/(IF(ISBLANK(Design!$B$32),Design!$B$31,Design!$B$32)*1000000)&lt;0,0,($B10-AG10*IF(ISBLANK(Design!$B$40),Constants!$C$6,Design!$B$40)/1000*(1+Constants!$C$31/100*(AR10-25))-Design!$C$28)/(IF(ISBLANK(Design!$B$39),Design!$B$38,Design!$B$39)/1000000)*AI10/100/(IF(ISBLANK(Design!$B$32),Design!$B$31,Design!$B$32)*1000000))</f>
        <v>0.2657825423766606</v>
      </c>
      <c r="AK10" s="239">
        <f>$B10*Constants!$C$18/1000+IF(ISBLANK(Design!$B$32),Design!$B$31,Design!$B$32)*1000000*Constants!$D$22/1000000000*($B10-Constants!$C$21)</f>
        <v>4.4571250000000007E-2</v>
      </c>
      <c r="AL10" s="239">
        <f>$B10*AG10*($B10/(Constants!$C$23*1000000000)*IF(ISBLANK(Design!$B$32),Design!$B$31,Design!$B$32)*1000000/2+$B10/(Constants!$C$24*1000000000)*IF(ISBLANK(Design!$B$32),Design!$B$31,Design!$B$32)*1000000/2)</f>
        <v>2.5987278606051708E-2</v>
      </c>
      <c r="AM10" s="239">
        <f t="shared" ca="1" si="3"/>
        <v>3.8157757868820717E-2</v>
      </c>
      <c r="AN10" s="239">
        <f>Constants!$D$22/1000000000*Constants!$C$21*IF(ISBLANK(Design!$B$32),Design!$B$31,Design!$B$32)*1000000</f>
        <v>1.0624999999999999E-2</v>
      </c>
      <c r="AO10" s="239">
        <f t="shared" ca="1" si="11"/>
        <v>0.11934128647487244</v>
      </c>
      <c r="AP10" s="239">
        <f t="shared" ca="1" si="9"/>
        <v>0.1658850947056483</v>
      </c>
      <c r="AQ10" s="240">
        <f ca="1">$A10+AP10*Design!$B$19</f>
        <v>94.455450398221956</v>
      </c>
      <c r="AR10" s="240">
        <f ca="1">AO10*Design!$C$12+$A10</f>
        <v>89.057603740145666</v>
      </c>
      <c r="AS10" s="240">
        <f ca="1">Constants!$D$19+Constants!$D$19*Constants!$C$20/100*(AR10-25)</f>
        <v>162.14639635274722</v>
      </c>
      <c r="AT10" s="239">
        <f ca="1">(1-Constants!$C$17/1000000000*Design!$B$32*1000000) * ($B10+AH10-AG10*AS10/1000) - (AH10+AG10*(1+($A10-25)*Constants!$C$31/100)*IF(ISBLANK(Design!$B$40),Constants!$C$6/1000,Design!$B$40/1000))</f>
        <v>10.118662359366944</v>
      </c>
      <c r="AU10" s="161">
        <f ca="1">IF(AT10&gt;Design!$C$28,Design!$C$28,AT10)</f>
        <v>3.3223709369024856</v>
      </c>
    </row>
    <row r="11" spans="1:47" s="162" customFormat="1" ht="12.75" customHeight="1" x14ac:dyDescent="0.25">
      <c r="A11" s="154">
        <f>Design!$D$13</f>
        <v>85</v>
      </c>
      <c r="B11" s="155">
        <f t="shared" si="0"/>
        <v>10.565000000000001</v>
      </c>
      <c r="C11" s="156">
        <f>Design!$D$6</f>
        <v>2.5</v>
      </c>
      <c r="D11" s="156">
        <f ca="1">FORECAST(C11, OFFSET(Design!$C$15:$C$17,MATCH(C11,Design!$B$15:$B$17,1)-1,0,2), OFFSET(Design!$B$15:$B$17,MATCH(C11,Design!$B$15:$B$17,1)-1,0,2))+(M11-25)*Design!$B$18/1000</f>
        <v>0.37839776080484627</v>
      </c>
      <c r="E11" s="215">
        <f ca="1">IF(100*(Design!$C$28+D11+C11*IF(ISBLANK(Design!$B$40),Constants!$C$6,Design!$B$40)/1000*(1+Constants!$C$31/100*(N11-25)))/($B11+D11-C11*O11/1000)&gt;Design!$C$35,Design!$C$35,100*(Design!$C$28+D11+C11*IF(ISBLANK(Design!$B$40),Constants!$C$6,Design!$B$40)/1000*(1+Constants!$C$31/100*(N11-25)))/($B11+D11-C11*O11/1000))</f>
        <v>36.755979013348501</v>
      </c>
      <c r="F11" s="157">
        <f ca="1">IF(($B11-C11*IF(ISBLANK(Design!$B$40),Constants!$C$6,Design!$B$40)/1000*(1+Constants!$C$31/100*(N11-25))-Design!$C$28)/(IF(ISBLANK(Design!$B$39),Design!$B$38,Design!$B$39)/1000000)*E11/100/(IF(ISBLANK(Design!$B$32),Design!$B$31,Design!$B$32)*1000000)&lt;0, 0, ($B11-C11*IF(ISBLANK(Design!$B$40),Constants!$C$6,Design!$B$40)/1000*(1+Constants!$C$31/100*(N11-25))-Design!$C$28)/(IF(ISBLANK(Design!$B$39),Design!$B$38,Design!$B$39)/1000000)*E11/100/(IF(ISBLANK(Design!$B$32),Design!$B$31,Design!$B$32)*1000000))</f>
        <v>0.27829891296279163</v>
      </c>
      <c r="G11" s="207">
        <f>B11*Constants!$C$18/1000+IF(ISBLANK(Design!$B$32),Design!$B$31,Design!$B$32)*1000000*Constants!$D$22/1000000000*(B11-Constants!$C$21)</f>
        <v>4.3520625000000007E-2</v>
      </c>
      <c r="H11" s="207">
        <f>B11*C11*(B11/(Constants!$C$23*1000000000)*IF(ISBLANK(Design!$B$32),Design!$B$31,Design!$B$32)*1000000/2+B11/(Constants!$C$24*1000000000)*IF(ISBLANK(Design!$B$32),Design!$B$31,Design!$B$32)*1000000/2)</f>
        <v>7.5022175440046038E-2</v>
      </c>
      <c r="I11" s="207">
        <f t="shared" ca="1" si="1"/>
        <v>0.39624280599104683</v>
      </c>
      <c r="J11" s="207">
        <f>Constants!$D$22/1000000000*Constants!$C$21*IF(ISBLANK(Design!$B$32),Design!$B$31,Design!$B$32)*1000000</f>
        <v>1.0624999999999999E-2</v>
      </c>
      <c r="K11" s="207">
        <f t="shared" ca="1" si="4"/>
        <v>0.52541060643109283</v>
      </c>
      <c r="L11" s="207">
        <f t="shared" ca="1" si="5"/>
        <v>0.59828489814109076</v>
      </c>
      <c r="M11" s="208">
        <f ca="1">A11+L11*Design!$B$19</f>
        <v>119.10223919404217</v>
      </c>
      <c r="N11" s="208">
        <f ca="1">K11*Design!$C$12+A11</f>
        <v>102.86396061865716</v>
      </c>
      <c r="O11" s="208">
        <f ca="1">Constants!$D$19+Constants!$D$19*Constants!$C$20/100*(N11-25)</f>
        <v>172.30787501533166</v>
      </c>
      <c r="P11" s="207">
        <f ca="1">(1-Constants!$C$17/1000000000*Design!$B$32*1000000) * ($B11+D11-C11*O11/1000) - (D11+C11*(1+($A11-25)*Constants!$C$31/100)*IF(ISBLANK(Design!$B$40),Constants!$C$6/1000,Design!$B$40/1000))</f>
        <v>9.5329686193478445</v>
      </c>
      <c r="Q11" s="213">
        <f ca="1">IF(P11&gt;Design!$C$28,Design!$C$28,P11)</f>
        <v>3.3223709369024856</v>
      </c>
      <c r="R11" s="223">
        <f>2*Design!$D$6/3</f>
        <v>1.6666666666666667</v>
      </c>
      <c r="S11" s="158">
        <f ca="1">FORECAST(R11, OFFSET(Design!$C$15:$C$17,MATCH(R11,Design!$B$15:$B$17,1)-1,0,2), OFFSET(Design!$B$15:$B$17,MATCH(R11,Design!$B$15:$B$17,1)-1,0,2))+(AB11-25)*Design!$B$18/1000</f>
        <v>0.35248576873874282</v>
      </c>
      <c r="T11" s="224">
        <f ca="1">IF(100*(Design!$C$28+S11+R11*IF(ISBLANK(Design!$B$40),Constants!$C$6,Design!$B$40)/1000*(1+Constants!$C$31/100*(AC11-25)))/($B11+S11-R11*AD11/1000)&gt;Design!$C$35,Design!$C$35,100*(Design!$C$28+S11+R11*IF(ISBLANK(Design!$B$40),Constants!$C$6,Design!$B$40)/1000*(1+Constants!$C$31/100*(AC11-25)))/($B11+S11-R11*AD11/1000))</f>
        <v>35.53063996537162</v>
      </c>
      <c r="U11" s="159">
        <f ca="1">IF(($B11-R11*IF(ISBLANK(Design!$B$40),Constants!$C$6,Design!$B$40)/1000*(1+Constants!$C$31/100*(AC11-25))-Design!$C$28)/(Design!$B$39/1000000)*T11/100/(IF(ISBLANK(IF(ISBLANK(Design!$B$39),Design!$B$38,Design!$B$39)),Design!$B$31,Design!$B$32)*1000000)&lt;0,0,($B11-R11*IF(ISBLANK(Design!$B$40),Constants!$C$6,Design!$B$40)/1000*(1+Constants!$C$31/100*(AC11-25))-Design!$C$28)/(IF(ISBLANK(Design!$B$39),Design!$B$38,Design!$B$39)/1000000)*T11/100/(IF(ISBLANK(Design!$B$32),Design!$B$31,Design!$B$32)*1000000))</f>
        <v>0.27119792576845581</v>
      </c>
      <c r="V11" s="225">
        <f>$B11*Constants!$C$18/1000+IF(ISBLANK(Design!$B$32),Design!$B$31,Design!$B$32)*1000000*Constants!$D$22/1000000000*($B11-Constants!$C$21)</f>
        <v>4.3520625000000007E-2</v>
      </c>
      <c r="W11" s="225">
        <f>$B11*R11*($B11/(Constants!$C$23*1000000000)*IF(ISBLANK(Design!$B$32),Design!$B$31,Design!$B$32)*1000000/2+$B11/(Constants!$C$24*1000000000)*IF(ISBLANK(Design!$B$32),Design!$B$31,Design!$B$32)*1000000/2)</f>
        <v>5.0014783626697375E-2</v>
      </c>
      <c r="X11" s="225">
        <f t="shared" ca="1" si="2"/>
        <v>0.16407083022262689</v>
      </c>
      <c r="Y11" s="225">
        <f>Constants!$D$22/1000000000*Constants!$C$21*IF(ISBLANK(Design!$B$32),Design!$B$31,Design!$B$32)*1000000</f>
        <v>1.0624999999999999E-2</v>
      </c>
      <c r="Z11" s="225">
        <f t="shared" ca="1" si="10"/>
        <v>0.26823123884932426</v>
      </c>
      <c r="AA11" s="225">
        <f t="shared" ca="1" si="7"/>
        <v>0.37874219886501281</v>
      </c>
      <c r="AB11" s="226">
        <f ca="1">$A11+AA11*Design!$B$19</f>
        <v>106.58830533530573</v>
      </c>
      <c r="AC11" s="226">
        <f ca="1">Z11*Design!$C$12+$A11</f>
        <v>94.119862120877031</v>
      </c>
      <c r="AD11" s="226">
        <f ca="1">Constants!$D$19+Constants!$D$19*Constants!$C$20/100*(AC11-25)</f>
        <v>165.8722185209655</v>
      </c>
      <c r="AE11" s="225">
        <f ca="1">(1-Constants!$C$17/1000000000*Design!$B$32*1000000) * ($B11+S11-R11*AD11/1000) - (S11+R11*(1+($A11-25)*Constants!$C$31/100)*IF(ISBLANK(Design!$B$40),Constants!$C$6/1000,Design!$B$40/1000))</f>
        <v>9.7333191061055651</v>
      </c>
      <c r="AF11" s="159">
        <f ca="1">IF(AE11&gt;Design!$C$28,Design!$C$28,AE11)</f>
        <v>3.3223709369024856</v>
      </c>
      <c r="AG11" s="160">
        <f>Design!$D$6/3</f>
        <v>0.83333333333333337</v>
      </c>
      <c r="AH11" s="160">
        <f ca="1">FORECAST(AG11, OFFSET(Design!$C$15:$C$17,MATCH(AG11,Design!$B$15:$B$17,1)-1,0,2), OFFSET(Design!$B$15:$B$17,MATCH(AG11,Design!$B$15:$B$17,1)-1,0,2))+(AQ11-25)*Design!$B$18/1000</f>
        <v>0.29989251938228434</v>
      </c>
      <c r="AI11" s="238">
        <f ca="1">IF(100*(Design!$C$28+AH11+AG11*IF(ISBLANK(Design!$B$40),Constants!$C$6,Design!$B$40)/1000*(1+Constants!$C$31/100*(AR11-25)))/($B11+AH11-AG11*AS11/1000)&gt;Design!$C$35,Design!$C$35,100*(Design!$C$28+AH11+AG11*IF(ISBLANK(Design!$B$40),Constants!$C$6,Design!$B$40)/1000*(1+Constants!$C$31/100*(AR11-25)))/($B11+AH11-AG11*AS11/1000))</f>
        <v>34.244934107737102</v>
      </c>
      <c r="AJ11" s="161">
        <f ca="1">IF(($B11-AG11*IF(ISBLANK(Design!$B$40),Constants!$C$6,Design!$B$40)/1000*(1+Constants!$C$31/100*(AR11-25))-Design!$C$28)/(IF(ISBLANK(Design!$B$39),Design!$B$38,Design!$B$39)/1000000)*AI11/100/(IF(ISBLANK(Design!$B$32),Design!$B$31,Design!$B$32)*1000000)&lt;0,0,($B11-AG11*IF(ISBLANK(Design!$B$40),Constants!$C$6,Design!$B$40)/1000*(1+Constants!$C$31/100*(AR11-25))-Design!$C$28)/(IF(ISBLANK(Design!$B$39),Design!$B$38,Design!$B$39)/1000000)*AI11/100/(IF(ISBLANK(Design!$B$32),Design!$B$31,Design!$B$32)*1000000))</f>
        <v>0.26335564014973512</v>
      </c>
      <c r="AK11" s="239">
        <f>$B11*Constants!$C$18/1000+IF(ISBLANK(Design!$B$32),Design!$B$31,Design!$B$32)*1000000*Constants!$D$22/1000000000*($B11-Constants!$C$21)</f>
        <v>4.3520625000000007E-2</v>
      </c>
      <c r="AL11" s="239">
        <f>$B11*AG11*($B11/(Constants!$C$23*1000000000)*IF(ISBLANK(Design!$B$32),Design!$B$31,Design!$B$32)*1000000/2+$B11/(Constants!$C$24*1000000000)*IF(ISBLANK(Design!$B$32),Design!$B$31,Design!$B$32)*1000000/2)</f>
        <v>2.5007391813348687E-2</v>
      </c>
      <c r="AM11" s="239">
        <f t="shared" ca="1" si="3"/>
        <v>3.8873403805974822E-2</v>
      </c>
      <c r="AN11" s="239">
        <f>Constants!$D$22/1000000000*Constants!$C$21*IF(ISBLANK(Design!$B$32),Design!$B$31,Design!$B$32)*1000000</f>
        <v>1.0624999999999999E-2</v>
      </c>
      <c r="AO11" s="239">
        <f t="shared" ca="1" si="11"/>
        <v>0.1180264206193235</v>
      </c>
      <c r="AP11" s="239">
        <f t="shared" ca="1" si="9"/>
        <v>0.1643287697714903</v>
      </c>
      <c r="AQ11" s="240">
        <f ca="1">$A11+AP11*Design!$B$19</f>
        <v>94.366739876974947</v>
      </c>
      <c r="AR11" s="240">
        <f ca="1">AO11*Design!$C$12+$A11</f>
        <v>89.012898301056993</v>
      </c>
      <c r="AS11" s="240">
        <f ca="1">Constants!$D$19+Constants!$D$19*Constants!$C$20/100*(AR11-25)</f>
        <v>162.11349314957795</v>
      </c>
      <c r="AT11" s="239">
        <f ca="1">(1-Constants!$C$17/1000000000*Design!$B$32*1000000) * ($B11+AH11-AG11*AS11/1000) - (AH11+AG11*(1+($A11-25)*Constants!$C$31/100)*IF(ISBLANK(Design!$B$40),Constants!$C$6/1000,Design!$B$40/1000))</f>
        <v>9.9223973431839863</v>
      </c>
      <c r="AU11" s="161">
        <f ca="1">IF(AT11&gt;Design!$C$28,Design!$C$28,AT11)</f>
        <v>3.3223709369024856</v>
      </c>
    </row>
    <row r="12" spans="1:47" s="162" customFormat="1" ht="12.75" customHeight="1" x14ac:dyDescent="0.25">
      <c r="A12" s="154">
        <f>Design!$D$13</f>
        <v>85</v>
      </c>
      <c r="B12" s="155">
        <f t="shared" si="0"/>
        <v>10.360000000000001</v>
      </c>
      <c r="C12" s="156">
        <f>Design!$D$6</f>
        <v>2.5</v>
      </c>
      <c r="D12" s="156">
        <f ca="1">FORECAST(C12, OFFSET(Design!$C$15:$C$17,MATCH(C12,Design!$B$15:$B$17,1)-1,0,2), OFFSET(Design!$B$15:$B$17,MATCH(C12,Design!$B$15:$B$17,1)-1,0,2))+(M12-25)*Design!$B$18/1000</f>
        <v>0.37876160218792376</v>
      </c>
      <c r="E12" s="215">
        <f ca="1">IF(100*(Design!$C$28+D12+C12*IF(ISBLANK(Design!$B$40),Constants!$C$6,Design!$B$40)/1000*(1+Constants!$C$31/100*(N12-25)))/($B12+D12-C12*O12/1000)&gt;Design!$C$35,Design!$C$35,100*(Design!$C$28+D12+C12*IF(ISBLANK(Design!$B$40),Constants!$C$6,Design!$B$40)/1000*(1+Constants!$C$31/100*(N12-25)))/($B12+D12-C12*O12/1000))</f>
        <v>37.490842517832448</v>
      </c>
      <c r="F12" s="157">
        <f ca="1">IF(($B12-C12*IF(ISBLANK(Design!$B$40),Constants!$C$6,Design!$B$40)/1000*(1+Constants!$C$31/100*(N12-25))-Design!$C$28)/(IF(ISBLANK(Design!$B$39),Design!$B$38,Design!$B$39)/1000000)*E12/100/(IF(ISBLANK(Design!$B$32),Design!$B$31,Design!$B$32)*1000000)&lt;0, 0, ($B12-C12*IF(ISBLANK(Design!$B$40),Constants!$C$6,Design!$B$40)/1000*(1+Constants!$C$31/100*(N12-25))-Design!$C$28)/(IF(ISBLANK(Design!$B$39),Design!$B$38,Design!$B$39)/1000000)*E12/100/(IF(ISBLANK(Design!$B$32),Design!$B$31,Design!$B$32)*1000000))</f>
        <v>0.27564020302386344</v>
      </c>
      <c r="G12" s="207">
        <f>B12*Constants!$C$18/1000+IF(ISBLANK(Design!$B$32),Design!$B$31,Design!$B$32)*1000000*Constants!$D$22/1000000000*(B12-Constants!$C$21)</f>
        <v>4.2470000000000008E-2</v>
      </c>
      <c r="H12" s="207">
        <f>B12*C12*(B12/(Constants!$C$23*1000000000)*IF(ISBLANK(Design!$B$32),Design!$B$31,Design!$B$32)*1000000/2+B12/(Constants!$C$24*1000000000)*IF(ISBLANK(Design!$B$32),Design!$B$31,Design!$B$32)*1000000/2)</f>
        <v>7.2139007246376827E-2</v>
      </c>
      <c r="I12" s="207">
        <f t="shared" ca="1" si="1"/>
        <v>0.40440516944395377</v>
      </c>
      <c r="J12" s="207">
        <f>Constants!$D$22/1000000000*Constants!$C$21*IF(ISBLANK(Design!$B$32),Design!$B$31,Design!$B$32)*1000000</f>
        <v>1.0624999999999999E-2</v>
      </c>
      <c r="K12" s="207">
        <f t="shared" ca="1" si="4"/>
        <v>0.52963917669033056</v>
      </c>
      <c r="L12" s="207">
        <f t="shared" ca="1" si="5"/>
        <v>0.5919017159840757</v>
      </c>
      <c r="M12" s="208">
        <f ca="1">A12+L12*Design!$B$19</f>
        <v>118.73839781109231</v>
      </c>
      <c r="N12" s="208">
        <f ca="1">K12*Design!$C$12+A12</f>
        <v>103.00773200747125</v>
      </c>
      <c r="O12" s="208">
        <f ca="1">Constants!$D$19+Constants!$D$19*Constants!$C$20/100*(N12-25)</f>
        <v>172.41369075749884</v>
      </c>
      <c r="P12" s="207">
        <f ca="1">(1-Constants!$C$17/1000000000*Design!$B$32*1000000) * ($B12+D12-C12*O12/1000) - (D12+C12*(1+($A12-25)*Constants!$C$31/100)*IF(ISBLANK(Design!$B$40),Constants!$C$6/1000,Design!$B$40/1000))</f>
        <v>9.3364123596562525</v>
      </c>
      <c r="Q12" s="213">
        <f ca="1">IF(P12&gt;Design!$C$28,Design!$C$28,P12)</f>
        <v>3.3223709369024856</v>
      </c>
      <c r="R12" s="223">
        <f>2*Design!$D$6/3</f>
        <v>1.6666666666666667</v>
      </c>
      <c r="S12" s="158">
        <f ca="1">FORECAST(R12, OFFSET(Design!$C$15:$C$17,MATCH(R12,Design!$B$15:$B$17,1)-1,0,2), OFFSET(Design!$B$15:$B$17,MATCH(R12,Design!$B$15:$B$17,1)-1,0,2))+(AB12-25)*Design!$B$18/1000</f>
        <v>0.35270658009701128</v>
      </c>
      <c r="T12" s="224">
        <f ca="1">IF(100*(Design!$C$28+S12+R12*IF(ISBLANK(Design!$B$40),Constants!$C$6,Design!$B$40)/1000*(1+Constants!$C$31/100*(AC12-25)))/($B12+S12-R12*AD12/1000)&gt;Design!$C$35,Design!$C$35,100*(Design!$C$28+S12+R12*IF(ISBLANK(Design!$B$40),Constants!$C$6,Design!$B$40)/1000*(1+Constants!$C$31/100*(AC12-25)))/($B12+S12-R12*AD12/1000))</f>
        <v>36.229999119909728</v>
      </c>
      <c r="U12" s="159">
        <f ca="1">IF(($B12-R12*IF(ISBLANK(Design!$B$40),Constants!$C$6,Design!$B$40)/1000*(1+Constants!$C$31/100*(AC12-25))-Design!$C$28)/(Design!$B$39/1000000)*T12/100/(IF(ISBLANK(IF(ISBLANK(Design!$B$39),Design!$B$38,Design!$B$39)),Design!$B$31,Design!$B$32)*1000000)&lt;0,0,($B12-R12*IF(ISBLANK(Design!$B$40),Constants!$C$6,Design!$B$40)/1000*(1+Constants!$C$31/100*(AC12-25))-Design!$C$28)/(IF(ISBLANK(Design!$B$39),Design!$B$38,Design!$B$39)/1000000)*T12/100/(IF(ISBLANK(Design!$B$32),Design!$B$31,Design!$B$32)*1000000))</f>
        <v>0.26859240131648088</v>
      </c>
      <c r="V12" s="225">
        <f>$B12*Constants!$C$18/1000+IF(ISBLANK(Design!$B$32),Design!$B$31,Design!$B$32)*1000000*Constants!$D$22/1000000000*($B12-Constants!$C$21)</f>
        <v>4.2470000000000008E-2</v>
      </c>
      <c r="W12" s="225">
        <f>$B12*R12*($B12/(Constants!$C$23*1000000000)*IF(ISBLANK(Design!$B$32),Design!$B$31,Design!$B$32)*1000000/2+$B12/(Constants!$C$24*1000000000)*IF(ISBLANK(Design!$B$32),Design!$B$31,Design!$B$32)*1000000/2)</f>
        <v>4.8092671497584553E-2</v>
      </c>
      <c r="X12" s="225">
        <f t="shared" ca="1" si="2"/>
        <v>0.16729970159213001</v>
      </c>
      <c r="Y12" s="225">
        <f>Constants!$D$22/1000000000*Constants!$C$21*IF(ISBLANK(Design!$B$32),Design!$B$31,Design!$B$32)*1000000</f>
        <v>1.0624999999999999E-2</v>
      </c>
      <c r="Z12" s="225">
        <f t="shared" ca="1" si="10"/>
        <v>0.2684873730897146</v>
      </c>
      <c r="AA12" s="225">
        <f t="shared" ca="1" si="7"/>
        <v>0.37486831538666737</v>
      </c>
      <c r="AB12" s="226">
        <f ca="1">$A12+AA12*Design!$B$19</f>
        <v>106.36749397704004</v>
      </c>
      <c r="AC12" s="226">
        <f ca="1">Z12*Design!$C$12+$A12</f>
        <v>94.128570685050292</v>
      </c>
      <c r="AD12" s="226">
        <f ca="1">Constants!$D$19+Constants!$D$19*Constants!$C$20/100*(AC12-25)</f>
        <v>165.87862802419701</v>
      </c>
      <c r="AE12" s="225">
        <f ca="1">(1-Constants!$C$17/1000000000*Design!$B$32*1000000) * ($B12+S12-R12*AD12/1000) - (S12+R12*(1+($A12-25)*Constants!$C$31/100)*IF(ISBLANK(Design!$B$40),Constants!$C$6/1000,Design!$B$40/1000))</f>
        <v>9.5370119931239312</v>
      </c>
      <c r="AF12" s="159">
        <f ca="1">IF(AE12&gt;Design!$C$28,Design!$C$28,AE12)</f>
        <v>3.3223709369024856</v>
      </c>
      <c r="AG12" s="160">
        <f>Design!$D$6/3</f>
        <v>0.83333333333333337</v>
      </c>
      <c r="AH12" s="160">
        <f ca="1">FORECAST(AG12, OFFSET(Design!$C$15:$C$17,MATCH(AG12,Design!$B$15:$B$17,1)-1,0,2), OFFSET(Design!$B$15:$B$17,MATCH(AG12,Design!$B$15:$B$17,1)-1,0,2))+(AQ12-25)*Design!$B$18/1000</f>
        <v>0.29998474309488221</v>
      </c>
      <c r="AI12" s="238">
        <f ca="1">IF(100*(Design!$C$28+AH12+AG12*IF(ISBLANK(Design!$B$40),Constants!$C$6,Design!$B$40)/1000*(1+Constants!$C$31/100*(AR12-25)))/($B12+AH12-AG12*AS12/1000)&gt;Design!$C$35,Design!$C$35,100*(Design!$C$28+AH12+AG12*IF(ISBLANK(Design!$B$40),Constants!$C$6,Design!$B$40)/1000*(1+Constants!$C$31/100*(AR12-25)))/($B12+AH12-AG12*AS12/1000))</f>
        <v>34.912365919934231</v>
      </c>
      <c r="AJ12" s="161">
        <f ca="1">IF(($B12-AG12*IF(ISBLANK(Design!$B$40),Constants!$C$6,Design!$B$40)/1000*(1+Constants!$C$31/100*(AR12-25))-Design!$C$28)/(IF(ISBLANK(Design!$B$39),Design!$B$38,Design!$B$39)/1000000)*AI12/100/(IF(ISBLANK(Design!$B$32),Design!$B$31,Design!$B$32)*1000000)&lt;0,0,($B12-AG12*IF(ISBLANK(Design!$B$40),Constants!$C$6,Design!$B$40)/1000*(1+Constants!$C$31/100*(AR12-25))-Design!$C$28)/(IF(ISBLANK(Design!$B$39),Design!$B$38,Design!$B$39)/1000000)*AI12/100/(IF(ISBLANK(Design!$B$32),Design!$B$31,Design!$B$32)*1000000))</f>
        <v>0.26083410725786155</v>
      </c>
      <c r="AK12" s="239">
        <f>$B12*Constants!$C$18/1000+IF(ISBLANK(Design!$B$32),Design!$B$31,Design!$B$32)*1000000*Constants!$D$22/1000000000*($B12-Constants!$C$21)</f>
        <v>4.2470000000000008E-2</v>
      </c>
      <c r="AL12" s="239">
        <f>$B12*AG12*($B12/(Constants!$C$23*1000000000)*IF(ISBLANK(Design!$B$32),Design!$B$31,Design!$B$32)*1000000/2+$B12/(Constants!$C$24*1000000000)*IF(ISBLANK(Design!$B$32),Design!$B$31,Design!$B$32)*1000000/2)</f>
        <v>2.4046335748792277E-2</v>
      </c>
      <c r="AM12" s="239">
        <f t="shared" ca="1" si="3"/>
        <v>3.9617054236237743E-2</v>
      </c>
      <c r="AN12" s="239">
        <f>Constants!$D$22/1000000000*Constants!$C$21*IF(ISBLANK(Design!$B$32),Design!$B$31,Design!$B$32)*1000000</f>
        <v>1.0624999999999999E-2</v>
      </c>
      <c r="AO12" s="239">
        <f t="shared" ca="1" si="11"/>
        <v>0.11675838998503002</v>
      </c>
      <c r="AP12" s="239">
        <f t="shared" ca="1" si="9"/>
        <v>0.16271080990135192</v>
      </c>
      <c r="AQ12" s="240">
        <f ca="1">$A12+AP12*Design!$B$19</f>
        <v>94.274516164377062</v>
      </c>
      <c r="AR12" s="240">
        <f ca="1">AO12*Design!$C$12+$A12</f>
        <v>88.969785259491019</v>
      </c>
      <c r="AS12" s="240">
        <f ca="1">Constants!$D$19+Constants!$D$19*Constants!$C$20/100*(AR12-25)</f>
        <v>162.0817619509854</v>
      </c>
      <c r="AT12" s="239">
        <f ca="1">(1-Constants!$C$17/1000000000*Design!$B$32*1000000) * ($B12+AH12-AG12*AS12/1000) - (AH12+AG12*(1+($A12-25)*Constants!$C$31/100)*IF(ISBLANK(Design!$B$40),Constants!$C$6/1000,Design!$B$40/1000))</f>
        <v>9.7261312425284121</v>
      </c>
      <c r="AU12" s="161">
        <f ca="1">IF(AT12&gt;Design!$C$28,Design!$C$28,AT12)</f>
        <v>3.3223709369024856</v>
      </c>
    </row>
    <row r="13" spans="1:47" s="162" customFormat="1" ht="12.75" customHeight="1" x14ac:dyDescent="0.25">
      <c r="A13" s="154">
        <f>Design!$D$13</f>
        <v>85</v>
      </c>
      <c r="B13" s="155">
        <f t="shared" si="0"/>
        <v>10.155000000000001</v>
      </c>
      <c r="C13" s="156">
        <f>Design!$D$6</f>
        <v>2.5</v>
      </c>
      <c r="D13" s="156">
        <f ca="1">FORECAST(C13, OFFSET(Design!$C$15:$C$17,MATCH(C13,Design!$B$15:$B$17,1)-1,0,2), OFFSET(Design!$B$15:$B$17,MATCH(C13,Design!$B$15:$B$17,1)-1,0,2))+(M13-25)*Design!$B$18/1000</f>
        <v>0.3791410760141371</v>
      </c>
      <c r="E13" s="215">
        <f ca="1">IF(100*(Design!$C$28+D13+C13*IF(ISBLANK(Design!$B$40),Constants!$C$6,Design!$B$40)/1000*(1+Constants!$C$31/100*(N13-25)))/($B13+D13-C13*O13/1000)&gt;Design!$C$35,Design!$C$35,100*(Design!$C$28+D13+C13*IF(ISBLANK(Design!$B$40),Constants!$C$6,Design!$B$40)/1000*(1+Constants!$C$31/100*(N13-25)))/($B13+D13-C13*O13/1000))</f>
        <v>38.255776810980201</v>
      </c>
      <c r="F13" s="157">
        <f ca="1">IF(($B13-C13*IF(ISBLANK(Design!$B$40),Constants!$C$6,Design!$B$40)/1000*(1+Constants!$C$31/100*(N13-25))-Design!$C$28)/(IF(ISBLANK(Design!$B$39),Design!$B$38,Design!$B$39)/1000000)*E13/100/(IF(ISBLANK(Design!$B$32),Design!$B$31,Design!$B$32)*1000000)&lt;0, 0, ($B13-C13*IF(ISBLANK(Design!$B$40),Constants!$C$6,Design!$B$40)/1000*(1+Constants!$C$31/100*(N13-25))-Design!$C$28)/(IF(ISBLANK(Design!$B$39),Design!$B$38,Design!$B$39)/1000000)*E13/100/(IF(ISBLANK(Design!$B$32),Design!$B$31,Design!$B$32)*1000000))</f>
        <v>0.27287334994281476</v>
      </c>
      <c r="G13" s="207">
        <f>B13*Constants!$C$18/1000+IF(ISBLANK(Design!$B$32),Design!$B$31,Design!$B$32)*1000000*Constants!$D$22/1000000000*(B13-Constants!$C$21)</f>
        <v>4.1419375000000008E-2</v>
      </c>
      <c r="H13" s="207">
        <f>B13*C13*(B13/(Constants!$C$23*1000000000)*IF(ISBLANK(Design!$B$32),Design!$B$31,Design!$B$32)*1000000/2+B13/(Constants!$C$24*1000000000)*IF(ISBLANK(Design!$B$32),Design!$B$31,Design!$B$32)*1000000/2)</f>
        <v>6.9312331237147487E-2</v>
      </c>
      <c r="I13" s="207">
        <f t="shared" ca="1" si="1"/>
        <v>0.41292611389183992</v>
      </c>
      <c r="J13" s="207">
        <f>Constants!$D$22/1000000000*Constants!$C$21*IF(ISBLANK(Design!$B$32),Design!$B$31,Design!$B$32)*1000000</f>
        <v>1.0624999999999999E-2</v>
      </c>
      <c r="K13" s="207">
        <f t="shared" ca="1" si="4"/>
        <v>0.53428282012898742</v>
      </c>
      <c r="L13" s="207">
        <f t="shared" ca="1" si="5"/>
        <v>0.58524428043855004</v>
      </c>
      <c r="M13" s="208">
        <f ca="1">A13+L13*Design!$B$19</f>
        <v>118.35892398499735</v>
      </c>
      <c r="N13" s="208">
        <f ca="1">K13*Design!$C$12+A13</f>
        <v>103.16561588438557</v>
      </c>
      <c r="O13" s="208">
        <f ca="1">Constants!$D$19+Constants!$D$19*Constants!$C$20/100*(N13-25)</f>
        <v>172.52989329090781</v>
      </c>
      <c r="P13" s="207">
        <f ca="1">(1-Constants!$C$17/1000000000*Design!$B$32*1000000) * ($B13+D13-C13*O13/1000) - (D13+C13*(1+($A13-25)*Constants!$C$31/100)*IF(ISBLANK(Design!$B$40),Constants!$C$6/1000,Design!$B$40/1000))</f>
        <v>9.139830572204291</v>
      </c>
      <c r="Q13" s="213">
        <f ca="1">IF(P13&gt;Design!$C$28,Design!$C$28,P13)</f>
        <v>3.3223709369024856</v>
      </c>
      <c r="R13" s="223">
        <f>2*Design!$D$6/3</f>
        <v>1.6666666666666667</v>
      </c>
      <c r="S13" s="158">
        <f ca="1">FORECAST(R13, OFFSET(Design!$C$15:$C$17,MATCH(R13,Design!$B$15:$B$17,1)-1,0,2), OFFSET(Design!$B$15:$B$17,MATCH(R13,Design!$B$15:$B$17,1)-1,0,2))+(AB13-25)*Design!$B$18/1000</f>
        <v>0.3529365564758648</v>
      </c>
      <c r="T13" s="224">
        <f ca="1">IF(100*(Design!$C$28+S13+R13*IF(ISBLANK(Design!$B$40),Constants!$C$6,Design!$B$40)/1000*(1+Constants!$C$31/100*(AC13-25)))/($B13+S13-R13*AD13/1000)&gt;Design!$C$35,Design!$C$35,100*(Design!$C$28+S13+R13*IF(ISBLANK(Design!$B$40),Constants!$C$6,Design!$B$40)/1000*(1+Constants!$C$31/100*(AC13-25)))/($B13+S13-R13*AD13/1000))</f>
        <v>36.957455621542707</v>
      </c>
      <c r="U13" s="159">
        <f ca="1">IF(($B13-R13*IF(ISBLANK(Design!$B$40),Constants!$C$6,Design!$B$40)/1000*(1+Constants!$C$31/100*(AC13-25))-Design!$C$28)/(Design!$B$39/1000000)*T13/100/(IF(ISBLANK(IF(ISBLANK(Design!$B$39),Design!$B$38,Design!$B$39)),Design!$B$31,Design!$B$32)*1000000)&lt;0,0,($B13-R13*IF(ISBLANK(Design!$B$40),Constants!$C$6,Design!$B$40)/1000*(1+Constants!$C$31/100*(AC13-25))-Design!$C$28)/(IF(ISBLANK(Design!$B$39),Design!$B$38,Design!$B$39)/1000000)*T13/100/(IF(ISBLANK(Design!$B$32),Design!$B$31,Design!$B$32)*1000000))</f>
        <v>0.26588226644512003</v>
      </c>
      <c r="V13" s="225">
        <f>$B13*Constants!$C$18/1000+IF(ISBLANK(Design!$B$32),Design!$B$31,Design!$B$32)*1000000*Constants!$D$22/1000000000*($B13-Constants!$C$21)</f>
        <v>4.1419375000000008E-2</v>
      </c>
      <c r="W13" s="225">
        <f>$B13*R13*($B13/(Constants!$C$23*1000000000)*IF(ISBLANK(Design!$B$32),Design!$B$31,Design!$B$32)*1000000/2+$B13/(Constants!$C$24*1000000000)*IF(ISBLANK(Design!$B$32),Design!$B$31,Design!$B$32)*1000000/2)</f>
        <v>4.6208220824764994E-2</v>
      </c>
      <c r="X13" s="225">
        <f t="shared" ca="1" si="2"/>
        <v>0.17066249748676959</v>
      </c>
      <c r="Y13" s="225">
        <f>Constants!$D$22/1000000000*Constants!$C$21*IF(ISBLANK(Design!$B$32),Design!$B$31,Design!$B$32)*1000000</f>
        <v>1.0624999999999999E-2</v>
      </c>
      <c r="Z13" s="225">
        <f t="shared" ca="1" si="10"/>
        <v>0.26891509331153463</v>
      </c>
      <c r="AA13" s="225">
        <f t="shared" ca="1" si="7"/>
        <v>0.3708336420734934</v>
      </c>
      <c r="AB13" s="226">
        <f ca="1">$A13+AA13*Design!$B$19</f>
        <v>106.13751759818912</v>
      </c>
      <c r="AC13" s="226">
        <f ca="1">Z13*Design!$C$12+$A13</f>
        <v>94.14311317259218</v>
      </c>
      <c r="AD13" s="226">
        <f ca="1">Constants!$D$19+Constants!$D$19*Constants!$C$20/100*(AC13-25)</f>
        <v>165.88933129502786</v>
      </c>
      <c r="AE13" s="225">
        <f ca="1">(1-Constants!$C$17/1000000000*Design!$B$32*1000000) * ($B13+S13-R13*AD13/1000) - (S13+R13*(1+($A13-25)*Constants!$C$31/100)*IF(ISBLANK(Design!$B$40),Constants!$C$6/1000,Design!$B$40/1000))</f>
        <v>9.3406976384914611</v>
      </c>
      <c r="AF13" s="159">
        <f ca="1">IF(AE13&gt;Design!$C$28,Design!$C$28,AE13)</f>
        <v>3.3223709369024856</v>
      </c>
      <c r="AG13" s="160">
        <f>Design!$D$6/3</f>
        <v>0.83333333333333337</v>
      </c>
      <c r="AH13" s="160">
        <f ca="1">FORECAST(AG13, OFFSET(Design!$C$15:$C$17,MATCH(AG13,Design!$B$15:$B$17,1)-1,0,2), OFFSET(Design!$B$15:$B$17,MATCH(AG13,Design!$B$15:$B$17,1)-1,0,2))+(AQ13-25)*Design!$B$18/1000</f>
        <v>0.30008069282475025</v>
      </c>
      <c r="AI13" s="238">
        <f ca="1">IF(100*(Design!$C$28+AH13+AG13*IF(ISBLANK(Design!$B$40),Constants!$C$6,Design!$B$40)/1000*(1+Constants!$C$31/100*(AR13-25)))/($B13+AH13-AG13*AS13/1000)&gt;Design!$C$35,Design!$C$35,100*(Design!$C$28+AH13+AG13*IF(ISBLANK(Design!$B$40),Constants!$C$6,Design!$B$40)/1000*(1+Constants!$C$31/100*(AR13-25)))/($B13+AH13-AG13*AS13/1000))</f>
        <v>35.606327834806365</v>
      </c>
      <c r="AJ13" s="161">
        <f ca="1">IF(($B13-AG13*IF(ISBLANK(Design!$B$40),Constants!$C$6,Design!$B$40)/1000*(1+Constants!$C$31/100*(AR13-25))-Design!$C$28)/(IF(ISBLANK(Design!$B$39),Design!$B$38,Design!$B$39)/1000000)*AI13/100/(IF(ISBLANK(Design!$B$32),Design!$B$31,Design!$B$32)*1000000)&lt;0,0,($B13-AG13*IF(ISBLANK(Design!$B$40),Constants!$C$6,Design!$B$40)/1000*(1+Constants!$C$31/100*(AR13-25))-Design!$C$28)/(IF(ISBLANK(Design!$B$39),Design!$B$38,Design!$B$39)/1000000)*AI13/100/(IF(ISBLANK(Design!$B$32),Design!$B$31,Design!$B$32)*1000000))</f>
        <v>0.25821229626704573</v>
      </c>
      <c r="AK13" s="239">
        <f>$B13*Constants!$C$18/1000+IF(ISBLANK(Design!$B$32),Design!$B$31,Design!$B$32)*1000000*Constants!$D$22/1000000000*($B13-Constants!$C$21)</f>
        <v>4.1419375000000008E-2</v>
      </c>
      <c r="AL13" s="239">
        <f>$B13*AG13*($B13/(Constants!$C$23*1000000000)*IF(ISBLANK(Design!$B$32),Design!$B$31,Design!$B$32)*1000000/2+$B13/(Constants!$C$24*1000000000)*IF(ISBLANK(Design!$B$32),Design!$B$31,Design!$B$32)*1000000/2)</f>
        <v>2.3104110412382497E-2</v>
      </c>
      <c r="AM13" s="239">
        <f t="shared" ca="1" si="3"/>
        <v>4.0390381479845645E-2</v>
      </c>
      <c r="AN13" s="239">
        <f>Constants!$D$22/1000000000*Constants!$C$21*IF(ISBLANK(Design!$B$32),Design!$B$31,Design!$B$32)*1000000</f>
        <v>1.0624999999999999E-2</v>
      </c>
      <c r="AO13" s="239">
        <f t="shared" ca="1" si="11"/>
        <v>0.11553886689222814</v>
      </c>
      <c r="AP13" s="239">
        <f t="shared" ca="1" si="9"/>
        <v>0.16102748130717617</v>
      </c>
      <c r="AQ13" s="240">
        <f ca="1">$A13+AP13*Design!$B$19</f>
        <v>94.178566434509037</v>
      </c>
      <c r="AR13" s="240">
        <f ca="1">AO13*Design!$C$12+$A13</f>
        <v>88.92832147433576</v>
      </c>
      <c r="AS13" s="240">
        <f ca="1">Constants!$D$19+Constants!$D$19*Constants!$C$20/100*(AR13-25)</f>
        <v>162.05124460511112</v>
      </c>
      <c r="AT13" s="239">
        <f ca="1">(1-Constants!$C$17/1000000000*Design!$B$32*1000000) * ($B13+AH13-AG13*AS13/1000) - (AH13+AG13*(1+($A13-25)*Constants!$C$31/100)*IF(ISBLANK(Design!$B$40),Constants!$C$6/1000,Design!$B$40/1000))</f>
        <v>9.5298640149637865</v>
      </c>
      <c r="AU13" s="161">
        <f ca="1">IF(AT13&gt;Design!$C$28,Design!$C$28,AT13)</f>
        <v>3.3223709369024856</v>
      </c>
    </row>
    <row r="14" spans="1:47" s="162" customFormat="1" ht="12.75" customHeight="1" x14ac:dyDescent="0.25">
      <c r="A14" s="154">
        <f>Design!$D$13</f>
        <v>85</v>
      </c>
      <c r="B14" s="155">
        <f t="shared" si="0"/>
        <v>9.9500000000000011</v>
      </c>
      <c r="C14" s="156">
        <f>Design!$D$6</f>
        <v>2.5</v>
      </c>
      <c r="D14" s="156">
        <f ca="1">FORECAST(C14, OFFSET(Design!$C$15:$C$17,MATCH(C14,Design!$B$15:$B$17,1)-1,0,2), OFFSET(Design!$B$15:$B$17,MATCH(C14,Design!$B$15:$B$17,1)-1,0,2))+(M14-25)*Design!$B$18/1000</f>
        <v>0.37953721286941372</v>
      </c>
      <c r="E14" s="215">
        <f ca="1">IF(100*(Design!$C$28+D14+C14*IF(ISBLANK(Design!$B$40),Constants!$C$6,Design!$B$40)/1000*(1+Constants!$C$31/100*(N14-25)))/($B14+D14-C14*O14/1000)&gt;Design!$C$35,Design!$C$35,100*(Design!$C$28+D14+C14*IF(ISBLANK(Design!$B$40),Constants!$C$6,Design!$B$40)/1000*(1+Constants!$C$31/100*(N14-25)))/($B14+D14-C14*O14/1000))</f>
        <v>39.052668203197413</v>
      </c>
      <c r="F14" s="157">
        <f ca="1">IF(($B14-C14*IF(ISBLANK(Design!$B$40),Constants!$C$6,Design!$B$40)/1000*(1+Constants!$C$31/100*(N14-25))-Design!$C$28)/(IF(ISBLANK(Design!$B$39),Design!$B$38,Design!$B$39)/1000000)*E14/100/(IF(ISBLANK(Design!$B$32),Design!$B$31,Design!$B$32)*1000000)&lt;0, 0, ($B14-C14*IF(ISBLANK(Design!$B$40),Constants!$C$6,Design!$B$40)/1000*(1+Constants!$C$31/100*(N14-25))-Design!$C$28)/(IF(ISBLANK(Design!$B$39),Design!$B$38,Design!$B$39)/1000000)*E14/100/(IF(ISBLANK(Design!$B$32),Design!$B$31,Design!$B$32)*1000000))</f>
        <v>0.26999157439330973</v>
      </c>
      <c r="G14" s="207">
        <f>B14*Constants!$C$18/1000+IF(ISBLANK(Design!$B$32),Design!$B$31,Design!$B$32)*1000000*Constants!$D$22/1000000000*(B14-Constants!$C$21)</f>
        <v>4.0368750000000009E-2</v>
      </c>
      <c r="H14" s="207">
        <f>B14*C14*(B14/(Constants!$C$23*1000000000)*IF(ISBLANK(Design!$B$32),Design!$B$31,Design!$B$32)*1000000/2+B14/(Constants!$C$24*1000000000)*IF(ISBLANK(Design!$B$32),Design!$B$31,Design!$B$32)*1000000/2)</f>
        <v>6.6542147412358033E-2</v>
      </c>
      <c r="I14" s="207">
        <f t="shared" ca="1" si="1"/>
        <v>0.42182957729467591</v>
      </c>
      <c r="J14" s="207">
        <f>Constants!$D$22/1000000000*Constants!$C$21*IF(ISBLANK(Design!$B$32),Design!$B$31,Design!$B$32)*1000000</f>
        <v>1.0624999999999999E-2</v>
      </c>
      <c r="K14" s="207">
        <f t="shared" ca="1" si="4"/>
        <v>0.53936547470703389</v>
      </c>
      <c r="L14" s="207">
        <f t="shared" ca="1" si="5"/>
        <v>0.57829451104964624</v>
      </c>
      <c r="M14" s="208">
        <f ca="1">A14+L14*Design!$B$19</f>
        <v>117.96278712982983</v>
      </c>
      <c r="N14" s="208">
        <f ca="1">K14*Design!$C$12+A14</f>
        <v>103.33842614003916</v>
      </c>
      <c r="O14" s="208">
        <f ca="1">Constants!$D$19+Constants!$D$19*Constants!$C$20/100*(N14-25)</f>
        <v>172.65708163906882</v>
      </c>
      <c r="P14" s="207">
        <f ca="1">(1-Constants!$C$17/1000000000*Design!$B$32*1000000) * ($B14+D14-C14*O14/1000) - (D14+C14*(1+($A14-25)*Constants!$C$31/100)*IF(ISBLANK(Design!$B$40),Constants!$C$6/1000,Design!$B$40/1000))</f>
        <v>8.9432217792795292</v>
      </c>
      <c r="Q14" s="213">
        <f ca="1">IF(P14&gt;Design!$C$28,Design!$C$28,P14)</f>
        <v>3.3223709369024856</v>
      </c>
      <c r="R14" s="223">
        <f>2*Design!$D$6/3</f>
        <v>1.6666666666666667</v>
      </c>
      <c r="S14" s="158">
        <f ca="1">FORECAST(R14, OFFSET(Design!$C$15:$C$17,MATCH(R14,Design!$B$15:$B$17,1)-1,0,2), OFFSET(Design!$B$15:$B$17,MATCH(R14,Design!$B$15:$B$17,1)-1,0,2))+(AB14-25)*Design!$B$18/1000</f>
        <v>0.35317628028550835</v>
      </c>
      <c r="T14" s="224">
        <f ca="1">IF(100*(Design!$C$28+S14+R14*IF(ISBLANK(Design!$B$40),Constants!$C$6,Design!$B$40)/1000*(1+Constants!$C$31/100*(AC14-25)))/($B14+S14-R14*AD14/1000)&gt;Design!$C$35,Design!$C$35,100*(Design!$C$28+S14+R14*IF(ISBLANK(Design!$B$40),Constants!$C$6,Design!$B$40)/1000*(1+Constants!$C$31/100*(AC14-25)))/($B14+S14-R14*AD14/1000))</f>
        <v>37.714736520887591</v>
      </c>
      <c r="U14" s="159">
        <f ca="1">IF(($B14-R14*IF(ISBLANK(Design!$B$40),Constants!$C$6,Design!$B$40)/1000*(1+Constants!$C$31/100*(AC14-25))-Design!$C$28)/(Design!$B$39/1000000)*T14/100/(IF(ISBLANK(IF(ISBLANK(Design!$B$39),Design!$B$38,Design!$B$39)),Design!$B$31,Design!$B$32)*1000000)&lt;0,0,($B14-R14*IF(ISBLANK(Design!$B$40),Constants!$C$6,Design!$B$40)/1000*(1+Constants!$C$31/100*(AC14-25))-Design!$C$28)/(IF(ISBLANK(Design!$B$39),Design!$B$38,Design!$B$39)/1000000)*T14/100/(IF(ISBLANK(Design!$B$32),Design!$B$31,Design!$B$32)*1000000))</f>
        <v>0.26306107754441083</v>
      </c>
      <c r="V14" s="225">
        <f>$B14*Constants!$C$18/1000+IF(ISBLANK(Design!$B$32),Design!$B$31,Design!$B$32)*1000000*Constants!$D$22/1000000000*($B14-Constants!$C$21)</f>
        <v>4.0368750000000009E-2</v>
      </c>
      <c r="W14" s="225">
        <f>$B14*R14*($B14/(Constants!$C$23*1000000000)*IF(ISBLANK(Design!$B$32),Design!$B$31,Design!$B$32)*1000000/2+$B14/(Constants!$C$24*1000000000)*IF(ISBLANK(Design!$B$32),Design!$B$31,Design!$B$32)*1000000/2)</f>
        <v>4.4361431608238688E-2</v>
      </c>
      <c r="X14" s="225">
        <f t="shared" ca="1" si="2"/>
        <v>0.17416766222225025</v>
      </c>
      <c r="Y14" s="225">
        <f>Constants!$D$22/1000000000*Constants!$C$21*IF(ISBLANK(Design!$B$32),Design!$B$31,Design!$B$32)*1000000</f>
        <v>1.0624999999999999E-2</v>
      </c>
      <c r="Z14" s="225">
        <f t="shared" ca="1" si="10"/>
        <v>0.26952284383048897</v>
      </c>
      <c r="AA14" s="225">
        <f t="shared" ca="1" si="7"/>
        <v>0.36662796120259572</v>
      </c>
      <c r="AB14" s="226">
        <f ca="1">$A14+AA14*Design!$B$19</f>
        <v>105.89779378854796</v>
      </c>
      <c r="AC14" s="226">
        <f ca="1">Z14*Design!$C$12+$A14</f>
        <v>94.163776690236631</v>
      </c>
      <c r="AD14" s="226">
        <f ca="1">Constants!$D$19+Constants!$D$19*Constants!$C$20/100*(AC14-25)</f>
        <v>165.90453964401416</v>
      </c>
      <c r="AE14" s="225">
        <f ca="1">(1-Constants!$C$17/1000000000*Design!$B$32*1000000) * ($B14+S14-R14*AD14/1000) - (S14+R14*(1+($A14-25)*Constants!$C$31/100)*IF(ISBLANK(Design!$B$40),Constants!$C$6/1000,Design!$B$40/1000))</f>
        <v>9.1443756802392926</v>
      </c>
      <c r="AF14" s="159">
        <f ca="1">IF(AE14&gt;Design!$C$28,Design!$C$28,AE14)</f>
        <v>3.3223709369024856</v>
      </c>
      <c r="AG14" s="160">
        <f>Design!$D$6/3</f>
        <v>0.83333333333333337</v>
      </c>
      <c r="AH14" s="160">
        <f ca="1">FORECAST(AG14, OFFSET(Design!$C$15:$C$17,MATCH(AG14,Design!$B$15:$B$17,1)-1,0,2), OFFSET(Design!$B$15:$B$17,MATCH(AG14,Design!$B$15:$B$17,1)-1,0,2))+(AQ14-25)*Design!$B$18/1000</f>
        <v>0.30018059893556492</v>
      </c>
      <c r="AI14" s="238">
        <f ca="1">IF(100*(Design!$C$28+AH14+AG14*IF(ISBLANK(Design!$B$40),Constants!$C$6,Design!$B$40)/1000*(1+Constants!$C$31/100*(AR14-25)))/($B14+AH14-AG14*AS14/1000)&gt;Design!$C$35,Design!$C$35,100*(Design!$C$28+AH14+AG14*IF(ISBLANK(Design!$B$40),Constants!$C$6,Design!$B$40)/1000*(1+Constants!$C$31/100*(AR14-25)))/($B14+AH14-AG14*AS14/1000))</f>
        <v>36.32843304900917</v>
      </c>
      <c r="AJ14" s="161">
        <f ca="1">IF(($B14-AG14*IF(ISBLANK(Design!$B$40),Constants!$C$6,Design!$B$40)/1000*(1+Constants!$C$31/100*(AR14-25))-Design!$C$28)/(IF(ISBLANK(Design!$B$39),Design!$B$38,Design!$B$39)/1000000)*AI14/100/(IF(ISBLANK(Design!$B$32),Design!$B$31,Design!$B$32)*1000000)&lt;0,0,($B14-AG14*IF(ISBLANK(Design!$B$40),Constants!$C$6,Design!$B$40)/1000*(1+Constants!$C$31/100*(AR14-25))-Design!$C$28)/(IF(ISBLANK(Design!$B$39),Design!$B$38,Design!$B$39)/1000000)*AI14/100/(IF(ISBLANK(Design!$B$32),Design!$B$31,Design!$B$32)*1000000))</f>
        <v>0.25548410148199019</v>
      </c>
      <c r="AK14" s="239">
        <f>$B14*Constants!$C$18/1000+IF(ISBLANK(Design!$B$32),Design!$B$31,Design!$B$32)*1000000*Constants!$D$22/1000000000*($B14-Constants!$C$21)</f>
        <v>4.0368750000000009E-2</v>
      </c>
      <c r="AL14" s="239">
        <f>$B14*AG14*($B14/(Constants!$C$23*1000000000)*IF(ISBLANK(Design!$B$32),Design!$B$31,Design!$B$32)*1000000/2+$B14/(Constants!$C$24*1000000000)*IF(ISBLANK(Design!$B$32),Design!$B$31,Design!$B$32)*1000000/2)</f>
        <v>2.2180715804119344E-2</v>
      </c>
      <c r="AM14" s="239">
        <f t="shared" ca="1" si="3"/>
        <v>4.1195193962043901E-2</v>
      </c>
      <c r="AN14" s="239">
        <f>Constants!$D$22/1000000000*Constants!$C$21*IF(ISBLANK(Design!$B$32),Design!$B$31,Design!$B$32)*1000000</f>
        <v>1.0624999999999999E-2</v>
      </c>
      <c r="AO14" s="239">
        <f t="shared" ca="1" si="11"/>
        <v>0.11436965976616326</v>
      </c>
      <c r="AP14" s="239">
        <f t="shared" ca="1" si="9"/>
        <v>0.15927474252095292</v>
      </c>
      <c r="AQ14" s="240">
        <f ca="1">$A14+AP14*Design!$B$19</f>
        <v>94.078660323694322</v>
      </c>
      <c r="AR14" s="240">
        <f ca="1">AO14*Design!$C$12+$A14</f>
        <v>88.888568432049553</v>
      </c>
      <c r="AS14" s="240">
        <f ca="1">Constants!$D$19+Constants!$D$19*Constants!$C$20/100*(AR14-25)</f>
        <v>162.02198636598848</v>
      </c>
      <c r="AT14" s="239">
        <f ca="1">(1-Constants!$C$17/1000000000*Design!$B$32*1000000) * ($B14+AH14-AG14*AS14/1000) - (AH14+AG14*(1+($A14-25)*Constants!$C$31/100)*IF(ISBLANK(Design!$B$40),Constants!$C$6/1000,Design!$B$40/1000))</f>
        <v>9.3335956145907115</v>
      </c>
      <c r="AU14" s="161">
        <f ca="1">IF(AT14&gt;Design!$C$28,Design!$C$28,AT14)</f>
        <v>3.3223709369024856</v>
      </c>
    </row>
    <row r="15" spans="1:47" s="162" customFormat="1" ht="12.75" customHeight="1" x14ac:dyDescent="0.25">
      <c r="A15" s="154">
        <f>Design!$D$13</f>
        <v>85</v>
      </c>
      <c r="B15" s="155">
        <f t="shared" si="0"/>
        <v>9.745000000000001</v>
      </c>
      <c r="C15" s="156">
        <f>Design!$D$6</f>
        <v>2.5</v>
      </c>
      <c r="D15" s="156">
        <f ca="1">FORECAST(C15, OFFSET(Design!$C$15:$C$17,MATCH(C15,Design!$B$15:$B$17,1)-1,0,2), OFFSET(Design!$B$15:$B$17,MATCH(C15,Design!$B$15:$B$17,1)-1,0,2))+(M15-25)*Design!$B$18/1000</f>
        <v>0.37995113609071662</v>
      </c>
      <c r="E15" s="215">
        <f ca="1">IF(100*(Design!$C$28+D15+C15*IF(ISBLANK(Design!$B$40),Constants!$C$6,Design!$B$40)/1000*(1+Constants!$C$31/100*(N15-25)))/($B15+D15-C15*O15/1000)&gt;Design!$C$35,Design!$C$35,100*(Design!$C$28+D15+C15*IF(ISBLANK(Design!$B$40),Constants!$C$6,Design!$B$40)/1000*(1+Constants!$C$31/100*(N15-25)))/($B15+D15-C15*O15/1000))</f>
        <v>39.883564394447916</v>
      </c>
      <c r="F15" s="157">
        <f ca="1">IF(($B15-C15*IF(ISBLANK(Design!$B$40),Constants!$C$6,Design!$B$40)/1000*(1+Constants!$C$31/100*(N15-25))-Design!$C$28)/(IF(ISBLANK(Design!$B$39),Design!$B$38,Design!$B$39)/1000000)*E15/100/(IF(ISBLANK(Design!$B$32),Design!$B$31,Design!$B$32)*1000000)&lt;0, 0, ($B15-C15*IF(ISBLANK(Design!$B$40),Constants!$C$6,Design!$B$40)/1000*(1+Constants!$C$31/100*(N15-25))-Design!$C$28)/(IF(ISBLANK(Design!$B$39),Design!$B$38,Design!$B$39)/1000000)*E15/100/(IF(ISBLANK(Design!$B$32),Design!$B$31,Design!$B$32)*1000000))</f>
        <v>0.26698751806291154</v>
      </c>
      <c r="G15" s="207">
        <f>B15*Constants!$C$18/1000+IF(ISBLANK(Design!$B$32),Design!$B$31,Design!$B$32)*1000000*Constants!$D$22/1000000000*(B15-Constants!$C$21)</f>
        <v>3.9318125000000009E-2</v>
      </c>
      <c r="H15" s="207">
        <f>B15*C15*(B15/(Constants!$C$23*1000000000)*IF(ISBLANK(Design!$B$32),Design!$B$31,Design!$B$32)*1000000/2+B15/(Constants!$C$24*1000000000)*IF(ISBLANK(Design!$B$32),Design!$B$31,Design!$B$32)*1000000/2)</f>
        <v>6.3828455772008436E-2</v>
      </c>
      <c r="I15" s="207">
        <f t="shared" ca="1" si="1"/>
        <v>0.43114168022135568</v>
      </c>
      <c r="J15" s="207">
        <f>Constants!$D$22/1000000000*Constants!$C$21*IF(ISBLANK(Design!$B$32),Design!$B$31,Design!$B$32)*1000000</f>
        <v>1.0624999999999999E-2</v>
      </c>
      <c r="K15" s="207">
        <f t="shared" ca="1" si="4"/>
        <v>0.54491326099336412</v>
      </c>
      <c r="L15" s="207">
        <f t="shared" ca="1" si="5"/>
        <v>0.5710327001513481</v>
      </c>
      <c r="M15" s="208">
        <f ca="1">A15+L15*Design!$B$19</f>
        <v>117.54886390862684</v>
      </c>
      <c r="N15" s="208">
        <f ca="1">K15*Design!$C$12+A15</f>
        <v>103.52705087377439</v>
      </c>
      <c r="O15" s="208">
        <f ca="1">Constants!$D$19+Constants!$D$19*Constants!$C$20/100*(N15-25)</f>
        <v>172.79590944309797</v>
      </c>
      <c r="P15" s="207">
        <f ca="1">(1-Constants!$C$17/1000000000*Design!$B$32*1000000) * ($B15+D15-C15*O15/1000) - (D15+C15*(1+($A15-25)*Constants!$C$31/100)*IF(ISBLANK(Design!$B$40),Constants!$C$6/1000,Design!$B$40/1000))</f>
        <v>8.7465843684867295</v>
      </c>
      <c r="Q15" s="213">
        <f ca="1">IF(P15&gt;Design!$C$28,Design!$C$28,P15)</f>
        <v>3.3223709369024856</v>
      </c>
      <c r="R15" s="223">
        <f>2*Design!$D$6/3</f>
        <v>1.6666666666666667</v>
      </c>
      <c r="S15" s="158">
        <f ca="1">FORECAST(R15, OFFSET(Design!$C$15:$C$17,MATCH(R15,Design!$B$15:$B$17,1)-1,0,2), OFFSET(Design!$B$15:$B$17,MATCH(R15,Design!$B$15:$B$17,1)-1,0,2))+(AB15-25)*Design!$B$18/1000</f>
        <v>0.35342638433233664</v>
      </c>
      <c r="T15" s="224">
        <f ca="1">IF(100*(Design!$C$28+S15+R15*IF(ISBLANK(Design!$B$40),Constants!$C$6,Design!$B$40)/1000*(1+Constants!$C$31/100*(AC15-25)))/($B15+S15-R15*AD15/1000)&gt;Design!$C$35,Design!$C$35,100*(Design!$C$28+S15+R15*IF(ISBLANK(Design!$B$40),Constants!$C$6,Design!$B$40)/1000*(1+Constants!$C$31/100*(AC15-25)))/($B15+S15-R15*AD15/1000))</f>
        <v>38.503713310756659</v>
      </c>
      <c r="U15" s="159">
        <f ca="1">IF(($B15-R15*IF(ISBLANK(Design!$B$40),Constants!$C$6,Design!$B$40)/1000*(1+Constants!$C$31/100*(AC15-25))-Design!$C$28)/(Design!$B$39/1000000)*T15/100/(IF(ISBLANK(IF(ISBLANK(Design!$B$39),Design!$B$38,Design!$B$39)),Design!$B$31,Design!$B$32)*1000000)&lt;0,0,($B15-R15*IF(ISBLANK(Design!$B$40),Constants!$C$6,Design!$B$40)/1000*(1+Constants!$C$31/100*(AC15-25))-Design!$C$28)/(IF(ISBLANK(Design!$B$39),Design!$B$38,Design!$B$39)/1000000)*T15/100/(IF(ISBLANK(Design!$B$32),Design!$B$31,Design!$B$32)*1000000))</f>
        <v>0.26012185113078212</v>
      </c>
      <c r="V15" s="225">
        <f>$B15*Constants!$C$18/1000+IF(ISBLANK(Design!$B$32),Design!$B$31,Design!$B$32)*1000000*Constants!$D$22/1000000000*($B15-Constants!$C$21)</f>
        <v>3.9318125000000009E-2</v>
      </c>
      <c r="W15" s="225">
        <f>$B15*R15*($B15/(Constants!$C$23*1000000000)*IF(ISBLANK(Design!$B$32),Design!$B$31,Design!$B$32)*1000000/2+$B15/(Constants!$C$24*1000000000)*IF(ISBLANK(Design!$B$32),Design!$B$31,Design!$B$32)*1000000/2)</f>
        <v>4.2552303848005631E-2</v>
      </c>
      <c r="X15" s="225">
        <f t="shared" ca="1" si="2"/>
        <v>0.1778243654135768</v>
      </c>
      <c r="Y15" s="225">
        <f>Constants!$D$22/1000000000*Constants!$C$21*IF(ISBLANK(Design!$B$32),Design!$B$31,Design!$B$32)*1000000</f>
        <v>1.0624999999999999E-2</v>
      </c>
      <c r="Z15" s="225">
        <f t="shared" ca="1" si="10"/>
        <v>0.27031979426158242</v>
      </c>
      <c r="AA15" s="225">
        <f t="shared" ca="1" si="7"/>
        <v>0.36224017090740124</v>
      </c>
      <c r="AB15" s="226">
        <f ca="1">$A15+AA15*Design!$B$19</f>
        <v>105.64768974172188</v>
      </c>
      <c r="AC15" s="226">
        <f ca="1">Z15*Design!$C$12+$A15</f>
        <v>94.190873004893803</v>
      </c>
      <c r="AD15" s="226">
        <f ca="1">Constants!$D$19+Constants!$D$19*Constants!$C$20/100*(AC15-25)</f>
        <v>165.92448253160185</v>
      </c>
      <c r="AE15" s="225">
        <f ca="1">(1-Constants!$C$17/1000000000*Design!$B$32*1000000) * ($B15+S15-R15*AD15/1000) - (S15+R15*(1+($A15-25)*Constants!$C$31/100)*IF(ISBLANK(Design!$B$40),Constants!$C$6/1000,Design!$B$40/1000))</f>
        <v>8.9480457252925287</v>
      </c>
      <c r="AF15" s="159">
        <f ca="1">IF(AE15&gt;Design!$C$28,Design!$C$28,AE15)</f>
        <v>3.3223709369024856</v>
      </c>
      <c r="AG15" s="160">
        <f>Design!$D$6/3</f>
        <v>0.83333333333333337</v>
      </c>
      <c r="AH15" s="160">
        <f ca="1">FORECAST(AG15, OFFSET(Design!$C$15:$C$17,MATCH(AG15,Design!$B$15:$B$17,1)-1,0,2), OFFSET(Design!$B$15:$B$17,MATCH(AG15,Design!$B$15:$B$17,1)-1,0,2))+(AQ15-25)*Design!$B$18/1000</f>
        <v>0.30028471117247957</v>
      </c>
      <c r="AI15" s="238">
        <f ca="1">IF(100*(Design!$C$28+AH15+AG15*IF(ISBLANK(Design!$B$40),Constants!$C$6,Design!$B$40)/1000*(1+Constants!$C$31/100*(AR15-25)))/($B15+AH15-AG15*AS15/1000)&gt;Design!$C$35,Design!$C$35,100*(Design!$C$28+AH15+AG15*IF(ISBLANK(Design!$B$40),Constants!$C$6,Design!$B$40)/1000*(1+Constants!$C$31/100*(AR15-25)))/($B15+AH15-AG15*AS15/1000))</f>
        <v>37.080428197359282</v>
      </c>
      <c r="AJ15" s="161">
        <f ca="1">IF(($B15-AG15*IF(ISBLANK(Design!$B$40),Constants!$C$6,Design!$B$40)/1000*(1+Constants!$C$31/100*(AR15-25))-Design!$C$28)/(IF(ISBLANK(Design!$B$39),Design!$B$38,Design!$B$39)/1000000)*AI15/100/(IF(ISBLANK(Design!$B$32),Design!$B$31,Design!$B$32)*1000000)&lt;0,0,($B15-AG15*IF(ISBLANK(Design!$B$40),Constants!$C$6,Design!$B$40)/1000*(1+Constants!$C$31/100*(AR15-25))-Design!$C$28)/(IF(ISBLANK(Design!$B$39),Design!$B$38,Design!$B$39)/1000000)*AI15/100/(IF(ISBLANK(Design!$B$32),Design!$B$31,Design!$B$32)*1000000))</f>
        <v>0.25264291152129958</v>
      </c>
      <c r="AK15" s="239">
        <f>$B15*Constants!$C$18/1000+IF(ISBLANK(Design!$B$32),Design!$B$31,Design!$B$32)*1000000*Constants!$D$22/1000000000*($B15-Constants!$C$21)</f>
        <v>3.9318125000000009E-2</v>
      </c>
      <c r="AL15" s="239">
        <f>$B15*AG15*($B15/(Constants!$C$23*1000000000)*IF(ISBLANK(Design!$B$32),Design!$B$31,Design!$B$32)*1000000/2+$B15/(Constants!$C$24*1000000000)*IF(ISBLANK(Design!$B$32),Design!$B$31,Design!$B$32)*1000000/2)</f>
        <v>2.1276151924002815E-2</v>
      </c>
      <c r="AM15" s="239">
        <f t="shared" ca="1" si="3"/>
        <v>4.2033450374068443E-2</v>
      </c>
      <c r="AN15" s="239">
        <f>Constants!$D$22/1000000000*Constants!$C$21*IF(ISBLANK(Design!$B$32),Design!$B$31,Design!$B$32)*1000000</f>
        <v>1.0624999999999999E-2</v>
      </c>
      <c r="AO15" s="239">
        <f t="shared" ca="1" si="11"/>
        <v>0.11325272729807126</v>
      </c>
      <c r="AP15" s="239">
        <f t="shared" ca="1" si="9"/>
        <v>0.15744821204876713</v>
      </c>
      <c r="AQ15" s="240">
        <f ca="1">$A15+AP15*Design!$B$19</f>
        <v>93.97454808677972</v>
      </c>
      <c r="AR15" s="240">
        <f ca="1">AO15*Design!$C$12+$A15</f>
        <v>88.850592728134416</v>
      </c>
      <c r="AS15" s="240">
        <f ca="1">Constants!$D$19+Constants!$D$19*Constants!$C$20/100*(AR15-25)</f>
        <v>161.99403624790693</v>
      </c>
      <c r="AT15" s="239">
        <f ca="1">(1-Constants!$C$17/1000000000*Design!$B$32*1000000) * ($B15+AH15-AG15*AS15/1000) - (AH15+AG15*(1+($A15-25)*Constants!$C$31/100)*IF(ISBLANK(Design!$B$40),Constants!$C$6/1000,Design!$B$40/1000))</f>
        <v>9.1373259916856959</v>
      </c>
      <c r="AU15" s="161">
        <f ca="1">IF(AT15&gt;Design!$C$28,Design!$C$28,AT15)</f>
        <v>3.3223709369024856</v>
      </c>
    </row>
    <row r="16" spans="1:47" s="162" customFormat="1" ht="12.75" customHeight="1" x14ac:dyDescent="0.25">
      <c r="A16" s="154">
        <f>Design!$D$13</f>
        <v>85</v>
      </c>
      <c r="B16" s="155">
        <f t="shared" si="0"/>
        <v>9.5400000000000009</v>
      </c>
      <c r="C16" s="156">
        <f>Design!$D$6</f>
        <v>2.5</v>
      </c>
      <c r="D16" s="156">
        <f ca="1">FORECAST(C16, OFFSET(Design!$C$15:$C$17,MATCH(C16,Design!$B$15:$B$17,1)-1,0,2), OFFSET(Design!$B$15:$B$17,MATCH(C16,Design!$B$15:$B$17,1)-1,0,2))+(M16-25)*Design!$B$18/1000</f>
        <v>0.38038407245608497</v>
      </c>
      <c r="E16" s="215">
        <f ca="1">IF(100*(Design!$C$28+D16+C16*IF(ISBLANK(Design!$B$40),Constants!$C$6,Design!$B$40)/1000*(1+Constants!$C$31/100*(N16-25)))/($B16+D16-C16*O16/1000)&gt;Design!$C$35,Design!$C$35,100*(Design!$C$28+D16+C16*IF(ISBLANK(Design!$B$40),Constants!$C$6,Design!$B$40)/1000*(1+Constants!$C$31/100*(N16-25)))/($B16+D16-C16*O16/1000))</f>
        <v>40.750692142929822</v>
      </c>
      <c r="F16" s="157">
        <f ca="1">IF(($B16-C16*IF(ISBLANK(Design!$B$40),Constants!$C$6,Design!$B$40)/1000*(1+Constants!$C$31/100*(N16-25))-Design!$C$28)/(IF(ISBLANK(Design!$B$39),Design!$B$38,Design!$B$39)/1000000)*E16/100/(IF(ISBLANK(Design!$B$32),Design!$B$31,Design!$B$32)*1000000)&lt;0, 0, ($B16-C16*IF(ISBLANK(Design!$B$40),Constants!$C$6,Design!$B$40)/1000*(1+Constants!$C$31/100*(N16-25))-Design!$C$28)/(IF(ISBLANK(Design!$B$39),Design!$B$38,Design!$B$39)/1000000)*E16/100/(IF(ISBLANK(Design!$B$32),Design!$B$31,Design!$B$32)*1000000))</f>
        <v>0.26385318039584893</v>
      </c>
      <c r="G16" s="207">
        <f>B16*Constants!$C$18/1000+IF(ISBLANK(Design!$B$32),Design!$B$31,Design!$B$32)*1000000*Constants!$D$22/1000000000*(B16-Constants!$C$21)</f>
        <v>3.826750000000001E-2</v>
      </c>
      <c r="H16" s="207">
        <f>B16*C16*(B16/(Constants!$C$23*1000000000)*IF(ISBLANK(Design!$B$32),Design!$B$31,Design!$B$32)*1000000/2+B16/(Constants!$C$24*1000000000)*IF(ISBLANK(Design!$B$32),Design!$B$31,Design!$B$32)*1000000/2)</f>
        <v>6.1171256316098717E-2</v>
      </c>
      <c r="I16" s="207">
        <f t="shared" ca="1" si="1"/>
        <v>0.44089098081847972</v>
      </c>
      <c r="J16" s="207">
        <f>Constants!$D$22/1000000000*Constants!$C$21*IF(ISBLANK(Design!$B$32),Design!$B$31,Design!$B$32)*1000000</f>
        <v>1.0624999999999999E-2</v>
      </c>
      <c r="K16" s="207">
        <f t="shared" ca="1" si="4"/>
        <v>0.55095473713457843</v>
      </c>
      <c r="L16" s="207">
        <f t="shared" ca="1" si="5"/>
        <v>0.5634373253219167</v>
      </c>
      <c r="M16" s="208">
        <f ca="1">A16+L16*Design!$B$19</f>
        <v>117.11592754334924</v>
      </c>
      <c r="N16" s="208">
        <f ca="1">K16*Design!$C$12+A16</f>
        <v>103.73246106257567</v>
      </c>
      <c r="O16" s="208">
        <f ca="1">Constants!$D$19+Constants!$D$19*Constants!$C$20/100*(N16-25)</f>
        <v>172.9470913420557</v>
      </c>
      <c r="P16" s="207">
        <f ca="1">(1-Constants!$C$17/1000000000*Design!$B$32*1000000) * ($B16+D16-C16*O16/1000) - (D16+C16*(1+($A16-25)*Constants!$C$31/100)*IF(ISBLANK(Design!$B$40),Constants!$C$6/1000,Design!$B$40/1000))</f>
        <v>8.5499165770205714</v>
      </c>
      <c r="Q16" s="213">
        <f ca="1">IF(P16&gt;Design!$C$28,Design!$C$28,P16)</f>
        <v>3.3223709369024856</v>
      </c>
      <c r="R16" s="223">
        <f>2*Design!$D$6/3</f>
        <v>1.6666666666666667</v>
      </c>
      <c r="S16" s="158">
        <f ca="1">FORECAST(R16, OFFSET(Design!$C$15:$C$17,MATCH(R16,Design!$B$15:$B$17,1)-1,0,2), OFFSET(Design!$B$15:$B$17,MATCH(R16,Design!$B$15:$B$17,1)-1,0,2))+(AB16-25)*Design!$B$18/1000</f>
        <v>0.35368755738823793</v>
      </c>
      <c r="T16" s="224">
        <f ca="1">IF(100*(Design!$C$28+S16+R16*IF(ISBLANK(Design!$B$40),Constants!$C$6,Design!$B$40)/1000*(1+Constants!$C$31/100*(AC16-25)))/($B16+S16-R16*AD16/1000)&gt;Design!$C$35,Design!$C$35,100*(Design!$C$28+S16+R16*IF(ISBLANK(Design!$B$40),Constants!$C$6,Design!$B$40)/1000*(1+Constants!$C$31/100*(AC16-25)))/($B16+S16-R16*AD16/1000))</f>
        <v>39.326417342189345</v>
      </c>
      <c r="U16" s="159">
        <f ca="1">IF(($B16-R16*IF(ISBLANK(Design!$B$40),Constants!$C$6,Design!$B$40)/1000*(1+Constants!$C$31/100*(AC16-25))-Design!$C$28)/(Design!$B$39/1000000)*T16/100/(IF(ISBLANK(IF(ISBLANK(Design!$B$39),Design!$B$38,Design!$B$39)),Design!$B$31,Design!$B$32)*1000000)&lt;0,0,($B16-R16*IF(ISBLANK(Design!$B$40),Constants!$C$6,Design!$B$40)/1000*(1+Constants!$C$31/100*(AC16-25))-Design!$C$28)/(IF(ISBLANK(Design!$B$39),Design!$B$38,Design!$B$39)/1000000)*T16/100/(IF(ISBLANK(Design!$B$32),Design!$B$31,Design!$B$32)*1000000))</f>
        <v>0.2570570061180697</v>
      </c>
      <c r="V16" s="225">
        <f>$B16*Constants!$C$18/1000+IF(ISBLANK(Design!$B$32),Design!$B$31,Design!$B$32)*1000000*Constants!$D$22/1000000000*($B16-Constants!$C$21)</f>
        <v>3.826750000000001E-2</v>
      </c>
      <c r="W16" s="225">
        <f>$B16*R16*($B16/(Constants!$C$23*1000000000)*IF(ISBLANK(Design!$B$32),Design!$B$31,Design!$B$32)*1000000/2+$B16/(Constants!$C$24*1000000000)*IF(ISBLANK(Design!$B$32),Design!$B$31,Design!$B$32)*1000000/2)</f>
        <v>4.0780837544065814E-2</v>
      </c>
      <c r="X16" s="225">
        <f t="shared" ca="1" si="2"/>
        <v>0.18164258156938365</v>
      </c>
      <c r="Y16" s="225">
        <f>Constants!$D$22/1000000000*Constants!$C$21*IF(ISBLANK(Design!$B$32),Design!$B$31,Design!$B$32)*1000000</f>
        <v>1.0624999999999999E-2</v>
      </c>
      <c r="Z16" s="225">
        <f t="shared" ca="1" si="10"/>
        <v>0.27131591911344943</v>
      </c>
      <c r="AA16" s="225">
        <f t="shared" ca="1" si="7"/>
        <v>0.35765818747057343</v>
      </c>
      <c r="AB16" s="226">
        <f ca="1">$A16+AA16*Design!$B$19</f>
        <v>105.38651668582268</v>
      </c>
      <c r="AC16" s="226">
        <f ca="1">Z16*Design!$C$12+$A16</f>
        <v>94.224741249857288</v>
      </c>
      <c r="AD16" s="226">
        <f ca="1">Constants!$D$19+Constants!$D$19*Constants!$C$20/100*(AC16-25)</f>
        <v>165.94940955989497</v>
      </c>
      <c r="AE16" s="225">
        <f ca="1">(1-Constants!$C$17/1000000000*Design!$B$32*1000000) * ($B16+S16-R16*AD16/1000) - (S16+R16*(1+($A16-25)*Constants!$C$31/100)*IF(ISBLANK(Design!$B$40),Constants!$C$6/1000,Design!$B$40/1000))</f>
        <v>8.7517073460549994</v>
      </c>
      <c r="AF16" s="159">
        <f ca="1">IF(AE16&gt;Design!$C$28,Design!$C$28,AE16)</f>
        <v>3.3223709369024856</v>
      </c>
      <c r="AG16" s="160">
        <f>Design!$D$6/3</f>
        <v>0.83333333333333337</v>
      </c>
      <c r="AH16" s="160">
        <f ca="1">FORECAST(AG16, OFFSET(Design!$C$15:$C$17,MATCH(AG16,Design!$B$15:$B$17,1)-1,0,2), OFFSET(Design!$B$15:$B$17,MATCH(AG16,Design!$B$15:$B$17,1)-1,0,2))+(AQ16-25)*Design!$B$18/1000</f>
        <v>0.30039330074332893</v>
      </c>
      <c r="AI16" s="238">
        <f ca="1">IF(100*(Design!$C$28+AH16+AG16*IF(ISBLANK(Design!$B$40),Constants!$C$6,Design!$B$40)/1000*(1+Constants!$C$31/100*(AR16-25)))/($B16+AH16-AG16*AS16/1000)&gt;Design!$C$35,Design!$C$35,100*(Design!$C$28+AH16+AG16*IF(ISBLANK(Design!$B$40),Constants!$C$6,Design!$B$40)/1000*(1+Constants!$C$31/100*(AR16-25)))/($B16+AH16-AG16*AS16/1000))</f>
        <v>37.864207434640271</v>
      </c>
      <c r="AJ16" s="161">
        <f ca="1">IF(($B16-AG16*IF(ISBLANK(Design!$B$40),Constants!$C$6,Design!$B$40)/1000*(1+Constants!$C$31/100*(AR16-25))-Design!$C$28)/(IF(ISBLANK(Design!$B$39),Design!$B$38,Design!$B$39)/1000000)*AI16/100/(IF(ISBLANK(Design!$B$32),Design!$B$31,Design!$B$32)*1000000)&lt;0,0,($B16-AG16*IF(ISBLANK(Design!$B$40),Constants!$C$6,Design!$B$40)/1000*(1+Constants!$C$31/100*(AR16-25))-Design!$C$28)/(IF(ISBLANK(Design!$B$39),Design!$B$38,Design!$B$39)/1000000)*AI16/100/(IF(ISBLANK(Design!$B$32),Design!$B$31,Design!$B$32)*1000000))</f>
        <v>0.24968155588136112</v>
      </c>
      <c r="AK16" s="239">
        <f>$B16*Constants!$C$18/1000+IF(ISBLANK(Design!$B$32),Design!$B$31,Design!$B$32)*1000000*Constants!$D$22/1000000000*($B16-Constants!$C$21)</f>
        <v>3.826750000000001E-2</v>
      </c>
      <c r="AL16" s="239">
        <f>$B16*AG16*($B16/(Constants!$C$23*1000000000)*IF(ISBLANK(Design!$B$32),Design!$B$31,Design!$B$32)*1000000/2+$B16/(Constants!$C$24*1000000000)*IF(ISBLANK(Design!$B$32),Design!$B$31,Design!$B$32)*1000000/2)</f>
        <v>2.0390418772032907E-2</v>
      </c>
      <c r="AM16" s="239">
        <f t="shared" ca="1" si="3"/>
        <v>4.2907275643321294E-2</v>
      </c>
      <c r="AN16" s="239">
        <f>Constants!$D$22/1000000000*Constants!$C$21*IF(ISBLANK(Design!$B$32),Design!$B$31,Design!$B$32)*1000000</f>
        <v>1.0624999999999999E-2</v>
      </c>
      <c r="AO16" s="239">
        <f t="shared" ca="1" si="11"/>
        <v>0.1121901944153542</v>
      </c>
      <c r="AP16" s="239">
        <f t="shared" ca="1" si="9"/>
        <v>0.15554313185842672</v>
      </c>
      <c r="AQ16" s="240">
        <f ca="1">$A16+AP16*Design!$B$19</f>
        <v>93.865958515930316</v>
      </c>
      <c r="AR16" s="240">
        <f ca="1">AO16*Design!$C$12+$A16</f>
        <v>88.814466610122039</v>
      </c>
      <c r="AS16" s="240">
        <f ca="1">Constants!$D$19+Constants!$D$19*Constants!$C$20/100*(AR16-25)</f>
        <v>161.96744742504984</v>
      </c>
      <c r="AT16" s="239">
        <f ca="1">(1-Constants!$C$17/1000000000*Design!$B$32*1000000) * ($B16+AH16-AG16*AS16/1000) - (AH16+AG16*(1+($A16-25)*Constants!$C$31/100)*IF(ISBLANK(Design!$B$40),Constants!$C$6/1000,Design!$B$40/1000))</f>
        <v>8.9410550922938388</v>
      </c>
      <c r="AU16" s="161">
        <f ca="1">IF(AT16&gt;Design!$C$28,Design!$C$28,AT16)</f>
        <v>3.3223709369024856</v>
      </c>
    </row>
    <row r="17" spans="1:47" s="162" customFormat="1" ht="12.75" customHeight="1" x14ac:dyDescent="0.25">
      <c r="A17" s="154">
        <f>Design!$D$13</f>
        <v>85</v>
      </c>
      <c r="B17" s="155">
        <f t="shared" si="0"/>
        <v>9.3350000000000009</v>
      </c>
      <c r="C17" s="156">
        <f>Design!$D$6</f>
        <v>2.5</v>
      </c>
      <c r="D17" s="156">
        <f ca="1">FORECAST(C17, OFFSET(Design!$C$15:$C$17,MATCH(C17,Design!$B$15:$B$17,1)-1,0,2), OFFSET(Design!$B$15:$B$17,MATCH(C17,Design!$B$15:$B$17,1)-1,0,2))+(M17-25)*Design!$B$18/1000</f>
        <v>0.3808373643904352</v>
      </c>
      <c r="E17" s="215">
        <f ca="1">IF(100*(Design!$C$28+D17+C17*IF(ISBLANK(Design!$B$40),Constants!$C$6,Design!$B$40)/1000*(1+Constants!$C$31/100*(N17-25)))/($B17+D17-C17*O17/1000)&gt;Design!$C$35,Design!$C$35,100*(Design!$C$28+D17+C17*IF(ISBLANK(Design!$B$40),Constants!$C$6,Design!$B$40)/1000*(1+Constants!$C$31/100*(N17-25)))/($B17+D17-C17*O17/1000))</f>
        <v>41.656477311659188</v>
      </c>
      <c r="F17" s="157">
        <f ca="1">IF(($B17-C17*IF(ISBLANK(Design!$B$40),Constants!$C$6,Design!$B$40)/1000*(1+Constants!$C$31/100*(N17-25))-Design!$C$28)/(IF(ISBLANK(Design!$B$39),Design!$B$38,Design!$B$39)/1000000)*E17/100/(IF(ISBLANK(Design!$B$32),Design!$B$31,Design!$B$32)*1000000)&lt;0, 0, ($B17-C17*IF(ISBLANK(Design!$B$40),Constants!$C$6,Design!$B$40)/1000*(1+Constants!$C$31/100*(N17-25))-Design!$C$28)/(IF(ISBLANK(Design!$B$39),Design!$B$38,Design!$B$39)/1000000)*E17/100/(IF(ISBLANK(Design!$B$32),Design!$B$31,Design!$B$32)*1000000))</f>
        <v>0.26057984684211444</v>
      </c>
      <c r="G17" s="207">
        <f>B17*Constants!$C$18/1000+IF(ISBLANK(Design!$B$32),Design!$B$31,Design!$B$32)*1000000*Constants!$D$22/1000000000*(B17-Constants!$C$21)</f>
        <v>3.7216875000000003E-2</v>
      </c>
      <c r="H17" s="207">
        <f>B17*C17*(B17/(Constants!$C$23*1000000000)*IF(ISBLANK(Design!$B$32),Design!$B$31,Design!$B$32)*1000000/2+B17/(Constants!$C$24*1000000000)*IF(ISBLANK(Design!$B$32),Design!$B$31,Design!$B$32)*1000000/2)</f>
        <v>5.8570549044628883E-2</v>
      </c>
      <c r="I17" s="207">
        <f t="shared" ca="1" si="1"/>
        <v>0.45110876643808734</v>
      </c>
      <c r="J17" s="207">
        <f>Constants!$D$22/1000000000*Constants!$C$21*IF(ISBLANK(Design!$B$32),Design!$B$31,Design!$B$32)*1000000</f>
        <v>1.0624999999999999E-2</v>
      </c>
      <c r="K17" s="207">
        <f t="shared" ca="1" si="4"/>
        <v>0.5575211904827162</v>
      </c>
      <c r="L17" s="207">
        <f t="shared" ca="1" si="5"/>
        <v>0.55548483524703185</v>
      </c>
      <c r="M17" s="208">
        <f ca="1">A17+L17*Design!$B$19</f>
        <v>116.66263560908081</v>
      </c>
      <c r="N17" s="208">
        <f ca="1">K17*Design!$C$12+A17</f>
        <v>103.95572047641235</v>
      </c>
      <c r="O17" s="208">
        <f ca="1">Constants!$D$19+Constants!$D$19*Constants!$C$20/100*(N17-25)</f>
        <v>173.11141027063951</v>
      </c>
      <c r="P17" s="207">
        <f ca="1">(1-Constants!$C$17/1000000000*Design!$B$32*1000000) * ($B17+D17-C17*O17/1000) - (D17+C17*(1+($A17-25)*Constants!$C$31/100)*IF(ISBLANK(Design!$B$40),Constants!$C$6/1000,Design!$B$40/1000))</f>
        <v>8.3532164736780654</v>
      </c>
      <c r="Q17" s="213">
        <f ca="1">IF(P17&gt;Design!$C$28,Design!$C$28,P17)</f>
        <v>3.3223709369024856</v>
      </c>
      <c r="R17" s="223">
        <f>2*Design!$D$6/3</f>
        <v>1.6666666666666667</v>
      </c>
      <c r="S17" s="158">
        <f ca="1">FORECAST(R17, OFFSET(Design!$C$15:$C$17,MATCH(R17,Design!$B$15:$B$17,1)-1,0,2), OFFSET(Design!$B$15:$B$17,MATCH(R17,Design!$B$15:$B$17,1)-1,0,2))+(AB17-25)*Design!$B$18/1000</f>
        <v>0.35396055051482977</v>
      </c>
      <c r="T17" s="224">
        <f ca="1">IF(100*(Design!$C$28+S17+R17*IF(ISBLANK(Design!$B$40),Constants!$C$6,Design!$B$40)/1000*(1+Constants!$C$31/100*(AC17-25)))/($B17+S17-R17*AD17/1000)&gt;Design!$C$35,Design!$C$35,100*(Design!$C$28+S17+R17*IF(ISBLANK(Design!$B$40),Constants!$C$6,Design!$B$40)/1000*(1+Constants!$C$31/100*(AC17-25)))/($B17+S17-R17*AD17/1000))</f>
        <v>40.185057256929632</v>
      </c>
      <c r="U17" s="159">
        <f ca="1">IF(($B17-R17*IF(ISBLANK(Design!$B$40),Constants!$C$6,Design!$B$40)/1000*(1+Constants!$C$31/100*(AC17-25))-Design!$C$28)/(Design!$B$39/1000000)*T17/100/(IF(ISBLANK(IF(ISBLANK(Design!$B$39),Design!$B$38,Design!$B$39)),Design!$B$31,Design!$B$32)*1000000)&lt;0,0,($B17-R17*IF(ISBLANK(Design!$B$40),Constants!$C$6,Design!$B$40)/1000*(1+Constants!$C$31/100*(AC17-25))-Design!$C$28)/(IF(ISBLANK(Design!$B$39),Design!$B$38,Design!$B$39)/1000000)*T17/100/(IF(ISBLANK(Design!$B$32),Design!$B$31,Design!$B$32)*1000000))</f>
        <v>0.25385829852221026</v>
      </c>
      <c r="V17" s="225">
        <f>$B17*Constants!$C$18/1000+IF(ISBLANK(Design!$B$32),Design!$B$31,Design!$B$32)*1000000*Constants!$D$22/1000000000*($B17-Constants!$C$21)</f>
        <v>3.7216875000000003E-2</v>
      </c>
      <c r="W17" s="225">
        <f>$B17*R17*($B17/(Constants!$C$23*1000000000)*IF(ISBLANK(Design!$B$32),Design!$B$31,Design!$B$32)*1000000/2+$B17/(Constants!$C$24*1000000000)*IF(ISBLANK(Design!$B$32),Design!$B$31,Design!$B$32)*1000000/2)</f>
        <v>3.9047032696419258E-2</v>
      </c>
      <c r="X17" s="225">
        <f t="shared" ca="1" si="2"/>
        <v>0.18563318040479951</v>
      </c>
      <c r="Y17" s="225">
        <f>Constants!$D$22/1000000000*Constants!$C$21*IF(ISBLANK(Design!$B$32),Design!$B$31,Design!$B$32)*1000000</f>
        <v>1.0624999999999999E-2</v>
      </c>
      <c r="Z17" s="225">
        <f t="shared" ca="1" si="10"/>
        <v>0.27252208810121875</v>
      </c>
      <c r="AA17" s="225">
        <f t="shared" ca="1" si="7"/>
        <v>0.35286883437250355</v>
      </c>
      <c r="AB17" s="226">
        <f ca="1">$A17+AA17*Design!$B$19</f>
        <v>105.1135235592327</v>
      </c>
      <c r="AC17" s="226">
        <f ca="1">Z17*Design!$C$12+$A17</f>
        <v>94.265750995441437</v>
      </c>
      <c r="AD17" s="226">
        <f ca="1">Constants!$D$19+Constants!$D$19*Constants!$C$20/100*(AC17-25)</f>
        <v>165.9795927326449</v>
      </c>
      <c r="AE17" s="225">
        <f ca="1">(1-Constants!$C$17/1000000000*Design!$B$32*1000000) * ($B17+S17-R17*AD17/1000) - (S17+R17*(1+($A17-25)*Constants!$C$31/100)*IF(ISBLANK(Design!$B$40),Constants!$C$6/1000,Design!$B$40/1000))</f>
        <v>8.5553600765339404</v>
      </c>
      <c r="AF17" s="159">
        <f ca="1">IF(AE17&gt;Design!$C$28,Design!$C$28,AE17)</f>
        <v>3.3223709369024856</v>
      </c>
      <c r="AG17" s="160">
        <f>Design!$D$6/3</f>
        <v>0.83333333333333337</v>
      </c>
      <c r="AH17" s="160">
        <f ca="1">FORECAST(AG17, OFFSET(Design!$C$15:$C$17,MATCH(AG17,Design!$B$15:$B$17,1)-1,0,2), OFFSET(Design!$B$15:$B$17,MATCH(AG17,Design!$B$15:$B$17,1)-1,0,2))+(AQ17-25)*Design!$B$18/1000</f>
        <v>0.30050666267377607</v>
      </c>
      <c r="AI17" s="238">
        <f ca="1">IF(100*(Design!$C$28+AH17+AG17*IF(ISBLANK(Design!$B$40),Constants!$C$6,Design!$B$40)/1000*(1+Constants!$C$31/100*(AR17-25)))/($B17+AH17-AG17*AS17/1000)&gt;Design!$C$35,Design!$C$35,100*(Design!$C$28+AH17+AG17*IF(ISBLANK(Design!$B$40),Constants!$C$6,Design!$B$40)/1000*(1+Constants!$C$31/100*(AR17-25)))/($B17+AH17-AG17*AS17/1000))</f>
        <v>38.681828338240464</v>
      </c>
      <c r="AJ17" s="161">
        <f ca="1">IF(($B17-AG17*IF(ISBLANK(Design!$B$40),Constants!$C$6,Design!$B$40)/1000*(1+Constants!$C$31/100*(AR17-25))-Design!$C$28)/(IF(ISBLANK(Design!$B$39),Design!$B$38,Design!$B$39)/1000000)*AI17/100/(IF(ISBLANK(Design!$B$32),Design!$B$31,Design!$B$32)*1000000)&lt;0,0,($B17-AG17*IF(ISBLANK(Design!$B$40),Constants!$C$6,Design!$B$40)/1000*(1+Constants!$C$31/100*(AR17-25))-Design!$C$28)/(IF(ISBLANK(Design!$B$39),Design!$B$38,Design!$B$39)/1000000)*AI17/100/(IF(ISBLANK(Design!$B$32),Design!$B$31,Design!$B$32)*1000000))</f>
        <v>0.24659224458118681</v>
      </c>
      <c r="AK17" s="239">
        <f>$B17*Constants!$C$18/1000+IF(ISBLANK(Design!$B$32),Design!$B$31,Design!$B$32)*1000000*Constants!$D$22/1000000000*($B17-Constants!$C$21)</f>
        <v>3.7216875000000003E-2</v>
      </c>
      <c r="AL17" s="239">
        <f>$B17*AG17*($B17/(Constants!$C$23*1000000000)*IF(ISBLANK(Design!$B$32),Design!$B$31,Design!$B$32)*1000000/2+$B17/(Constants!$C$24*1000000000)*IF(ISBLANK(Design!$B$32),Design!$B$31,Design!$B$32)*1000000/2)</f>
        <v>1.9523516348209629E-2</v>
      </c>
      <c r="AM17" s="239">
        <f t="shared" ca="1" si="3"/>
        <v>4.3818978988834974E-2</v>
      </c>
      <c r="AN17" s="239">
        <f>Constants!$D$22/1000000000*Constants!$C$21*IF(ISBLANK(Design!$B$32),Design!$B$31,Design!$B$32)*1000000</f>
        <v>1.0624999999999999E-2</v>
      </c>
      <c r="AO17" s="239">
        <f t="shared" ca="1" si="11"/>
        <v>0.11118437033704459</v>
      </c>
      <c r="AP17" s="239">
        <f t="shared" ca="1" si="9"/>
        <v>0.15355432606110891</v>
      </c>
      <c r="AQ17" s="240">
        <f ca="1">$A17+AP17*Design!$B$19</f>
        <v>93.752596585483204</v>
      </c>
      <c r="AR17" s="240">
        <f ca="1">AO17*Design!$C$12+$A17</f>
        <v>88.780268591459517</v>
      </c>
      <c r="AS17" s="240">
        <f ca="1">Constants!$D$19+Constants!$D$19*Constants!$C$20/100*(AR17-25)</f>
        <v>161.94227768331422</v>
      </c>
      <c r="AT17" s="239">
        <f ca="1">(1-Constants!$C$17/1000000000*Design!$B$32*1000000) * ($B17+AH17-AG17*AS17/1000) - (AH17+AG17*(1+($A17-25)*Constants!$C$31/100)*IF(ISBLANK(Design!$B$40),Constants!$C$6/1000,Design!$B$40/1000))</f>
        <v>8.7447828577682216</v>
      </c>
      <c r="AU17" s="161">
        <f ca="1">IF(AT17&gt;Design!$C$28,Design!$C$28,AT17)</f>
        <v>3.3223709369024856</v>
      </c>
    </row>
    <row r="18" spans="1:47" s="162" customFormat="1" ht="12.75" customHeight="1" x14ac:dyDescent="0.25">
      <c r="A18" s="154">
        <f>Design!$D$13</f>
        <v>85</v>
      </c>
      <c r="B18" s="155">
        <f t="shared" si="0"/>
        <v>9.1300000000000008</v>
      </c>
      <c r="C18" s="156">
        <f>Design!$D$6</f>
        <v>2.5</v>
      </c>
      <c r="D18" s="156">
        <f ca="1">FORECAST(C18, OFFSET(Design!$C$15:$C$17,MATCH(C18,Design!$B$15:$B$17,1)-1,0,2), OFFSET(Design!$B$15:$B$17,MATCH(C18,Design!$B$15:$B$17,1)-1,0,2))+(M18-25)*Design!$B$18/1000</f>
        <v>0.38131248394436779</v>
      </c>
      <c r="E18" s="215">
        <f ca="1">IF(100*(Design!$C$28+D18+C18*IF(ISBLANK(Design!$B$40),Constants!$C$6,Design!$B$40)/1000*(1+Constants!$C$31/100*(N18-25)))/($B18+D18-C18*O18/1000)&gt;Design!$C$35,Design!$C$35,100*(Design!$C$28+D18+C18*IF(ISBLANK(Design!$B$40),Constants!$C$6,Design!$B$40)/1000*(1+Constants!$C$31/100*(N18-25)))/($B18+D18-C18*O18/1000))</f>
        <v>42.603567675755293</v>
      </c>
      <c r="F18" s="157">
        <f ca="1">IF(($B18-C18*IF(ISBLANK(Design!$B$40),Constants!$C$6,Design!$B$40)/1000*(1+Constants!$C$31/100*(N18-25))-Design!$C$28)/(IF(ISBLANK(Design!$B$39),Design!$B$38,Design!$B$39)/1000000)*E18/100/(IF(ISBLANK(Design!$B$32),Design!$B$31,Design!$B$32)*1000000)&lt;0, 0, ($B18-C18*IF(ISBLANK(Design!$B$40),Constants!$C$6,Design!$B$40)/1000*(1+Constants!$C$31/100*(N18-25))-Design!$C$28)/(IF(ISBLANK(Design!$B$39),Design!$B$38,Design!$B$39)/1000000)*E18/100/(IF(ISBLANK(Design!$B$32),Design!$B$31,Design!$B$32)*1000000))</f>
        <v>0.25715800724917831</v>
      </c>
      <c r="G18" s="207">
        <f>B18*Constants!$C$18/1000+IF(ISBLANK(Design!$B$32),Design!$B$31,Design!$B$32)*1000000*Constants!$D$22/1000000000*(B18-Constants!$C$21)</f>
        <v>3.6166250000000004E-2</v>
      </c>
      <c r="H18" s="207">
        <f>B18*C18*(B18/(Constants!$C$23*1000000000)*IF(ISBLANK(Design!$B$32),Design!$B$31,Design!$B$32)*1000000/2+B18/(Constants!$C$24*1000000000)*IF(ISBLANK(Design!$B$32),Design!$B$31,Design!$B$32)*1000000/2)</f>
        <v>5.6026333957598901E-2</v>
      </c>
      <c r="I18" s="207">
        <f t="shared" ca="1" si="1"/>
        <v>0.46182938823570335</v>
      </c>
      <c r="J18" s="207">
        <f>Constants!$D$22/1000000000*Constants!$C$21*IF(ISBLANK(Design!$B$32),Design!$B$31,Design!$B$32)*1000000</f>
        <v>1.0624999999999999E-2</v>
      </c>
      <c r="K18" s="207">
        <f t="shared" ca="1" si="4"/>
        <v>0.56464697219330229</v>
      </c>
      <c r="L18" s="207">
        <f t="shared" ca="1" si="5"/>
        <v>0.54714940447756377</v>
      </c>
      <c r="M18" s="208">
        <f ca="1">A18+L18*Design!$B$19</f>
        <v>116.18751605522114</v>
      </c>
      <c r="N18" s="208">
        <f ca="1">K18*Design!$C$12+A18</f>
        <v>104.19799705457228</v>
      </c>
      <c r="O18" s="208">
        <f ca="1">Constants!$D$19+Constants!$D$19*Constants!$C$20/100*(N18-25)</f>
        <v>173.2897258321652</v>
      </c>
      <c r="P18" s="207">
        <f ca="1">(1-Constants!$C$17/1000000000*Design!$B$32*1000000) * ($B18+D18-C18*O18/1000) - (D18+C18*(1+($A18-25)*Constants!$C$31/100)*IF(ISBLANK(Design!$B$40),Constants!$C$6/1000,Design!$B$40/1000))</f>
        <v>8.1564819382216207</v>
      </c>
      <c r="Q18" s="213">
        <f ca="1">IF(P18&gt;Design!$C$28,Design!$C$28,P18)</f>
        <v>3.3223709369024856</v>
      </c>
      <c r="R18" s="223">
        <f>2*Design!$D$6/3</f>
        <v>1.6666666666666667</v>
      </c>
      <c r="S18" s="158">
        <f ca="1">FORECAST(R18, OFFSET(Design!$C$15:$C$17,MATCH(R18,Design!$B$15:$B$17,1)-1,0,2), OFFSET(Design!$B$15:$B$17,MATCH(R18,Design!$B$15:$B$17,1)-1,0,2))+(AB18-25)*Design!$B$18/1000</f>
        <v>0.35424618426472049</v>
      </c>
      <c r="T18" s="224">
        <f ca="1">IF(100*(Design!$C$28+S18+R18*IF(ISBLANK(Design!$B$40),Constants!$C$6,Design!$B$40)/1000*(1+Constants!$C$31/100*(AC18-25)))/($B18+S18-R18*AD18/1000)&gt;Design!$C$35,Design!$C$35,100*(Design!$C$28+S18+R18*IF(ISBLANK(Design!$B$40),Constants!$C$6,Design!$B$40)/1000*(1+Constants!$C$31/100*(AC18-25)))/($B18+S18-R18*AD18/1000))</f>
        <v>41.082038750748829</v>
      </c>
      <c r="U18" s="159">
        <f ca="1">IF(($B18-R18*IF(ISBLANK(Design!$B$40),Constants!$C$6,Design!$B$40)/1000*(1+Constants!$C$31/100*(AC18-25))-Design!$C$28)/(Design!$B$39/1000000)*T18/100/(IF(ISBLANK(IF(ISBLANK(Design!$B$39),Design!$B$38,Design!$B$39)),Design!$B$31,Design!$B$32)*1000000)&lt;0,0,($B18-R18*IF(ISBLANK(Design!$B$40),Constants!$C$6,Design!$B$40)/1000*(1+Constants!$C$31/100*(AC18-25))-Design!$C$28)/(IF(ISBLANK(Design!$B$39),Design!$B$38,Design!$B$39)/1000000)*T18/100/(IF(ISBLANK(Design!$B$32),Design!$B$31,Design!$B$32)*1000000))</f>
        <v>0.25051674741734697</v>
      </c>
      <c r="V18" s="225">
        <f>$B18*Constants!$C$18/1000+IF(ISBLANK(Design!$B$32),Design!$B$31,Design!$B$32)*1000000*Constants!$D$22/1000000000*($B18-Constants!$C$21)</f>
        <v>3.6166250000000004E-2</v>
      </c>
      <c r="W18" s="225">
        <f>$B18*R18*($B18/(Constants!$C$23*1000000000)*IF(ISBLANK(Design!$B$32),Design!$B$31,Design!$B$32)*1000000/2+$B18/(Constants!$C$24*1000000000)*IF(ISBLANK(Design!$B$32),Design!$B$31,Design!$B$32)*1000000/2)</f>
        <v>3.7350889305065936E-2</v>
      </c>
      <c r="X18" s="225">
        <f t="shared" ca="1" si="2"/>
        <v>0.18980802959573462</v>
      </c>
      <c r="Y18" s="225">
        <f>Constants!$D$22/1000000000*Constants!$C$21*IF(ISBLANK(Design!$B$32),Design!$B$31,Design!$B$32)*1000000</f>
        <v>1.0624999999999999E-2</v>
      </c>
      <c r="Z18" s="225">
        <f t="shared" ca="1" si="10"/>
        <v>0.27395016890080054</v>
      </c>
      <c r="AA18" s="225">
        <f t="shared" ca="1" si="7"/>
        <v>0.34785771595339821</v>
      </c>
      <c r="AB18" s="226">
        <f ca="1">$A18+AA18*Design!$B$19</f>
        <v>104.8278898093437</v>
      </c>
      <c r="AC18" s="226">
        <f ca="1">Z18*Design!$C$12+$A18</f>
        <v>94.314305742627212</v>
      </c>
      <c r="AD18" s="226">
        <f ca="1">Constants!$D$19+Constants!$D$19*Constants!$C$20/100*(AC18-25)</f>
        <v>166.01532902657362</v>
      </c>
      <c r="AE18" s="225">
        <f ca="1">(1-Constants!$C$17/1000000000*Design!$B$32*1000000) * ($B18+S18-R18*AD18/1000) - (S18+R18*(1+($A18-25)*Constants!$C$31/100)*IF(ISBLANK(Design!$B$40),Constants!$C$6/1000,Design!$B$40/1000))</f>
        <v>8.359003407930512</v>
      </c>
      <c r="AF18" s="159">
        <f ca="1">IF(AE18&gt;Design!$C$28,Design!$C$28,AE18)</f>
        <v>3.3223709369024856</v>
      </c>
      <c r="AG18" s="160">
        <f>Design!$D$6/3</f>
        <v>0.83333333333333337</v>
      </c>
      <c r="AH18" s="160">
        <f ca="1">FORECAST(AG18, OFFSET(Design!$C$15:$C$17,MATCH(AG18,Design!$B$15:$B$17,1)-1,0,2), OFFSET(Design!$B$15:$B$17,MATCH(AG18,Design!$B$15:$B$17,1)-1,0,2))+(AQ18-25)*Design!$B$18/1000</f>
        <v>0.3006251184793895</v>
      </c>
      <c r="AI18" s="238">
        <f ca="1">IF(100*(Design!$C$28+AH18+AG18*IF(ISBLANK(Design!$B$40),Constants!$C$6,Design!$B$40)/1000*(1+Constants!$C$31/100*(AR18-25)))/($B18+AH18-AG18*AS18/1000)&gt;Design!$C$35,Design!$C$35,100*(Design!$C$28+AH18+AG18*IF(ISBLANK(Design!$B$40),Constants!$C$6,Design!$B$40)/1000*(1+Constants!$C$31/100*(AR18-25)))/($B18+AH18-AG18*AS18/1000))</f>
        <v>39.535529912206506</v>
      </c>
      <c r="AJ18" s="161">
        <f ca="1">IF(($B18-AG18*IF(ISBLANK(Design!$B$40),Constants!$C$6,Design!$B$40)/1000*(1+Constants!$C$31/100*(AR18-25))-Design!$C$28)/(IF(ISBLANK(Design!$B$39),Design!$B$38,Design!$B$39)/1000000)*AI18/100/(IF(ISBLANK(Design!$B$32),Design!$B$31,Design!$B$32)*1000000)&lt;0,0,($B18-AG18*IF(ISBLANK(Design!$B$40),Constants!$C$6,Design!$B$40)/1000*(1+Constants!$C$31/100*(AR18-25))-Design!$C$28)/(IF(ISBLANK(Design!$B$39),Design!$B$38,Design!$B$39)/1000000)*AI18/100/(IF(ISBLANK(Design!$B$32),Design!$B$31,Design!$B$32)*1000000))</f>
        <v>0.24336649982047748</v>
      </c>
      <c r="AK18" s="239">
        <f>$B18*Constants!$C$18/1000+IF(ISBLANK(Design!$B$32),Design!$B$31,Design!$B$32)*1000000*Constants!$D$22/1000000000*($B18-Constants!$C$21)</f>
        <v>3.6166250000000004E-2</v>
      </c>
      <c r="AL18" s="239">
        <f>$B18*AG18*($B18/(Constants!$C$23*1000000000)*IF(ISBLANK(Design!$B$32),Design!$B$31,Design!$B$32)*1000000/2+$B18/(Constants!$C$24*1000000000)*IF(ISBLANK(Design!$B$32),Design!$B$31,Design!$B$32)*1000000/2)</f>
        <v>1.8675444652532968E-2</v>
      </c>
      <c r="AM18" s="239">
        <f t="shared" ca="1" si="3"/>
        <v>4.4771074387448893E-2</v>
      </c>
      <c r="AN18" s="239">
        <f>Constants!$D$22/1000000000*Constants!$C$21*IF(ISBLANK(Design!$B$32),Design!$B$31,Design!$B$32)*1000000</f>
        <v>1.0624999999999999E-2</v>
      </c>
      <c r="AO18" s="239">
        <f t="shared" ca="1" si="11"/>
        <v>0.11023776903998186</v>
      </c>
      <c r="AP18" s="239">
        <f t="shared" ca="1" si="9"/>
        <v>0.15147615403280354</v>
      </c>
      <c r="AQ18" s="240">
        <f ca="1">$A18+AP18*Design!$B$19</f>
        <v>93.634140779869796</v>
      </c>
      <c r="AR18" s="240">
        <f ca="1">AO18*Design!$C$12+$A18</f>
        <v>88.748084147359378</v>
      </c>
      <c r="AS18" s="240">
        <f ca="1">Constants!$D$19+Constants!$D$19*Constants!$C$20/100*(AR18-25)</f>
        <v>161.91858993245651</v>
      </c>
      <c r="AT18" s="239">
        <f ca="1">(1-Constants!$C$17/1000000000*Design!$B$32*1000000) * ($B18+AH18-AG18*AS18/1000) - (AH18+AG18*(1+($A18-25)*Constants!$C$31/100)*IF(ISBLANK(Design!$B$40),Constants!$C$6/1000,Design!$B$40/1000))</f>
        <v>8.5485092242476881</v>
      </c>
      <c r="AU18" s="161">
        <f ca="1">IF(AT18&gt;Design!$C$28,Design!$C$28,AT18)</f>
        <v>3.3223709369024856</v>
      </c>
    </row>
    <row r="19" spans="1:47" s="162" customFormat="1" ht="12.75" customHeight="1" x14ac:dyDescent="0.25">
      <c r="A19" s="154">
        <f>Design!$D$13</f>
        <v>85</v>
      </c>
      <c r="B19" s="155">
        <f t="shared" si="0"/>
        <v>8.9250000000000007</v>
      </c>
      <c r="C19" s="156">
        <f>Design!$D$6</f>
        <v>2.5</v>
      </c>
      <c r="D19" s="156">
        <f ca="1">FORECAST(C19, OFFSET(Design!$C$15:$C$17,MATCH(C19,Design!$B$15:$B$17,1)-1,0,2), OFFSET(Design!$B$15:$B$17,MATCH(C19,Design!$B$15:$B$17,1)-1,0,2))+(M19-25)*Design!$B$18/1000</f>
        <v>0.38181104885445366</v>
      </c>
      <c r="E19" s="215">
        <f ca="1">IF(100*(Design!$C$28+D19+C19*IF(ISBLANK(Design!$B$40),Constants!$C$6,Design!$B$40)/1000*(1+Constants!$C$31/100*(N19-25)))/($B19+D19-C19*O19/1000)&gt;Design!$C$35,Design!$C$35,100*(Design!$C$28+D19+C19*IF(ISBLANK(Design!$B$40),Constants!$C$6,Design!$B$40)/1000*(1+Constants!$C$31/100*(N19-25)))/($B19+D19-C19*O19/1000))</f>
        <v>43.594858945488049</v>
      </c>
      <c r="F19" s="157">
        <f ca="1">IF(($B19-C19*IF(ISBLANK(Design!$B$40),Constants!$C$6,Design!$B$40)/1000*(1+Constants!$C$31/100*(N19-25))-Design!$C$28)/(IF(ISBLANK(Design!$B$39),Design!$B$38,Design!$B$39)/1000000)*E19/100/(IF(ISBLANK(Design!$B$32),Design!$B$31,Design!$B$32)*1000000)&lt;0, 0, ($B19-C19*IF(ISBLANK(Design!$B$40),Constants!$C$6,Design!$B$40)/1000*(1+Constants!$C$31/100*(N19-25))-Design!$C$28)/(IF(ISBLANK(Design!$B$39),Design!$B$38,Design!$B$39)/1000000)*E19/100/(IF(ISBLANK(Design!$B$32),Design!$B$31,Design!$B$32)*1000000))</f>
        <v>0.25357726277590814</v>
      </c>
      <c r="G19" s="207">
        <f>B19*Constants!$C$18/1000+IF(ISBLANK(Design!$B$32),Design!$B$31,Design!$B$32)*1000000*Constants!$D$22/1000000000*(B19-Constants!$C$21)</f>
        <v>3.5115625000000004E-2</v>
      </c>
      <c r="H19" s="207">
        <f>B19*C19*(B19/(Constants!$C$23*1000000000)*IF(ISBLANK(Design!$B$32),Design!$B$31,Design!$B$32)*1000000/2+B19/(Constants!$C$24*1000000000)*IF(ISBLANK(Design!$B$32),Design!$B$31,Design!$B$32)*1000000/2)</f>
        <v>5.3538611055008817E-2</v>
      </c>
      <c r="I19" s="207">
        <f t="shared" ca="1" si="1"/>
        <v>0.47309064632555309</v>
      </c>
      <c r="J19" s="207">
        <f>Constants!$D$22/1000000000*Constants!$C$21*IF(ISBLANK(Design!$B$32),Design!$B$31,Design!$B$32)*1000000</f>
        <v>1.0624999999999999E-2</v>
      </c>
      <c r="K19" s="207">
        <f t="shared" ca="1" si="4"/>
        <v>0.57236988238056197</v>
      </c>
      <c r="L19" s="207">
        <f t="shared" ca="1" si="5"/>
        <v>0.53840265167016532</v>
      </c>
      <c r="M19" s="208">
        <f ca="1">A19+L19*Design!$B$19</f>
        <v>115.68895114519943</v>
      </c>
      <c r="N19" s="208">
        <f ca="1">K19*Design!$C$12+A19</f>
        <v>104.46057600093911</v>
      </c>
      <c r="O19" s="208">
        <f ca="1">Constants!$D$19+Constants!$D$19*Constants!$C$20/100*(N19-25)</f>
        <v>173.4829839366912</v>
      </c>
      <c r="P19" s="207">
        <f ca="1">(1-Constants!$C$17/1000000000*Design!$B$32*1000000) * ($B19+D19-C19*O19/1000) - (D19+C19*(1+($A19-25)*Constants!$C$31/100)*IF(ISBLANK(Design!$B$40),Constants!$C$6/1000,Design!$B$40/1000))</f>
        <v>7.959710637625232</v>
      </c>
      <c r="Q19" s="213">
        <f ca="1">IF(P19&gt;Design!$C$28,Design!$C$28,P19)</f>
        <v>3.3223709369024856</v>
      </c>
      <c r="R19" s="223">
        <f>2*Design!$D$6/3</f>
        <v>1.6666666666666667</v>
      </c>
      <c r="S19" s="158">
        <f ca="1">FORECAST(R19, OFFSET(Design!$C$15:$C$17,MATCH(R19,Design!$B$15:$B$17,1)-1,0,2), OFFSET(Design!$B$15:$B$17,MATCH(R19,Design!$B$15:$B$17,1)-1,0,2))+(AB19-25)*Design!$B$18/1000</f>
        <v>0.35454535690497713</v>
      </c>
      <c r="T19" s="224">
        <f ca="1">IF(100*(Design!$C$28+S19+R19*IF(ISBLANK(Design!$B$40),Constants!$C$6,Design!$B$40)/1000*(1+Constants!$C$31/100*(AC19-25)))/($B19+S19-R19*AD19/1000)&gt;Design!$C$35,Design!$C$35,100*(Design!$C$28+S19+R19*IF(ISBLANK(Design!$B$40),Constants!$C$6,Design!$B$40)/1000*(1+Constants!$C$31/100*(AC19-25)))/($B19+S19-R19*AD19/1000))</f>
        <v>42.019987039278227</v>
      </c>
      <c r="U19" s="159">
        <f ca="1">IF(($B19-R19*IF(ISBLANK(Design!$B$40),Constants!$C$6,Design!$B$40)/1000*(1+Constants!$C$31/100*(AC19-25))-Design!$C$28)/(Design!$B$39/1000000)*T19/100/(IF(ISBLANK(IF(ISBLANK(Design!$B$39),Design!$B$38,Design!$B$39)),Design!$B$31,Design!$B$32)*1000000)&lt;0,0,($B19-R19*IF(ISBLANK(Design!$B$40),Constants!$C$6,Design!$B$40)/1000*(1+Constants!$C$31/100*(AC19-25))-Design!$C$28)/(IF(ISBLANK(Design!$B$39),Design!$B$38,Design!$B$39)/1000000)*T19/100/(IF(ISBLANK(Design!$B$32),Design!$B$31,Design!$B$32)*1000000))</f>
        <v>0.24702255074524471</v>
      </c>
      <c r="V19" s="225">
        <f>$B19*Constants!$C$18/1000+IF(ISBLANK(Design!$B$32),Design!$B$31,Design!$B$32)*1000000*Constants!$D$22/1000000000*($B19-Constants!$C$21)</f>
        <v>3.5115625000000004E-2</v>
      </c>
      <c r="W19" s="225">
        <f>$B19*R19*($B19/(Constants!$C$23*1000000000)*IF(ISBLANK(Design!$B$32),Design!$B$31,Design!$B$32)*1000000/2+$B19/(Constants!$C$24*1000000000)*IF(ISBLANK(Design!$B$32),Design!$B$31,Design!$B$32)*1000000/2)</f>
        <v>3.5692407370005882E-2</v>
      </c>
      <c r="X19" s="225">
        <f t="shared" ca="1" si="2"/>
        <v>0.19418011202145161</v>
      </c>
      <c r="Y19" s="225">
        <f>Constants!$D$22/1000000000*Constants!$C$21*IF(ISBLANK(Design!$B$32),Design!$B$31,Design!$B$32)*1000000</f>
        <v>1.0624999999999999E-2</v>
      </c>
      <c r="Z19" s="225">
        <f t="shared" ca="1" si="10"/>
        <v>0.27561314439145745</v>
      </c>
      <c r="AA19" s="225">
        <f t="shared" ca="1" si="7"/>
        <v>0.34260907314190503</v>
      </c>
      <c r="AB19" s="226">
        <f ca="1">$A19+AA19*Design!$B$19</f>
        <v>104.52871716908859</v>
      </c>
      <c r="AC19" s="226">
        <f ca="1">Z19*Design!$C$12+$A19</f>
        <v>94.370846909309549</v>
      </c>
      <c r="AD19" s="226">
        <f ca="1">Constants!$D$19+Constants!$D$19*Constants!$C$20/100*(AC19-25)</f>
        <v>166.05694332525184</v>
      </c>
      <c r="AE19" s="225">
        <f ca="1">(1-Constants!$C$17/1000000000*Design!$B$32*1000000) * ($B19+S19-R19*AD19/1000) - (S19+R19*(1+($A19-25)*Constants!$C$31/100)*IF(ISBLANK(Design!$B$40),Constants!$C$6/1000,Design!$B$40/1000))</f>
        <v>8.162636783608324</v>
      </c>
      <c r="AF19" s="159">
        <f ca="1">IF(AE19&gt;Design!$C$28,Design!$C$28,AE19)</f>
        <v>3.3223709369024856</v>
      </c>
      <c r="AG19" s="160">
        <f>Design!$D$6/3</f>
        <v>0.83333333333333337</v>
      </c>
      <c r="AH19" s="160">
        <f ca="1">FORECAST(AG19, OFFSET(Design!$C$15:$C$17,MATCH(AG19,Design!$B$15:$B$17,1)-1,0,2), OFFSET(Design!$B$15:$B$17,MATCH(AG19,Design!$B$15:$B$17,1)-1,0,2))+(AQ19-25)*Design!$B$18/1000</f>
        <v>0.30074901920552677</v>
      </c>
      <c r="AI19" s="238">
        <f ca="1">IF(100*(Design!$C$28+AH19+AG19*IF(ISBLANK(Design!$B$40),Constants!$C$6,Design!$B$40)/1000*(1+Constants!$C$31/100*(AR19-25)))/($B19+AH19-AG19*AS19/1000)&gt;Design!$C$35,Design!$C$35,100*(Design!$C$28+AH19+AG19*IF(ISBLANK(Design!$B$40),Constants!$C$6,Design!$B$40)/1000*(1+Constants!$C$31/100*(AR19-25)))/($B19+AH19-AG19*AS19/1000))</f>
        <v>40.427753023794644</v>
      </c>
      <c r="AJ19" s="161">
        <f ca="1">IF(($B19-AG19*IF(ISBLANK(Design!$B$40),Constants!$C$6,Design!$B$40)/1000*(1+Constants!$C$31/100*(AR19-25))-Design!$C$28)/(IF(ISBLANK(Design!$B$39),Design!$B$38,Design!$B$39)/1000000)*AI19/100/(IF(ISBLANK(Design!$B$32),Design!$B$31,Design!$B$32)*1000000)&lt;0,0,($B19-AG19*IF(ISBLANK(Design!$B$40),Constants!$C$6,Design!$B$40)/1000*(1+Constants!$C$31/100*(AR19-25))-Design!$C$28)/(IF(ISBLANK(Design!$B$39),Design!$B$38,Design!$B$39)/1000000)*AI19/100/(IF(ISBLANK(Design!$B$32),Design!$B$31,Design!$B$32)*1000000))</f>
        <v>0.23999507839072023</v>
      </c>
      <c r="AK19" s="239">
        <f>$B19*Constants!$C$18/1000+IF(ISBLANK(Design!$B$32),Design!$B$31,Design!$B$32)*1000000*Constants!$D$22/1000000000*($B19-Constants!$C$21)</f>
        <v>3.5115625000000004E-2</v>
      </c>
      <c r="AL19" s="239">
        <f>$B19*AG19*($B19/(Constants!$C$23*1000000000)*IF(ISBLANK(Design!$B$32),Design!$B$31,Design!$B$32)*1000000/2+$B19/(Constants!$C$24*1000000000)*IF(ISBLANK(Design!$B$32),Design!$B$31,Design!$B$32)*1000000/2)</f>
        <v>1.7846203685002941E-2</v>
      </c>
      <c r="AM19" s="239">
        <f t="shared" ca="1" si="3"/>
        <v>4.5766303835612927E-2</v>
      </c>
      <c r="AN19" s="239">
        <f>Constants!$D$22/1000000000*Constants!$C$21*IF(ISBLANK(Design!$B$32),Design!$B$31,Design!$B$32)*1000000</f>
        <v>1.0624999999999999E-2</v>
      </c>
      <c r="AO19" s="239">
        <f t="shared" ca="1" si="11"/>
        <v>0.10935313252061588</v>
      </c>
      <c r="AP19" s="239">
        <f t="shared" ca="1" si="9"/>
        <v>0.14930245708302642</v>
      </c>
      <c r="AQ19" s="240">
        <f ca="1">$A19+AP19*Design!$B$19</f>
        <v>93.510240053732502</v>
      </c>
      <c r="AR19" s="240">
        <f ca="1">AO19*Design!$C$12+$A19</f>
        <v>88.718006505700941</v>
      </c>
      <c r="AS19" s="240">
        <f ca="1">Constants!$D$19+Constants!$D$19*Constants!$C$20/100*(AR19-25)</f>
        <v>161.89645278819592</v>
      </c>
      <c r="AT19" s="239">
        <f ca="1">(1-Constants!$C$17/1000000000*Design!$B$32*1000000) * ($B19+AH19-AG19*AS19/1000) - (AH19+AG19*(1+($A19-25)*Constants!$C$31/100)*IF(ISBLANK(Design!$B$40),Constants!$C$6/1000,Design!$B$40/1000))</f>
        <v>8.3522341220631855</v>
      </c>
      <c r="AU19" s="161">
        <f ca="1">IF(AT19&gt;Design!$C$28,Design!$C$28,AT19)</f>
        <v>3.3223709369024856</v>
      </c>
    </row>
    <row r="20" spans="1:47" s="162" customFormat="1" ht="12.75" customHeight="1" x14ac:dyDescent="0.25">
      <c r="A20" s="154">
        <f>Design!$D$13</f>
        <v>85</v>
      </c>
      <c r="B20" s="155">
        <f t="shared" si="0"/>
        <v>8.7200000000000006</v>
      </c>
      <c r="C20" s="156">
        <f>Design!$D$6</f>
        <v>2.5</v>
      </c>
      <c r="D20" s="156">
        <f ca="1">FORECAST(C20, OFFSET(Design!$C$15:$C$17,MATCH(C20,Design!$B$15:$B$17,1)-1,0,2), OFFSET(Design!$B$15:$B$17,MATCH(C20,Design!$B$15:$B$17,1)-1,0,2))+(M20-25)*Design!$B$18/1000</f>
        <v>0.3823348410564934</v>
      </c>
      <c r="E20" s="215">
        <f ca="1">IF(100*(Design!$C$28+D20+C20*IF(ISBLANK(Design!$B$40),Constants!$C$6,Design!$B$40)/1000*(1+Constants!$C$31/100*(N20-25)))/($B20+D20-C20*O20/1000)&gt;Design!$C$35,Design!$C$35,100*(Design!$C$28+D20+C20*IF(ISBLANK(Design!$B$40),Constants!$C$6,Design!$B$40)/1000*(1+Constants!$C$31/100*(N20-25)))/($B20+D20-C20*O20/1000))</f>
        <v>44.633524548179807</v>
      </c>
      <c r="F20" s="157">
        <f ca="1">IF(($B20-C20*IF(ISBLANK(Design!$B$40),Constants!$C$6,Design!$B$40)/1000*(1+Constants!$C$31/100*(N20-25))-Design!$C$28)/(IF(ISBLANK(Design!$B$39),Design!$B$38,Design!$B$39)/1000000)*E20/100/(IF(ISBLANK(Design!$B$32),Design!$B$31,Design!$B$32)*1000000)&lt;0, 0, ($B20-C20*IF(ISBLANK(Design!$B$40),Constants!$C$6,Design!$B$40)/1000*(1+Constants!$C$31/100*(N20-25))-Design!$C$28)/(IF(ISBLANK(Design!$B$39),Design!$B$38,Design!$B$39)/1000000)*E20/100/(IF(ISBLANK(Design!$B$32),Design!$B$31,Design!$B$32)*1000000))</f>
        <v>0.24982621939578378</v>
      </c>
      <c r="G20" s="207">
        <f>B20*Constants!$C$18/1000+IF(ISBLANK(Design!$B$32),Design!$B$31,Design!$B$32)*1000000*Constants!$D$22/1000000000*(B20-Constants!$C$21)</f>
        <v>3.4065000000000005E-2</v>
      </c>
      <c r="H20" s="207">
        <f>B20*C20*(B20/(Constants!$C$23*1000000000)*IF(ISBLANK(Design!$B$32),Design!$B$31,Design!$B$32)*1000000/2+B20/(Constants!$C$24*1000000000)*IF(ISBLANK(Design!$B$32),Design!$B$31,Design!$B$32)*1000000/2)</f>
        <v>5.1107380336858597E-2</v>
      </c>
      <c r="I20" s="207">
        <f t="shared" ca="1" si="1"/>
        <v>0.48493423465339947</v>
      </c>
      <c r="J20" s="207">
        <f>Constants!$D$22/1000000000*Constants!$C$21*IF(ISBLANK(Design!$B$32),Design!$B$31,Design!$B$32)*1000000</f>
        <v>1.0624999999999999E-2</v>
      </c>
      <c r="K20" s="207">
        <f t="shared" ca="1" si="4"/>
        <v>0.58073161499025805</v>
      </c>
      <c r="L20" s="207">
        <f t="shared" ca="1" si="5"/>
        <v>0.52921331479324785</v>
      </c>
      <c r="M20" s="208">
        <f ca="1">A20+L20*Design!$B$19</f>
        <v>115.16515894321512</v>
      </c>
      <c r="N20" s="208">
        <f ca="1">K20*Design!$C$12+A20</f>
        <v>104.74487490966877</v>
      </c>
      <c r="O20" s="208">
        <f ca="1">Constants!$D$19+Constants!$D$19*Constants!$C$20/100*(N20-25)</f>
        <v>173.69222793351622</v>
      </c>
      <c r="P20" s="207">
        <f ca="1">(1-Constants!$C$17/1000000000*Design!$B$32*1000000) * ($B20+D20-C20*O20/1000) - (D20+C20*(1+($A20-25)*Constants!$C$31/100)*IF(ISBLANK(Design!$B$40),Constants!$C$6/1000,Design!$B$40/1000))</f>
        <v>7.7628999986392451</v>
      </c>
      <c r="Q20" s="213">
        <f ca="1">IF(P20&gt;Design!$C$28,Design!$C$28,P20)</f>
        <v>3.3223709369024856</v>
      </c>
      <c r="R20" s="223">
        <f>2*Design!$D$6/3</f>
        <v>1.6666666666666667</v>
      </c>
      <c r="S20" s="158">
        <f ca="1">FORECAST(R20, OFFSET(Design!$C$15:$C$17,MATCH(R20,Design!$B$15:$B$17,1)-1,0,2), OFFSET(Design!$B$15:$B$17,MATCH(R20,Design!$B$15:$B$17,1)-1,0,2))+(AB20-25)*Design!$B$18/1000</f>
        <v>0.35485905383610145</v>
      </c>
      <c r="T20" s="224">
        <f ca="1">IF(100*(Design!$C$28+S20+R20*IF(ISBLANK(Design!$B$40),Constants!$C$6,Design!$B$40)/1000*(1+Constants!$C$31/100*(AC20-25)))/($B20+S20-R20*AD20/1000)&gt;Design!$C$35,Design!$C$35,100*(Design!$C$28+S20+R20*IF(ISBLANK(Design!$B$40),Constants!$C$6,Design!$B$40)/1000*(1+Constants!$C$31/100*(AC20-25)))/($B20+S20-R20*AD20/1000))</f>
        <v>43.001772467281178</v>
      </c>
      <c r="U20" s="159">
        <f ca="1">IF(($B20-R20*IF(ISBLANK(Design!$B$40),Constants!$C$6,Design!$B$40)/1000*(1+Constants!$C$31/100*(AC20-25))-Design!$C$28)/(Design!$B$39/1000000)*T20/100/(IF(ISBLANK(IF(ISBLANK(Design!$B$39),Design!$B$38,Design!$B$39)),Design!$B$31,Design!$B$32)*1000000)&lt;0,0,($B20-R20*IF(ISBLANK(Design!$B$40),Constants!$C$6,Design!$B$40)/1000*(1+Constants!$C$31/100*(AC20-25))-Design!$C$28)/(IF(ISBLANK(Design!$B$39),Design!$B$38,Design!$B$39)/1000000)*T20/100/(IF(ISBLANK(Design!$B$32),Design!$B$31,Design!$B$32)*1000000))</f>
        <v>0.24336498931873604</v>
      </c>
      <c r="V20" s="225">
        <f>$B20*Constants!$C$18/1000+IF(ISBLANK(Design!$B$32),Design!$B$31,Design!$B$32)*1000000*Constants!$D$22/1000000000*($B20-Constants!$C$21)</f>
        <v>3.4065000000000005E-2</v>
      </c>
      <c r="W20" s="225">
        <f>$B20*R20*($B20/(Constants!$C$23*1000000000)*IF(ISBLANK(Design!$B$32),Design!$B$31,Design!$B$32)*1000000/2+$B20/(Constants!$C$24*1000000000)*IF(ISBLANK(Design!$B$32),Design!$B$31,Design!$B$32)*1000000/2)</f>
        <v>3.407158689123907E-2</v>
      </c>
      <c r="X20" s="225">
        <f t="shared" ca="1" si="2"/>
        <v>0.1987636599364507</v>
      </c>
      <c r="Y20" s="225">
        <f>Constants!$D$22/1000000000*Constants!$C$21*IF(ISBLANK(Design!$B$32),Design!$B$31,Design!$B$32)*1000000</f>
        <v>1.0624999999999999E-2</v>
      </c>
      <c r="Z20" s="225">
        <f t="shared" ca="1" si="10"/>
        <v>0.27752524682768975</v>
      </c>
      <c r="AA20" s="225">
        <f t="shared" ca="1" si="7"/>
        <v>0.3371056182099238</v>
      </c>
      <c r="AB20" s="226">
        <f ca="1">$A20+AA20*Design!$B$19</f>
        <v>104.21502023796566</v>
      </c>
      <c r="AC20" s="226">
        <f ca="1">Z20*Design!$C$12+$A20</f>
        <v>94.435858392141455</v>
      </c>
      <c r="AD20" s="226">
        <f ca="1">Constants!$D$19+Constants!$D$19*Constants!$C$20/100*(AC20-25)</f>
        <v>166.10479177661611</v>
      </c>
      <c r="AE20" s="225">
        <f ca="1">(1-Constants!$C$17/1000000000*Design!$B$32*1000000) * ($B20+S20-R20*AD20/1000) - (S20+R20*(1+($A20-25)*Constants!$C$31/100)*IF(ISBLANK(Design!$B$40),Constants!$C$6/1000,Design!$B$40/1000))</f>
        <v>7.9662595933351161</v>
      </c>
      <c r="AF20" s="159">
        <f ca="1">IF(AE20&gt;Design!$C$28,Design!$C$28,AE20)</f>
        <v>3.3223709369024856</v>
      </c>
      <c r="AG20" s="160">
        <f>Design!$D$6/3</f>
        <v>0.83333333333333337</v>
      </c>
      <c r="AH20" s="160">
        <f ca="1">FORECAST(AG20, OFFSET(Design!$C$15:$C$17,MATCH(AG20,Design!$B$15:$B$17,1)-1,0,2), OFFSET(Design!$B$15:$B$17,MATCH(AG20,Design!$B$15:$B$17,1)-1,0,2))+(AQ20-25)*Design!$B$18/1000</f>
        <v>0.30087874889544464</v>
      </c>
      <c r="AI20" s="238">
        <f ca="1">IF(100*(Design!$C$28+AH20+AG20*IF(ISBLANK(Design!$B$40),Constants!$C$6,Design!$B$40)/1000*(1+Constants!$C$31/100*(AR20-25)))/($B20+AH20-AG20*AS20/1000)&gt;Design!$C$35,Design!$C$35,100*(Design!$C$28+AH20+AG20*IF(ISBLANK(Design!$B$40),Constants!$C$6,Design!$B$40)/1000*(1+Constants!$C$31/100*(AR20-25)))/($B20+AH20-AG20*AS20/1000))</f>
        <v>41.361163664553068</v>
      </c>
      <c r="AJ20" s="161">
        <f ca="1">IF(($B20-AG20*IF(ISBLANK(Design!$B$40),Constants!$C$6,Design!$B$40)/1000*(1+Constants!$C$31/100*(AR20-25))-Design!$C$28)/(IF(ISBLANK(Design!$B$39),Design!$B$38,Design!$B$39)/1000000)*AI20/100/(IF(ISBLANK(Design!$B$32),Design!$B$31,Design!$B$32)*1000000)&lt;0,0,($B20-AG20*IF(ISBLANK(Design!$B$40),Constants!$C$6,Design!$B$40)/1000*(1+Constants!$C$31/100*(AR20-25))-Design!$C$28)/(IF(ISBLANK(Design!$B$39),Design!$B$38,Design!$B$39)/1000000)*AI20/100/(IF(ISBLANK(Design!$B$32),Design!$B$31,Design!$B$32)*1000000))</f>
        <v>0.23646788334677338</v>
      </c>
      <c r="AK20" s="239">
        <f>$B20*Constants!$C$18/1000+IF(ISBLANK(Design!$B$32),Design!$B$31,Design!$B$32)*1000000*Constants!$D$22/1000000000*($B20-Constants!$C$21)</f>
        <v>3.4065000000000005E-2</v>
      </c>
      <c r="AL20" s="239">
        <f>$B20*AG20*($B20/(Constants!$C$23*1000000000)*IF(ISBLANK(Design!$B$32),Design!$B$31,Design!$B$32)*1000000/2+$B20/(Constants!$C$24*1000000000)*IF(ISBLANK(Design!$B$32),Design!$B$31,Design!$B$32)*1000000/2)</f>
        <v>1.7035793445619535E-2</v>
      </c>
      <c r="AM20" s="239">
        <f t="shared" ca="1" si="3"/>
        <v>4.6807663863775509E-2</v>
      </c>
      <c r="AN20" s="239">
        <f>Constants!$D$22/1000000000*Constants!$C$21*IF(ISBLANK(Design!$B$32),Design!$B$31,Design!$B$32)*1000000</f>
        <v>1.0624999999999999E-2</v>
      </c>
      <c r="AO20" s="239">
        <f t="shared" ca="1" si="11"/>
        <v>0.10853345730939504</v>
      </c>
      <c r="AP20" s="239">
        <f t="shared" ca="1" si="9"/>
        <v>0.14702649761078346</v>
      </c>
      <c r="AQ20" s="240">
        <f ca="1">$A20+AP20*Design!$B$19</f>
        <v>93.380510363814665</v>
      </c>
      <c r="AR20" s="240">
        <f ca="1">AO20*Design!$C$12+$A20</f>
        <v>88.690137548519431</v>
      </c>
      <c r="AS20" s="240">
        <f ca="1">Constants!$D$19+Constants!$D$19*Constants!$C$20/100*(AR20-25)</f>
        <v>161.87594123571031</v>
      </c>
      <c r="AT20" s="239">
        <f ca="1">(1-Constants!$C$17/1000000000*Design!$B$32*1000000) * ($B20+AH20-AG20*AS20/1000) - (AH20+AG20*(1+($A20-25)*Constants!$C$31/100)*IF(ISBLANK(Design!$B$40),Constants!$C$6/1000,Design!$B$40/1000))</f>
        <v>8.1559574750609496</v>
      </c>
      <c r="AU20" s="161">
        <f ca="1">IF(AT20&gt;Design!$C$28,Design!$C$28,AT20)</f>
        <v>3.3223709369024856</v>
      </c>
    </row>
    <row r="21" spans="1:47" s="162" customFormat="1" ht="12.75" customHeight="1" x14ac:dyDescent="0.25">
      <c r="A21" s="154">
        <f>Design!$D$13</f>
        <v>85</v>
      </c>
      <c r="B21" s="155">
        <f t="shared" si="0"/>
        <v>8.5150000000000006</v>
      </c>
      <c r="C21" s="156">
        <f>Design!$D$6</f>
        <v>2.5</v>
      </c>
      <c r="D21" s="156">
        <f ca="1">FORECAST(C21, OFFSET(Design!$C$15:$C$17,MATCH(C21,Design!$B$15:$B$17,1)-1,0,2), OFFSET(Design!$B$15:$B$17,MATCH(C21,Design!$B$15:$B$17,1)-1,0,2))+(M21-25)*Design!$B$18/1000</f>
        <v>0.38288582810115868</v>
      </c>
      <c r="E21" s="215">
        <f ca="1">IF(100*(Design!$C$28+D21+C21*IF(ISBLANK(Design!$B$40),Constants!$C$6,Design!$B$40)/1000*(1+Constants!$C$31/100*(N21-25)))/($B21+D21-C21*O21/1000)&gt;Design!$C$35,Design!$C$35,100*(Design!$C$28+D21+C21*IF(ISBLANK(Design!$B$40),Constants!$C$6,Design!$B$40)/1000*(1+Constants!$C$31/100*(N21-25)))/($B21+D21-C21*O21/1000))</f>
        <v>45.723049819779668</v>
      </c>
      <c r="F21" s="157">
        <f ca="1">IF(($B21-C21*IF(ISBLANK(Design!$B$40),Constants!$C$6,Design!$B$40)/1000*(1+Constants!$C$31/100*(N21-25))-Design!$C$28)/(IF(ISBLANK(Design!$B$39),Design!$B$38,Design!$B$39)/1000000)*E21/100/(IF(ISBLANK(Design!$B$32),Design!$B$31,Design!$B$32)*1000000)&lt;0, 0, ($B21-C21*IF(ISBLANK(Design!$B$40),Constants!$C$6,Design!$B$40)/1000*(1+Constants!$C$31/100*(N21-25))-Design!$C$28)/(IF(ISBLANK(Design!$B$39),Design!$B$38,Design!$B$39)/1000000)*E21/100/(IF(ISBLANK(Design!$B$32),Design!$B$31,Design!$B$32)*1000000))</f>
        <v>0.24589236567434081</v>
      </c>
      <c r="G21" s="207">
        <f>B21*Constants!$C$18/1000+IF(ISBLANK(Design!$B$32),Design!$B$31,Design!$B$32)*1000000*Constants!$D$22/1000000000*(B21-Constants!$C$21)</f>
        <v>3.3014375000000006E-2</v>
      </c>
      <c r="H21" s="207">
        <f>B21*C21*(B21/(Constants!$C$23*1000000000)*IF(ISBLANK(Design!$B$32),Design!$B$31,Design!$B$32)*1000000/2+B21/(Constants!$C$24*1000000000)*IF(ISBLANK(Design!$B$32),Design!$B$31,Design!$B$32)*1000000/2)</f>
        <v>4.8732641803148256E-2</v>
      </c>
      <c r="I21" s="207">
        <f t="shared" ca="1" si="1"/>
        <v>0.49740625669875987</v>
      </c>
      <c r="J21" s="207">
        <f>Constants!$D$22/1000000000*Constants!$C$21*IF(ISBLANK(Design!$B$32),Design!$B$31,Design!$B$32)*1000000</f>
        <v>1.0624999999999999E-2</v>
      </c>
      <c r="K21" s="207">
        <f t="shared" ca="1" si="4"/>
        <v>0.58977827350190815</v>
      </c>
      <c r="L21" s="207">
        <f t="shared" ca="1" si="5"/>
        <v>0.51954687541397493</v>
      </c>
      <c r="M21" s="208">
        <f ca="1">A21+L21*Design!$B$19</f>
        <v>114.61417189859657</v>
      </c>
      <c r="N21" s="208">
        <f ca="1">K21*Design!$C$12+A21</f>
        <v>105.05246129906487</v>
      </c>
      <c r="O21" s="208">
        <f ca="1">Constants!$D$19+Constants!$D$19*Constants!$C$20/100*(N21-25)</f>
        <v>173.91861151611175</v>
      </c>
      <c r="P21" s="207">
        <f ca="1">(1-Constants!$C$17/1000000000*Design!$B$32*1000000) * ($B21+D21-C21*O21/1000) - (D21+C21*(1+($A21-25)*Constants!$C$31/100)*IF(ISBLANK(Design!$B$40),Constants!$C$6/1000,Design!$B$40/1000))</f>
        <v>7.5660471759890093</v>
      </c>
      <c r="Q21" s="213">
        <f ca="1">IF(P21&gt;Design!$C$28,Design!$C$28,P21)</f>
        <v>3.3223709369024856</v>
      </c>
      <c r="R21" s="223">
        <f>2*Design!$D$6/3</f>
        <v>1.6666666666666667</v>
      </c>
      <c r="S21" s="158">
        <f ca="1">FORECAST(R21, OFFSET(Design!$C$15:$C$17,MATCH(R21,Design!$B$15:$B$17,1)-1,0,2), OFFSET(Design!$B$15:$B$17,MATCH(R21,Design!$B$15:$B$17,1)-1,0,2))+(AB21-25)*Design!$B$18/1000</f>
        <v>0.35518835841420604</v>
      </c>
      <c r="T21" s="224">
        <f ca="1">IF(100*(Design!$C$28+S21+R21*IF(ISBLANK(Design!$B$40),Constants!$C$6,Design!$B$40)/1000*(1+Constants!$C$31/100*(AC21-25)))/($B21+S21-R21*AD21/1000)&gt;Design!$C$35,Design!$C$35,100*(Design!$C$28+S21+R21*IF(ISBLANK(Design!$B$40),Constants!$C$6,Design!$B$40)/1000*(1+Constants!$C$31/100*(AC21-25)))/($B21+S21-R21*AD21/1000))</f>
        <v>44.030539786416838</v>
      </c>
      <c r="U21" s="159">
        <f ca="1">IF(($B21-R21*IF(ISBLANK(Design!$B$40),Constants!$C$6,Design!$B$40)/1000*(1+Constants!$C$31/100*(AC21-25))-Design!$C$28)/(Design!$B$39/1000000)*T21/100/(IF(ISBLANK(IF(ISBLANK(Design!$B$39),Design!$B$38,Design!$B$39)),Design!$B$31,Design!$B$32)*1000000)&lt;0,0,($B21-R21*IF(ISBLANK(Design!$B$40),Constants!$C$6,Design!$B$40)/1000*(1+Constants!$C$31/100*(AC21-25))-Design!$C$28)/(IF(ISBLANK(Design!$B$39),Design!$B$38,Design!$B$39)/1000000)*T21/100/(IF(ISBLANK(Design!$B$32),Design!$B$31,Design!$B$32)*1000000))</f>
        <v>0.23953231704258399</v>
      </c>
      <c r="V21" s="225">
        <f>$B21*Constants!$C$18/1000+IF(ISBLANK(Design!$B$32),Design!$B$31,Design!$B$32)*1000000*Constants!$D$22/1000000000*($B21-Constants!$C$21)</f>
        <v>3.3014375000000006E-2</v>
      </c>
      <c r="W21" s="225">
        <f>$B21*R21*($B21/(Constants!$C$23*1000000000)*IF(ISBLANK(Design!$B$32),Design!$B$31,Design!$B$32)*1000000/2+$B21/(Constants!$C$24*1000000000)*IF(ISBLANK(Design!$B$32),Design!$B$31,Design!$B$32)*1000000/2)</f>
        <v>3.2488427868765504E-2</v>
      </c>
      <c r="X21" s="225">
        <f t="shared" ca="1" si="2"/>
        <v>0.20357430899438206</v>
      </c>
      <c r="Y21" s="225">
        <f>Constants!$D$22/1000000000*Constants!$C$21*IF(ISBLANK(Design!$B$32),Design!$B$31,Design!$B$32)*1000000</f>
        <v>1.0624999999999999E-2</v>
      </c>
      <c r="Z21" s="225">
        <f t="shared" ca="1" si="10"/>
        <v>0.27970211186314753</v>
      </c>
      <c r="AA21" s="225">
        <f t="shared" ca="1" si="7"/>
        <v>0.33132834490986368</v>
      </c>
      <c r="AB21" s="226">
        <f ca="1">$A21+AA21*Design!$B$19</f>
        <v>103.88571565986223</v>
      </c>
      <c r="AC21" s="226">
        <f ca="1">Z21*Design!$C$12+$A21</f>
        <v>94.509871803347011</v>
      </c>
      <c r="AD21" s="226">
        <f ca="1">Constants!$D$19+Constants!$D$19*Constants!$C$20/100*(AC21-25)</f>
        <v>166.1592656472634</v>
      </c>
      <c r="AE21" s="225">
        <f ca="1">(1-Constants!$C$17/1000000000*Design!$B$32*1000000) * ($B21+S21-R21*AD21/1000) - (S21+R21*(1+($A21-25)*Constants!$C$31/100)*IF(ISBLANK(Design!$B$40),Constants!$C$6/1000,Design!$B$40/1000))</f>
        <v>7.7698711666719724</v>
      </c>
      <c r="AF21" s="159">
        <f ca="1">IF(AE21&gt;Design!$C$28,Design!$C$28,AE21)</f>
        <v>3.3223709369024856</v>
      </c>
      <c r="AG21" s="160">
        <f>Design!$D$6/3</f>
        <v>0.83333333333333337</v>
      </c>
      <c r="AH21" s="160">
        <f ca="1">FORECAST(AG21, OFFSET(Design!$C$15:$C$17,MATCH(AG21,Design!$B$15:$B$17,1)-1,0,2), OFFSET(Design!$B$15:$B$17,MATCH(AG21,Design!$B$15:$B$17,1)-1,0,2))+(AQ21-25)*Design!$B$18/1000</f>
        <v>0.30101472855866646</v>
      </c>
      <c r="AI21" s="238">
        <f ca="1">IF(100*(Design!$C$28+AH21+AG21*IF(ISBLANK(Design!$B$40),Constants!$C$6,Design!$B$40)/1000*(1+Constants!$C$31/100*(AR21-25)))/($B21+AH21-AG21*AS21/1000)&gt;Design!$C$35,Design!$C$35,100*(Design!$C$28+AH21+AG21*IF(ISBLANK(Design!$B$40),Constants!$C$6,Design!$B$40)/1000*(1+Constants!$C$31/100*(AR21-25)))/($B21+AH21-AG21*AS21/1000))</f>
        <v>42.338679501832509</v>
      </c>
      <c r="AJ21" s="161">
        <f ca="1">IF(($B21-AG21*IF(ISBLANK(Design!$B$40),Constants!$C$6,Design!$B$40)/1000*(1+Constants!$C$31/100*(AR21-25))-Design!$C$28)/(IF(ISBLANK(Design!$B$39),Design!$B$38,Design!$B$39)/1000000)*AI21/100/(IF(ISBLANK(Design!$B$32),Design!$B$31,Design!$B$32)*1000000)&lt;0,0,($B21-AG21*IF(ISBLANK(Design!$B$40),Constants!$C$6,Design!$B$40)/1000*(1+Constants!$C$31/100*(AR21-25))-Design!$C$28)/(IF(ISBLANK(Design!$B$39),Design!$B$38,Design!$B$39)/1000000)*AI21/100/(IF(ISBLANK(Design!$B$32),Design!$B$31,Design!$B$32)*1000000))</f>
        <v>0.23277386316472976</v>
      </c>
      <c r="AK21" s="239">
        <f>$B21*Constants!$C$18/1000+IF(ISBLANK(Design!$B$32),Design!$B$31,Design!$B$32)*1000000*Constants!$D$22/1000000000*($B21-Constants!$C$21)</f>
        <v>3.3014375000000006E-2</v>
      </c>
      <c r="AL21" s="239">
        <f>$B21*AG21*($B21/(Constants!$C$23*1000000000)*IF(ISBLANK(Design!$B$32),Design!$B$31,Design!$B$32)*1000000/2+$B21/(Constants!$C$24*1000000000)*IF(ISBLANK(Design!$B$32),Design!$B$31,Design!$B$32)*1000000/2)</f>
        <v>1.6244213934382752E-2</v>
      </c>
      <c r="AM21" s="239">
        <f t="shared" ca="1" si="3"/>
        <v>4.7898435847922409E-2</v>
      </c>
      <c r="AN21" s="239">
        <f>Constants!$D$22/1000000000*Constants!$C$21*IF(ISBLANK(Design!$B$32),Design!$B$31,Design!$B$32)*1000000</f>
        <v>1.0624999999999999E-2</v>
      </c>
      <c r="AO21" s="239">
        <f t="shared" ca="1" si="11"/>
        <v>0.10778202478230517</v>
      </c>
      <c r="AP21" s="239">
        <f t="shared" ca="1" si="9"/>
        <v>0.14464088948408463</v>
      </c>
      <c r="AQ21" s="240">
        <f ca="1">$A21+AP21*Design!$B$19</f>
        <v>93.244530700592819</v>
      </c>
      <c r="AR21" s="240">
        <f ca="1">AO21*Design!$C$12+$A21</f>
        <v>88.664588842598377</v>
      </c>
      <c r="AS21" s="240">
        <f ca="1">Constants!$D$19+Constants!$D$19*Constants!$C$20/100*(AR21-25)</f>
        <v>161.85713738815241</v>
      </c>
      <c r="AT21" s="239">
        <f ca="1">(1-Constants!$C$17/1000000000*Design!$B$32*1000000) * ($B21+AH21-AG21*AS21/1000) - (AH21+AG21*(1+($A21-25)*Constants!$C$31/100)*IF(ISBLANK(Design!$B$40),Constants!$C$6/1000,Design!$B$40/1000))</f>
        <v>7.9596791998286278</v>
      </c>
      <c r="AU21" s="161">
        <f ca="1">IF(AT21&gt;Design!$C$28,Design!$C$28,AT21)</f>
        <v>3.3223709369024856</v>
      </c>
    </row>
    <row r="22" spans="1:47" s="162" customFormat="1" ht="12.75" customHeight="1" x14ac:dyDescent="0.25">
      <c r="A22" s="154">
        <f>Design!$D$13</f>
        <v>85</v>
      </c>
      <c r="B22" s="155">
        <f t="shared" si="0"/>
        <v>8.31</v>
      </c>
      <c r="C22" s="156">
        <f>Design!$D$6</f>
        <v>2.5</v>
      </c>
      <c r="D22" s="156">
        <f ca="1">FORECAST(C22, OFFSET(Design!$C$15:$C$17,MATCH(C22,Design!$B$15:$B$17,1)-1,0,2), OFFSET(Design!$B$15:$B$17,MATCH(C22,Design!$B$15:$B$17,1)-1,0,2))+(M22-25)*Design!$B$18/1000</f>
        <v>0.38346618801825982</v>
      </c>
      <c r="E22" s="215">
        <f ca="1">IF(100*(Design!$C$28+D22+C22*IF(ISBLANK(Design!$B$40),Constants!$C$6,Design!$B$40)/1000*(1+Constants!$C$31/100*(N22-25)))/($B22+D22-C22*O22/1000)&gt;Design!$C$35,Design!$C$35,100*(Design!$C$28+D22+C22*IF(ISBLANK(Design!$B$40),Constants!$C$6,Design!$B$40)/1000*(1+Constants!$C$31/100*(N22-25)))/($B22+D22-C22*O22/1000))</f>
        <v>46.867271389384157</v>
      </c>
      <c r="F22" s="157">
        <f ca="1">IF(($B22-C22*IF(ISBLANK(Design!$B$40),Constants!$C$6,Design!$B$40)/1000*(1+Constants!$C$31/100*(N22-25))-Design!$C$28)/(IF(ISBLANK(Design!$B$39),Design!$B$38,Design!$B$39)/1000000)*E22/100/(IF(ISBLANK(Design!$B$32),Design!$B$31,Design!$B$32)*1000000)&lt;0, 0, ($B22-C22*IF(ISBLANK(Design!$B$40),Constants!$C$6,Design!$B$40)/1000*(1+Constants!$C$31/100*(N22-25))-Design!$C$28)/(IF(ISBLANK(Design!$B$39),Design!$B$38,Design!$B$39)/1000000)*E22/100/(IF(ISBLANK(Design!$B$32),Design!$B$31,Design!$B$32)*1000000))</f>
        <v>0.24176193203619079</v>
      </c>
      <c r="G22" s="207">
        <f>B22*Constants!$C$18/1000+IF(ISBLANK(Design!$B$32),Design!$B$31,Design!$B$32)*1000000*Constants!$D$22/1000000000*(B22-Constants!$C$21)</f>
        <v>3.1963749999999999E-2</v>
      </c>
      <c r="H22" s="207">
        <f>B22*C22*(B22/(Constants!$C$23*1000000000)*IF(ISBLANK(Design!$B$32),Design!$B$31,Design!$B$32)*1000000/2+B22/(Constants!$C$24*1000000000)*IF(ISBLANK(Design!$B$32),Design!$B$31,Design!$B$32)*1000000/2)</f>
        <v>4.6414395453877801E-2</v>
      </c>
      <c r="I22" s="207">
        <f t="shared" ca="1" si="1"/>
        <v>0.5105578255510278</v>
      </c>
      <c r="J22" s="207">
        <f>Constants!$D$22/1000000000*Constants!$C$21*IF(ISBLANK(Design!$B$32),Design!$B$31,Design!$B$32)*1000000</f>
        <v>1.0624999999999999E-2</v>
      </c>
      <c r="K22" s="207">
        <f t="shared" ca="1" si="4"/>
        <v>0.59956097100490557</v>
      </c>
      <c r="L22" s="207">
        <f t="shared" ca="1" si="5"/>
        <v>0.50936512248303967</v>
      </c>
      <c r="M22" s="208">
        <f ca="1">A22+L22*Design!$B$19</f>
        <v>114.03381198153326</v>
      </c>
      <c r="N22" s="208">
        <f ca="1">K22*Design!$C$12+A22</f>
        <v>105.38507301416679</v>
      </c>
      <c r="O22" s="208">
        <f ca="1">Constants!$D$19+Constants!$D$19*Constants!$C$20/100*(N22-25)</f>
        <v>174.16341373842675</v>
      </c>
      <c r="P22" s="207">
        <f ca="1">(1-Constants!$C$17/1000000000*Design!$B$32*1000000) * ($B22+D22-C22*O22/1000) - (D22+C22*(1+($A22-25)*Constants!$C$31/100)*IF(ISBLANK(Design!$B$40),Constants!$C$6/1000,Design!$B$40/1000))</f>
        <v>7.3691490153728649</v>
      </c>
      <c r="Q22" s="213">
        <f ca="1">IF(P22&gt;Design!$C$28,Design!$C$28,P22)</f>
        <v>3.3223709369024856</v>
      </c>
      <c r="R22" s="223">
        <f>2*Design!$D$6/3</f>
        <v>1.6666666666666667</v>
      </c>
      <c r="S22" s="158">
        <f ca="1">FORECAST(R22, OFFSET(Design!$C$15:$C$17,MATCH(R22,Design!$B$15:$B$17,1)-1,0,2), OFFSET(Design!$B$15:$B$17,MATCH(R22,Design!$B$15:$B$17,1)-1,0,2))+(AB22-25)*Design!$B$18/1000</f>
        <v>0.35553446442634734</v>
      </c>
      <c r="T22" s="224">
        <f ca="1">IF(100*(Design!$C$28+S22+R22*IF(ISBLANK(Design!$B$40),Constants!$C$6,Design!$B$40)/1000*(1+Constants!$C$31/100*(AC22-25)))/($B22+S22-R22*AD22/1000)&gt;Design!$C$35,Design!$C$35,100*(Design!$C$28+S22+R22*IF(ISBLANK(Design!$B$40),Constants!$C$6,Design!$B$40)/1000*(1+Constants!$C$31/100*(AC22-25)))/($B22+S22-R22*AD22/1000))</f>
        <v>45.109741729152901</v>
      </c>
      <c r="U22" s="159">
        <f ca="1">IF(($B22-R22*IF(ISBLANK(Design!$B$40),Constants!$C$6,Design!$B$40)/1000*(1+Constants!$C$31/100*(AC22-25))-Design!$C$28)/(Design!$B$39/1000000)*T22/100/(IF(ISBLANK(IF(ISBLANK(Design!$B$39),Design!$B$38,Design!$B$39)),Design!$B$31,Design!$B$32)*1000000)&lt;0,0,($B22-R22*IF(ISBLANK(Design!$B$40),Constants!$C$6,Design!$B$40)/1000*(1+Constants!$C$31/100*(AC22-25))-Design!$C$28)/(IF(ISBLANK(Design!$B$39),Design!$B$38,Design!$B$39)/1000000)*T22/100/(IF(ISBLANK(Design!$B$32),Design!$B$31,Design!$B$32)*1000000))</f>
        <v>0.23551163498789138</v>
      </c>
      <c r="V22" s="225">
        <f>$B22*Constants!$C$18/1000+IF(ISBLANK(Design!$B$32),Design!$B$31,Design!$B$32)*1000000*Constants!$D$22/1000000000*($B22-Constants!$C$21)</f>
        <v>3.1963749999999999E-2</v>
      </c>
      <c r="W22" s="225">
        <f>$B22*R22*($B22/(Constants!$C$23*1000000000)*IF(ISBLANK(Design!$B$32),Design!$B$31,Design!$B$32)*1000000/2+$B22/(Constants!$C$24*1000000000)*IF(ISBLANK(Design!$B$32),Design!$B$31,Design!$B$32)*1000000/2)</f>
        <v>3.09429303025852E-2</v>
      </c>
      <c r="X22" s="225">
        <f t="shared" ca="1" si="2"/>
        <v>0.20862927563801997</v>
      </c>
      <c r="Y22" s="225">
        <f>Constants!$D$22/1000000000*Constants!$C$21*IF(ISBLANK(Design!$B$32),Design!$B$31,Design!$B$32)*1000000</f>
        <v>1.0624999999999999E-2</v>
      </c>
      <c r="Z22" s="225">
        <f t="shared" ca="1" si="10"/>
        <v>0.2821609559406052</v>
      </c>
      <c r="AA22" s="225">
        <f t="shared" ca="1" si="7"/>
        <v>0.32525630960915847</v>
      </c>
      <c r="AB22" s="226">
        <f ca="1">$A22+AA22*Design!$B$19</f>
        <v>103.53960964772203</v>
      </c>
      <c r="AC22" s="226">
        <f ca="1">Z22*Design!$C$12+$A22</f>
        <v>94.593472501980571</v>
      </c>
      <c r="AD22" s="226">
        <f ca="1">Constants!$D$19+Constants!$D$19*Constants!$C$20/100*(AC22-25)</f>
        <v>166.22079576145771</v>
      </c>
      <c r="AE22" s="225">
        <f ca="1">(1-Constants!$C$17/1000000000*Design!$B$32*1000000) * ($B22+S22-R22*AD22/1000) - (S22+R22*(1+($A22-25)*Constants!$C$31/100)*IF(ISBLANK(Design!$B$40),Constants!$C$6/1000,Design!$B$40/1000))</f>
        <v>7.5734707653592199</v>
      </c>
      <c r="AF22" s="159">
        <f ca="1">IF(AE22&gt;Design!$C$28,Design!$C$28,AE22)</f>
        <v>3.3223709369024856</v>
      </c>
      <c r="AG22" s="160">
        <f>Design!$D$6/3</f>
        <v>0.83333333333333337</v>
      </c>
      <c r="AH22" s="160">
        <f ca="1">FORECAST(AG22, OFFSET(Design!$C$15:$C$17,MATCH(AG22,Design!$B$15:$B$17,1)-1,0,2), OFFSET(Design!$B$15:$B$17,MATCH(AG22,Design!$B$15:$B$17,1)-1,0,2))+(AQ22-25)*Design!$B$18/1000</f>
        <v>0.30115742072581858</v>
      </c>
      <c r="AI22" s="238">
        <f ca="1">IF(100*(Design!$C$28+AH22+AG22*IF(ISBLANK(Design!$B$40),Constants!$C$6,Design!$B$40)/1000*(1+Constants!$C$31/100*(AR22-25)))/($B22+AH22-AG22*AS22/1000)&gt;Design!$C$35,Design!$C$35,100*(Design!$C$28+AH22+AG22*IF(ISBLANK(Design!$B$40),Constants!$C$6,Design!$B$40)/1000*(1+Constants!$C$31/100*(AR22-25)))/($B22+AH22-AG22*AS22/1000))</f>
        <v>43.363500276510472</v>
      </c>
      <c r="AJ22" s="161">
        <f ca="1">IF(($B22-AG22*IF(ISBLANK(Design!$B$40),Constants!$C$6,Design!$B$40)/1000*(1+Constants!$C$31/100*(AR22-25))-Design!$C$28)/(IF(ISBLANK(Design!$B$39),Design!$B$38,Design!$B$39)/1000000)*AI22/100/(IF(ISBLANK(Design!$B$32),Design!$B$31,Design!$B$32)*1000000)&lt;0,0,($B22-AG22*IF(ISBLANK(Design!$B$40),Constants!$C$6,Design!$B$40)/1000*(1+Constants!$C$31/100*(AR22-25))-Design!$C$28)/(IF(ISBLANK(Design!$B$39),Design!$B$38,Design!$B$39)/1000000)*AI22/100/(IF(ISBLANK(Design!$B$32),Design!$B$31,Design!$B$32)*1000000))</f>
        <v>0.22890089626898938</v>
      </c>
      <c r="AK22" s="239">
        <f>$B22*Constants!$C$18/1000+IF(ISBLANK(Design!$B$32),Design!$B$31,Design!$B$32)*1000000*Constants!$D$22/1000000000*($B22-Constants!$C$21)</f>
        <v>3.1963749999999999E-2</v>
      </c>
      <c r="AL22" s="239">
        <f>$B22*AG22*($B22/(Constants!$C$23*1000000000)*IF(ISBLANK(Design!$B$32),Design!$B$31,Design!$B$32)*1000000/2+$B22/(Constants!$C$24*1000000000)*IF(ISBLANK(Design!$B$32),Design!$B$31,Design!$B$32)*1000000/2)</f>
        <v>1.54714651512926E-2</v>
      </c>
      <c r="AM22" s="239">
        <f t="shared" ca="1" si="3"/>
        <v>4.9042220769849813E-2</v>
      </c>
      <c r="AN22" s="239">
        <f>Constants!$D$22/1000000000*Constants!$C$21*IF(ISBLANK(Design!$B$32),Design!$B$31,Design!$B$32)*1000000</f>
        <v>1.0624999999999999E-2</v>
      </c>
      <c r="AO22" s="239">
        <f t="shared" ca="1" si="11"/>
        <v>0.10710243592114241</v>
      </c>
      <c r="AP22" s="239">
        <f t="shared" ca="1" si="9"/>
        <v>0.14213751813053871</v>
      </c>
      <c r="AQ22" s="240">
        <f ca="1">$A22+AP22*Design!$B$19</f>
        <v>93.101838533440713</v>
      </c>
      <c r="AR22" s="240">
        <f ca="1">AO22*Design!$C$12+$A22</f>
        <v>88.641482821318846</v>
      </c>
      <c r="AS22" s="240">
        <f ca="1">Constants!$D$19+Constants!$D$19*Constants!$C$20/100*(AR22-25)</f>
        <v>161.84013135649067</v>
      </c>
      <c r="AT22" s="239">
        <f ca="1">(1-Constants!$C$17/1000000000*Design!$B$32*1000000) * ($B22+AH22-AG22*AS22/1000) - (AH22+AG22*(1+($A22-25)*Constants!$C$31/100)*IF(ISBLANK(Design!$B$40),Constants!$C$6/1000,Design!$B$40/1000))</f>
        <v>7.7633992048076195</v>
      </c>
      <c r="AU22" s="161">
        <f ca="1">IF(AT22&gt;Design!$C$28,Design!$C$28,AT22)</f>
        <v>3.3223709369024856</v>
      </c>
    </row>
    <row r="23" spans="1:47" s="162" customFormat="1" ht="12.75" customHeight="1" x14ac:dyDescent="0.25">
      <c r="A23" s="154">
        <f>Design!$D$13</f>
        <v>85</v>
      </c>
      <c r="B23" s="155">
        <f t="shared" si="0"/>
        <v>8.1050000000000004</v>
      </c>
      <c r="C23" s="156">
        <f>Design!$D$6</f>
        <v>2.5</v>
      </c>
      <c r="D23" s="156">
        <f ca="1">FORECAST(C23, OFFSET(Design!$C$15:$C$17,MATCH(C23,Design!$B$15:$B$17,1)-1,0,2), OFFSET(Design!$B$15:$B$17,MATCH(C23,Design!$B$15:$B$17,1)-1,0,2))+(M23-25)*Design!$B$18/1000</f>
        <v>0.38407833829689914</v>
      </c>
      <c r="E23" s="215">
        <f ca="1">IF(100*(Design!$C$28+D23+C23*IF(ISBLANK(Design!$B$40),Constants!$C$6,Design!$B$40)/1000*(1+Constants!$C$31/100*(N23-25)))/($B23+D23-C23*O23/1000)&gt;Design!$C$35,Design!$C$35,100*(Design!$C$28+D23+C23*IF(ISBLANK(Design!$B$40),Constants!$C$6,Design!$B$40)/1000*(1+Constants!$C$31/100*(N23-25)))/($B23+D23-C23*O23/1000))</f>
        <v>48.070422703664313</v>
      </c>
      <c r="F23" s="157">
        <f ca="1">IF(($B23-C23*IF(ISBLANK(Design!$B$40),Constants!$C$6,Design!$B$40)/1000*(1+Constants!$C$31/100*(N23-25))-Design!$C$28)/(IF(ISBLANK(Design!$B$39),Design!$B$38,Design!$B$39)/1000000)*E23/100/(IF(ISBLANK(Design!$B$32),Design!$B$31,Design!$B$32)*1000000)&lt;0, 0, ($B23-C23*IF(ISBLANK(Design!$B$40),Constants!$C$6,Design!$B$40)/1000*(1+Constants!$C$31/100*(N23-25))-Design!$C$28)/(IF(ISBLANK(Design!$B$39),Design!$B$38,Design!$B$39)/1000000)*E23/100/(IF(ISBLANK(Design!$B$32),Design!$B$31,Design!$B$32)*1000000))</f>
        <v>0.23741972815710655</v>
      </c>
      <c r="G23" s="207">
        <f>B23*Constants!$C$18/1000+IF(ISBLANK(Design!$B$32),Design!$B$31,Design!$B$32)*1000000*Constants!$D$22/1000000000*(B23-Constants!$C$21)</f>
        <v>3.0913125E-2</v>
      </c>
      <c r="H23" s="207">
        <f>B23*C23*(B23/(Constants!$C$23*1000000000)*IF(ISBLANK(Design!$B$32),Design!$B$31,Design!$B$32)*1000000/2+B23/(Constants!$C$24*1000000000)*IF(ISBLANK(Design!$B$32),Design!$B$31,Design!$B$32)*1000000/2)</f>
        <v>4.4152641289047209E-2</v>
      </c>
      <c r="I23" s="207">
        <f t="shared" ca="1" si="1"/>
        <v>0.52444576495423956</v>
      </c>
      <c r="J23" s="207">
        <f>Constants!$D$22/1000000000*Constants!$C$21*IF(ISBLANK(Design!$B$32),Design!$B$31,Design!$B$32)*1000000</f>
        <v>1.0624999999999999E-2</v>
      </c>
      <c r="K23" s="207">
        <f t="shared" ca="1" si="4"/>
        <v>0.61013653124328682</v>
      </c>
      <c r="L23" s="207">
        <f t="shared" ca="1" si="5"/>
        <v>0.49862564391092484</v>
      </c>
      <c r="M23" s="208">
        <f ca="1">A23+L23*Design!$B$19</f>
        <v>113.42166170292272</v>
      </c>
      <c r="N23" s="208">
        <f ca="1">K23*Design!$C$12+A23</f>
        <v>105.74464206227175</v>
      </c>
      <c r="O23" s="208">
        <f ca="1">Constants!$D$19+Constants!$D$19*Constants!$C$20/100*(N23-25)</f>
        <v>174.42805655783201</v>
      </c>
      <c r="P23" s="207">
        <f ca="1">(1-Constants!$C$17/1000000000*Design!$B$32*1000000) * ($B23+D23-C23*O23/1000) - (D23+C23*(1+($A23-25)*Constants!$C$31/100)*IF(ISBLANK(Design!$B$40),Constants!$C$6/1000,Design!$B$40/1000))</f>
        <v>7.1722020102370712</v>
      </c>
      <c r="Q23" s="213">
        <f ca="1">IF(P23&gt;Design!$C$28,Design!$C$28,P23)</f>
        <v>3.3223709369024856</v>
      </c>
      <c r="R23" s="223">
        <f>2*Design!$D$6/3</f>
        <v>1.6666666666666667</v>
      </c>
      <c r="S23" s="158">
        <f ca="1">FORECAST(R23, OFFSET(Design!$C$15:$C$17,MATCH(R23,Design!$B$15:$B$17,1)-1,0,2), OFFSET(Design!$B$15:$B$17,MATCH(R23,Design!$B$15:$B$17,1)-1,0,2))+(AB23-25)*Design!$B$18/1000</f>
        <v>0.35589869052115408</v>
      </c>
      <c r="T23" s="224">
        <f ca="1">IF(100*(Design!$C$28+S23+R23*IF(ISBLANK(Design!$B$40),Constants!$C$6,Design!$B$40)/1000*(1+Constants!$C$31/100*(AC23-25)))/($B23+S23-R23*AD23/1000)&gt;Design!$C$35,Design!$C$35,100*(Design!$C$28+S23+R23*IF(ISBLANK(Design!$B$40),Constants!$C$6,Design!$B$40)/1000*(1+Constants!$C$31/100*(AC23-25)))/($B23+S23-R23*AD23/1000))</f>
        <v>46.24317763219463</v>
      </c>
      <c r="U23" s="159">
        <f ca="1">IF(($B23-R23*IF(ISBLANK(Design!$B$40),Constants!$C$6,Design!$B$40)/1000*(1+Constants!$C$31/100*(AC23-25))-Design!$C$28)/(Design!$B$39/1000000)*T23/100/(IF(ISBLANK(IF(ISBLANK(Design!$B$39),Design!$B$38,Design!$B$39)),Design!$B$31,Design!$B$32)*1000000)&lt;0,0,($B23-R23*IF(ISBLANK(Design!$B$40),Constants!$C$6,Design!$B$40)/1000*(1+Constants!$C$31/100*(AC23-25))-Design!$C$28)/(IF(ISBLANK(Design!$B$39),Design!$B$38,Design!$B$39)/1000000)*T23/100/(IF(ISBLANK(Design!$B$32),Design!$B$31,Design!$B$32)*1000000))</f>
        <v>0.23128874648150968</v>
      </c>
      <c r="V23" s="225">
        <f>$B23*Constants!$C$18/1000+IF(ISBLANK(Design!$B$32),Design!$B$31,Design!$B$32)*1000000*Constants!$D$22/1000000000*($B23-Constants!$C$21)</f>
        <v>3.0913125E-2</v>
      </c>
      <c r="W23" s="225">
        <f>$B23*R23*($B23/(Constants!$C$23*1000000000)*IF(ISBLANK(Design!$B$32),Design!$B$31,Design!$B$32)*1000000/2+$B23/(Constants!$C$24*1000000000)*IF(ISBLANK(Design!$B$32),Design!$B$31,Design!$B$32)*1000000/2)</f>
        <v>2.9435094192698137E-2</v>
      </c>
      <c r="X23" s="225">
        <f t="shared" ca="1" si="2"/>
        <v>0.21394756209876095</v>
      </c>
      <c r="Y23" s="225">
        <f>Constants!$D$22/1000000000*Constants!$C$21*IF(ISBLANK(Design!$B$32),Design!$B$31,Design!$B$32)*1000000</f>
        <v>1.0624999999999999E-2</v>
      </c>
      <c r="Z23" s="225">
        <f t="shared" ca="1" si="10"/>
        <v>0.28492078129145909</v>
      </c>
      <c r="AA23" s="225">
        <f t="shared" ca="1" si="7"/>
        <v>0.31886637812133695</v>
      </c>
      <c r="AB23" s="226">
        <f ca="1">$A23+AA23*Design!$B$19</f>
        <v>103.1753835529162</v>
      </c>
      <c r="AC23" s="226">
        <f ca="1">Z23*Design!$C$12+$A23</f>
        <v>94.687306563909601</v>
      </c>
      <c r="AD23" s="226">
        <f ca="1">Constants!$D$19+Constants!$D$19*Constants!$C$20/100*(AC23-25)</f>
        <v>166.28985763103748</v>
      </c>
      <c r="AE23" s="225">
        <f ca="1">(1-Constants!$C$17/1000000000*Design!$B$32*1000000) * ($B23+S23-R23*AD23/1000) - (S23+R23*(1+($A23-25)*Constants!$C$31/100)*IF(ISBLANK(Design!$B$40),Constants!$C$6/1000,Design!$B$40/1000))</f>
        <v>7.3770575745166544</v>
      </c>
      <c r="AF23" s="159">
        <f ca="1">IF(AE23&gt;Design!$C$28,Design!$C$28,AE23)</f>
        <v>3.3223709369024856</v>
      </c>
      <c r="AG23" s="160">
        <f>Design!$D$6/3</f>
        <v>0.83333333333333337</v>
      </c>
      <c r="AH23" s="160">
        <f ca="1">FORECAST(AG23, OFFSET(Design!$C$15:$C$17,MATCH(AG23,Design!$B$15:$B$17,1)-1,0,2), OFFSET(Design!$B$15:$B$17,MATCH(AG23,Design!$B$15:$B$17,1)-1,0,2))+(AQ23-25)*Design!$B$18/1000</f>
        <v>0.30130733469354287</v>
      </c>
      <c r="AI23" s="238">
        <f ca="1">IF(100*(Design!$C$28+AH23+AG23*IF(ISBLANK(Design!$B$40),Constants!$C$6,Design!$B$40)/1000*(1+Constants!$C$31/100*(AR23-25)))/($B23+AH23-AG23*AS23/1000)&gt;Design!$C$35,Design!$C$35,100*(Design!$C$28+AH23+AG23*IF(ISBLANK(Design!$B$40),Constants!$C$6,Design!$B$40)/1000*(1+Constants!$C$31/100*(AR23-25)))/($B23+AH23-AG23*AS23/1000))</f>
        <v>44.439142712580136</v>
      </c>
      <c r="AJ23" s="161">
        <f ca="1">IF(($B23-AG23*IF(ISBLANK(Design!$B$40),Constants!$C$6,Design!$B$40)/1000*(1+Constants!$C$31/100*(AR23-25))-Design!$C$28)/(IF(ISBLANK(Design!$B$39),Design!$B$38,Design!$B$39)/1000000)*AI23/100/(IF(ISBLANK(Design!$B$32),Design!$B$31,Design!$B$32)*1000000)&lt;0,0,($B23-AG23*IF(ISBLANK(Design!$B$40),Constants!$C$6,Design!$B$40)/1000*(1+Constants!$C$31/100*(AR23-25))-Design!$C$28)/(IF(ISBLANK(Design!$B$39),Design!$B$38,Design!$B$39)/1000000)*AI23/100/(IF(ISBLANK(Design!$B$32),Design!$B$31,Design!$B$32)*1000000))</f>
        <v>0.22483565839226885</v>
      </c>
      <c r="AK23" s="239">
        <f>$B23*Constants!$C$18/1000+IF(ISBLANK(Design!$B$32),Design!$B$31,Design!$B$32)*1000000*Constants!$D$22/1000000000*($B23-Constants!$C$21)</f>
        <v>3.0913125E-2</v>
      </c>
      <c r="AL23" s="239">
        <f>$B23*AG23*($B23/(Constants!$C$23*1000000000)*IF(ISBLANK(Design!$B$32),Design!$B$31,Design!$B$32)*1000000/2+$B23/(Constants!$C$24*1000000000)*IF(ISBLANK(Design!$B$32),Design!$B$31,Design!$B$32)*1000000/2)</f>
        <v>1.4717547096349069E-2</v>
      </c>
      <c r="AM23" s="239">
        <f t="shared" ca="1" si="3"/>
        <v>5.0242979209086575E-2</v>
      </c>
      <c r="AN23" s="239">
        <f>Constants!$D$22/1000000000*Constants!$C$21*IF(ISBLANK(Design!$B$32),Design!$B$31,Design!$B$32)*1000000</f>
        <v>1.0624999999999999E-2</v>
      </c>
      <c r="AO23" s="239">
        <f t="shared" ca="1" si="11"/>
        <v>0.10649865130543563</v>
      </c>
      <c r="AP23" s="239">
        <f t="shared" ca="1" si="9"/>
        <v>0.13950744852133992</v>
      </c>
      <c r="AQ23" s="240">
        <f ca="1">$A23+AP23*Design!$B$19</f>
        <v>92.951924565716382</v>
      </c>
      <c r="AR23" s="240">
        <f ca="1">AO23*Design!$C$12+$A23</f>
        <v>88.620954144384811</v>
      </c>
      <c r="AS23" s="240">
        <f ca="1">Constants!$D$19+Constants!$D$19*Constants!$C$20/100*(AR23-25)</f>
        <v>161.82502225026724</v>
      </c>
      <c r="AT23" s="239">
        <f ca="1">(1-Constants!$C$17/1000000000*Design!$B$32*1000000) * ($B23+AH23-AG23*AS23/1000) - (AH23+AG23*(1+($A23-25)*Constants!$C$31/100)*IF(ISBLANK(Design!$B$40),Constants!$C$6/1000,Design!$B$40/1000))</f>
        <v>7.5671173892716652</v>
      </c>
      <c r="AU23" s="161">
        <f ca="1">IF(AT23&gt;Design!$C$28,Design!$C$28,AT23)</f>
        <v>3.3223709369024856</v>
      </c>
    </row>
    <row r="24" spans="1:47" s="162" customFormat="1" ht="12.75" customHeight="1" x14ac:dyDescent="0.25">
      <c r="A24" s="154">
        <f>Design!$D$13</f>
        <v>85</v>
      </c>
      <c r="B24" s="155">
        <f t="shared" si="0"/>
        <v>7.9000000000000012</v>
      </c>
      <c r="C24" s="156">
        <f>Design!$D$6</f>
        <v>2.5</v>
      </c>
      <c r="D24" s="156">
        <f ca="1">FORECAST(C24, OFFSET(Design!$C$15:$C$17,MATCH(C24,Design!$B$15:$B$17,1)-1,0,2), OFFSET(Design!$B$15:$B$17,MATCH(C24,Design!$B$15:$B$17,1)-1,0,2))+(M24-25)*Design!$B$18/1000</f>
        <v>0.38472496980088056</v>
      </c>
      <c r="E24" s="215">
        <f ca="1">IF(100*(Design!$C$28+D24+C24*IF(ISBLANK(Design!$B$40),Constants!$C$6,Design!$B$40)/1000*(1+Constants!$C$31/100*(N24-25)))/($B24+D24-C24*O24/1000)&gt;Design!$C$35,Design!$C$35,100*(Design!$C$28+D24+C24*IF(ISBLANK(Design!$B$40),Constants!$C$6,Design!$B$40)/1000*(1+Constants!$C$31/100*(N24-25)))/($B24+D24-C24*O24/1000))</f>
        <v>49.337186841508526</v>
      </c>
      <c r="F24" s="157">
        <f ca="1">IF(($B24-C24*IF(ISBLANK(Design!$B$40),Constants!$C$6,Design!$B$40)/1000*(1+Constants!$C$31/100*(N24-25))-Design!$C$28)/(IF(ISBLANK(Design!$B$39),Design!$B$38,Design!$B$39)/1000000)*E24/100/(IF(ISBLANK(Design!$B$32),Design!$B$31,Design!$B$32)*1000000)&lt;0, 0, ($B24-C24*IF(ISBLANK(Design!$B$40),Constants!$C$6,Design!$B$40)/1000*(1+Constants!$C$31/100*(N24-25))-Design!$C$28)/(IF(ISBLANK(Design!$B$39),Design!$B$38,Design!$B$39)/1000000)*E24/100/(IF(ISBLANK(Design!$B$32),Design!$B$31,Design!$B$32)*1000000))</f>
        <v>0.2328489543968561</v>
      </c>
      <c r="G24" s="207">
        <f>B24*Constants!$C$18/1000+IF(ISBLANK(Design!$B$32),Design!$B$31,Design!$B$32)*1000000*Constants!$D$22/1000000000*(B24-Constants!$C$21)</f>
        <v>2.9862500000000007E-2</v>
      </c>
      <c r="H24" s="207">
        <f>B24*C24*(B24/(Constants!$C$23*1000000000)*IF(ISBLANK(Design!$B$32),Design!$B$31,Design!$B$32)*1000000/2+B24/(Constants!$C$24*1000000000)*IF(ISBLANK(Design!$B$32),Design!$B$31,Design!$B$32)*1000000/2)</f>
        <v>4.1947379308656489E-2</v>
      </c>
      <c r="I24" s="207">
        <f t="shared" ca="1" si="1"/>
        <v>0.53913343176254813</v>
      </c>
      <c r="J24" s="207">
        <f>Constants!$D$22/1000000000*Constants!$C$21*IF(ISBLANK(Design!$B$32),Design!$B$31,Design!$B$32)*1000000</f>
        <v>1.0624999999999999E-2</v>
      </c>
      <c r="K24" s="207">
        <f t="shared" ca="1" si="4"/>
        <v>0.62156831107120458</v>
      </c>
      <c r="L24" s="207">
        <f t="shared" ca="1" si="5"/>
        <v>0.48728123156070724</v>
      </c>
      <c r="M24" s="208">
        <f ca="1">A24+L24*Design!$B$19</f>
        <v>112.77503019896031</v>
      </c>
      <c r="N24" s="208">
        <f ca="1">K24*Design!$C$12+A24</f>
        <v>106.13332257642095</v>
      </c>
      <c r="O24" s="208">
        <f ca="1">Constants!$D$19+Constants!$D$19*Constants!$C$20/100*(N24-25)</f>
        <v>174.71412541624582</v>
      </c>
      <c r="P24" s="207">
        <f ca="1">(1-Constants!$C$17/1000000000*Design!$B$32*1000000) * ($B24+D24-C24*O24/1000) - (D24+C24*(1+($A24-25)*Constants!$C$31/100)*IF(ISBLANK(Design!$B$40),Constants!$C$6/1000,Design!$B$40/1000))</f>
        <v>6.9752022510683256</v>
      </c>
      <c r="Q24" s="213">
        <f ca="1">IF(P24&gt;Design!$C$28,Design!$C$28,P24)</f>
        <v>3.3223709369024856</v>
      </c>
      <c r="R24" s="223">
        <f>2*Design!$D$6/3</f>
        <v>1.6666666666666667</v>
      </c>
      <c r="S24" s="158">
        <f ca="1">FORECAST(R24, OFFSET(Design!$C$15:$C$17,MATCH(R24,Design!$B$15:$B$17,1)-1,0,2), OFFSET(Design!$B$15:$B$17,MATCH(R24,Design!$B$15:$B$17,1)-1,0,2))+(AB24-25)*Design!$B$18/1000</f>
        <v>0.35628249696165409</v>
      </c>
      <c r="T24" s="224">
        <f ca="1">IF(100*(Design!$C$28+S24+R24*IF(ISBLANK(Design!$B$40),Constants!$C$6,Design!$B$40)/1000*(1+Constants!$C$31/100*(AC24-25)))/($B24+S24-R24*AD24/1000)&gt;Design!$C$35,Design!$C$35,100*(Design!$C$28+S24+R24*IF(ISBLANK(Design!$B$40),Constants!$C$6,Design!$B$40)/1000*(1+Constants!$C$31/100*(AC24-25)))/($B24+S24-R24*AD24/1000))</f>
        <v>47.435038017534161</v>
      </c>
      <c r="U24" s="159">
        <f ca="1">IF(($B24-R24*IF(ISBLANK(Design!$B$40),Constants!$C$6,Design!$B$40)/1000*(1+Constants!$C$31/100*(AC24-25))-Design!$C$28)/(Design!$B$39/1000000)*T24/100/(IF(ISBLANK(IF(ISBLANK(Design!$B$39),Design!$B$38,Design!$B$39)),Design!$B$31,Design!$B$32)*1000000)&lt;0,0,($B24-R24*IF(ISBLANK(Design!$B$40),Constants!$C$6,Design!$B$40)/1000*(1+Constants!$C$31/100*(AC24-25))-Design!$C$28)/(IF(ISBLANK(Design!$B$39),Design!$B$38,Design!$B$39)/1000000)*T24/100/(IF(ISBLANK(Design!$B$32),Design!$B$31,Design!$B$32)*1000000))</f>
        <v>0.22684798978729329</v>
      </c>
      <c r="V24" s="225">
        <f>$B24*Constants!$C$18/1000+IF(ISBLANK(Design!$B$32),Design!$B$31,Design!$B$32)*1000000*Constants!$D$22/1000000000*($B24-Constants!$C$21)</f>
        <v>2.9862500000000007E-2</v>
      </c>
      <c r="W24" s="225">
        <f>$B24*R24*($B24/(Constants!$C$23*1000000000)*IF(ISBLANK(Design!$B$32),Design!$B$31,Design!$B$32)*1000000/2+$B24/(Constants!$C$24*1000000000)*IF(ISBLANK(Design!$B$32),Design!$B$31,Design!$B$32)*1000000/2)</f>
        <v>2.7964919539104325E-2</v>
      </c>
      <c r="X24" s="225">
        <f t="shared" ca="1" si="2"/>
        <v>0.21955019415342014</v>
      </c>
      <c r="Y24" s="225">
        <f>Constants!$D$22/1000000000*Constants!$C$21*IF(ISBLANK(Design!$B$32),Design!$B$31,Design!$B$32)*1000000</f>
        <v>1.0624999999999999E-2</v>
      </c>
      <c r="Z24" s="225">
        <f t="shared" ca="1" si="10"/>
        <v>0.28800261369252445</v>
      </c>
      <c r="AA24" s="225">
        <f t="shared" ca="1" si="7"/>
        <v>0.31213293179678914</v>
      </c>
      <c r="AB24" s="226">
        <f ca="1">$A24+AA24*Design!$B$19</f>
        <v>102.79157711241697</v>
      </c>
      <c r="AC24" s="226">
        <f ca="1">Z24*Design!$C$12+$A24</f>
        <v>94.792088865545836</v>
      </c>
      <c r="AD24" s="226">
        <f ca="1">Constants!$D$19+Constants!$D$19*Constants!$C$20/100*(AC24-25)</f>
        <v>166.36697740504175</v>
      </c>
      <c r="AE24" s="225">
        <f ca="1">(1-Constants!$C$17/1000000000*Design!$B$32*1000000) * ($B24+S24-R24*AD24/1000) - (S24+R24*(1+($A24-25)*Constants!$C$31/100)*IF(ISBLANK(Design!$B$40),Constants!$C$6/1000,Design!$B$40/1000))</f>
        <v>7.1806306924369183</v>
      </c>
      <c r="AF24" s="159">
        <f ca="1">IF(AE24&gt;Design!$C$28,Design!$C$28,AE24)</f>
        <v>3.3223709369024856</v>
      </c>
      <c r="AG24" s="160">
        <f>Design!$D$6/3</f>
        <v>0.83333333333333337</v>
      </c>
      <c r="AH24" s="160">
        <f ca="1">FORECAST(AG24, OFFSET(Design!$C$15:$C$17,MATCH(AG24,Design!$B$15:$B$17,1)-1,0,2), OFFSET(Design!$B$15:$B$17,MATCH(AG24,Design!$B$15:$B$17,1)-1,0,2))+(AQ24-25)*Design!$B$18/1000</f>
        <v>0.30146503258454133</v>
      </c>
      <c r="AI24" s="238">
        <f ca="1">IF(100*(Design!$C$28+AH24+AG24*IF(ISBLANK(Design!$B$40),Constants!$C$6,Design!$B$40)/1000*(1+Constants!$C$31/100*(AR24-25)))/($B24+AH24-AG24*AS24/1000)&gt;Design!$C$35,Design!$C$35,100*(Design!$C$28+AH24+AG24*IF(ISBLANK(Design!$B$40),Constants!$C$6,Design!$B$40)/1000*(1+Constants!$C$31/100*(AR24-25)))/($B24+AH24-AG24*AS24/1000))</f>
        <v>45.569480739155011</v>
      </c>
      <c r="AJ24" s="161">
        <f ca="1">IF(($B24-AG24*IF(ISBLANK(Design!$B$40),Constants!$C$6,Design!$B$40)/1000*(1+Constants!$C$31/100*(AR24-25))-Design!$C$28)/(IF(ISBLANK(Design!$B$39),Design!$B$38,Design!$B$39)/1000000)*AI24/100/(IF(ISBLANK(Design!$B$32),Design!$B$31,Design!$B$32)*1000000)&lt;0,0,($B24-AG24*IF(ISBLANK(Design!$B$40),Constants!$C$6,Design!$B$40)/1000*(1+Constants!$C$31/100*(AR24-25))-Design!$C$28)/(IF(ISBLANK(Design!$B$39),Design!$B$38,Design!$B$39)/1000000)*AI24/100/(IF(ISBLANK(Design!$B$32),Design!$B$31,Design!$B$32)*1000000))</f>
        <v>0.22056346971739338</v>
      </c>
      <c r="AK24" s="239">
        <f>$B24*Constants!$C$18/1000+IF(ISBLANK(Design!$B$32),Design!$B$31,Design!$B$32)*1000000*Constants!$D$22/1000000000*($B24-Constants!$C$21)</f>
        <v>2.9862500000000007E-2</v>
      </c>
      <c r="AL24" s="239">
        <f>$B24*AG24*($B24/(Constants!$C$23*1000000000)*IF(ISBLANK(Design!$B$32),Design!$B$31,Design!$B$32)*1000000/2+$B24/(Constants!$C$24*1000000000)*IF(ISBLANK(Design!$B$32),Design!$B$31,Design!$B$32)*1000000/2)</f>
        <v>1.3982459769552162E-2</v>
      </c>
      <c r="AM24" s="239">
        <f t="shared" ca="1" si="3"/>
        <v>5.1505077511343325E-2</v>
      </c>
      <c r="AN24" s="239">
        <f>Constants!$D$22/1000000000*Constants!$C$21*IF(ISBLANK(Design!$B$32),Design!$B$31,Design!$B$32)*1000000</f>
        <v>1.0624999999999999E-2</v>
      </c>
      <c r="AO24" s="239">
        <f t="shared" ca="1" si="11"/>
        <v>0.1059750372808955</v>
      </c>
      <c r="AP24" s="239">
        <f t="shared" ca="1" si="9"/>
        <v>0.13674081885470116</v>
      </c>
      <c r="AQ24" s="240">
        <f ca="1">$A24+AP24*Design!$B$19</f>
        <v>92.794226674717962</v>
      </c>
      <c r="AR24" s="240">
        <f ca="1">AO24*Design!$C$12+$A24</f>
        <v>88.603151267550444</v>
      </c>
      <c r="AS24" s="240">
        <f ca="1">Constants!$D$19+Constants!$D$19*Constants!$C$20/100*(AR24-25)</f>
        <v>161.81191933291714</v>
      </c>
      <c r="AT24" s="239">
        <f ca="1">(1-Constants!$C$17/1000000000*Design!$B$32*1000000) * ($B24+AH24-AG24*AS24/1000) - (AH24+AG24*(1+($A24-25)*Constants!$C$31/100)*IF(ISBLANK(Design!$B$40),Constants!$C$6/1000,Design!$B$40/1000))</f>
        <v>7.370833642147435</v>
      </c>
      <c r="AU24" s="161">
        <f ca="1">IF(AT24&gt;Design!$C$28,Design!$C$28,AT24)</f>
        <v>3.3223709369024856</v>
      </c>
    </row>
    <row r="25" spans="1:47" s="162" customFormat="1" ht="12.75" customHeight="1" x14ac:dyDescent="0.25">
      <c r="A25" s="154">
        <f>Design!$D$13</f>
        <v>85</v>
      </c>
      <c r="B25" s="155">
        <f t="shared" si="0"/>
        <v>7.6950000000000012</v>
      </c>
      <c r="C25" s="156">
        <f>Design!$D$6</f>
        <v>2.5</v>
      </c>
      <c r="D25" s="156">
        <f ca="1">FORECAST(C25, OFFSET(Design!$C$15:$C$17,MATCH(C25,Design!$B$15:$B$17,1)-1,0,2), OFFSET(Design!$B$15:$B$17,MATCH(C25,Design!$B$15:$B$17,1)-1,0,2))+(M25-25)*Design!$B$18/1000</f>
        <v>0.38540908663111972</v>
      </c>
      <c r="E25" s="215">
        <f ca="1">IF(100*(Design!$C$28+D25+C25*IF(ISBLANK(Design!$B$40),Constants!$C$6,Design!$B$40)/1000*(1+Constants!$C$31/100*(N25-25)))/($B25+D25-C25*O25/1000)&gt;Design!$C$35,Design!$C$35,100*(Design!$C$28+D25+C25*IF(ISBLANK(Design!$B$40),Constants!$C$6,Design!$B$40)/1000*(1+Constants!$C$31/100*(N25-25)))/($B25+D25-C25*O25/1000))</f>
        <v>50.672758023224766</v>
      </c>
      <c r="F25" s="157">
        <f ca="1">IF(($B25-C25*IF(ISBLANK(Design!$B$40),Constants!$C$6,Design!$B$40)/1000*(1+Constants!$C$31/100*(N25-25))-Design!$C$28)/(IF(ISBLANK(Design!$B$39),Design!$B$38,Design!$B$39)/1000000)*E25/100/(IF(ISBLANK(Design!$B$32),Design!$B$31,Design!$B$32)*1000000)&lt;0, 0, ($B25-C25*IF(ISBLANK(Design!$B$40),Constants!$C$6,Design!$B$40)/1000*(1+Constants!$C$31/100*(N25-25))-Design!$C$28)/(IF(ISBLANK(Design!$B$39),Design!$B$38,Design!$B$39)/1000000)*E25/100/(IF(ISBLANK(Design!$B$32),Design!$B$31,Design!$B$32)*1000000))</f>
        <v>0.22803098229000482</v>
      </c>
      <c r="G25" s="207">
        <f>B25*Constants!$C$18/1000+IF(ISBLANK(Design!$B$32),Design!$B$31,Design!$B$32)*1000000*Constants!$D$22/1000000000*(B25-Constants!$C$21)</f>
        <v>2.8811875000000008E-2</v>
      </c>
      <c r="H25" s="207">
        <f>B25*C25*(B25/(Constants!$C$23*1000000000)*IF(ISBLANK(Design!$B$32),Design!$B$31,Design!$B$32)*1000000/2+B25/(Constants!$C$24*1000000000)*IF(ISBLANK(Design!$B$32),Design!$B$31,Design!$B$32)*1000000/2)</f>
        <v>3.9798609512705654E-2</v>
      </c>
      <c r="I25" s="207">
        <f t="shared" ca="1" si="1"/>
        <v>0.55469168513180933</v>
      </c>
      <c r="J25" s="207">
        <f>Constants!$D$22/1000000000*Constants!$C$21*IF(ISBLANK(Design!$B$32),Design!$B$31,Design!$B$32)*1000000</f>
        <v>1.0624999999999999E-2</v>
      </c>
      <c r="K25" s="207">
        <f t="shared" ca="1" si="4"/>
        <v>0.63392716964451501</v>
      </c>
      <c r="L25" s="207">
        <f t="shared" ca="1" si="5"/>
        <v>0.47527918190752932</v>
      </c>
      <c r="M25" s="208">
        <f ca="1">A25+L25*Design!$B$19</f>
        <v>112.09091336872918</v>
      </c>
      <c r="N25" s="208">
        <f ca="1">K25*Design!$C$12+A25</f>
        <v>106.5535237679135</v>
      </c>
      <c r="O25" s="208">
        <f ca="1">Constants!$D$19+Constants!$D$19*Constants!$C$20/100*(N25-25)</f>
        <v>175.02339349318436</v>
      </c>
      <c r="P25" s="207">
        <f ca="1">(1-Constants!$C$17/1000000000*Design!$B$32*1000000) * ($B25+D25-C25*O25/1000) - (D25+C25*(1+($A25-25)*Constants!$C$31/100)*IF(ISBLANK(Design!$B$40),Constants!$C$6/1000,Design!$B$40/1000))</f>
        <v>6.7781453656438693</v>
      </c>
      <c r="Q25" s="213">
        <f ca="1">IF(P25&gt;Design!$C$28,Design!$C$28,P25)</f>
        <v>3.3223709369024856</v>
      </c>
      <c r="R25" s="223">
        <f>2*Design!$D$6/3</f>
        <v>1.6666666666666667</v>
      </c>
      <c r="S25" s="158">
        <f ca="1">FORECAST(R25, OFFSET(Design!$C$15:$C$17,MATCH(R25,Design!$B$15:$B$17,1)-1,0,2), OFFSET(Design!$B$15:$B$17,MATCH(R25,Design!$B$15:$B$17,1)-1,0,2))+(AB25-25)*Design!$B$18/1000</f>
        <v>0.35668750514799574</v>
      </c>
      <c r="T25" s="224">
        <f ca="1">IF(100*(Design!$C$28+S25+R25*IF(ISBLANK(Design!$B$40),Constants!$C$6,Design!$B$40)/1000*(1+Constants!$C$31/100*(AC25-25)))/($B25+S25-R25*AD25/1000)&gt;Design!$C$35,Design!$C$35,100*(Design!$C$28+S25+R25*IF(ISBLANK(Design!$B$40),Constants!$C$6,Design!$B$40)/1000*(1+Constants!$C$31/100*(AC25-25)))/($B25+S25-R25*AD25/1000))</f>
        <v>48.689956230625441</v>
      </c>
      <c r="U25" s="159">
        <f ca="1">IF(($B25-R25*IF(ISBLANK(Design!$B$40),Constants!$C$6,Design!$B$40)/1000*(1+Constants!$C$31/100*(AC25-25))-Design!$C$28)/(Design!$B$39/1000000)*T25/100/(IF(ISBLANK(IF(ISBLANK(Design!$B$39),Design!$B$38,Design!$B$39)),Design!$B$31,Design!$B$32)*1000000)&lt;0,0,($B25-R25*IF(ISBLANK(Design!$B$40),Constants!$C$6,Design!$B$40)/1000*(1+Constants!$C$31/100*(AC25-25))-Design!$C$28)/(IF(ISBLANK(Design!$B$39),Design!$B$38,Design!$B$39)/1000000)*T25/100/(IF(ISBLANK(Design!$B$32),Design!$B$31,Design!$B$32)*1000000))</f>
        <v>0.22217204423251863</v>
      </c>
      <c r="V25" s="225">
        <f>$B25*Constants!$C$18/1000+IF(ISBLANK(Design!$B$32),Design!$B$31,Design!$B$32)*1000000*Constants!$D$22/1000000000*($B25-Constants!$C$21)</f>
        <v>2.8811875000000008E-2</v>
      </c>
      <c r="W25" s="225">
        <f>$B25*R25*($B25/(Constants!$C$23*1000000000)*IF(ISBLANK(Design!$B$32),Design!$B$31,Design!$B$32)*1000000/2+$B25/(Constants!$C$24*1000000000)*IF(ISBLANK(Design!$B$32),Design!$B$31,Design!$B$32)*1000000/2)</f>
        <v>2.6532406341803771E-2</v>
      </c>
      <c r="X25" s="225">
        <f t="shared" ca="1" si="2"/>
        <v>0.22546049791318137</v>
      </c>
      <c r="Y25" s="225">
        <f>Constants!$D$22/1000000000*Constants!$C$21*IF(ISBLANK(Design!$B$32),Design!$B$31,Design!$B$32)*1000000</f>
        <v>1.0624999999999999E-2</v>
      </c>
      <c r="Z25" s="225">
        <f t="shared" ca="1" si="10"/>
        <v>0.29142977925498514</v>
      </c>
      <c r="AA25" s="225">
        <f t="shared" ca="1" si="7"/>
        <v>0.30502752501887792</v>
      </c>
      <c r="AB25" s="226">
        <f ca="1">$A25+AA25*Design!$B$19</f>
        <v>102.38656892607604</v>
      </c>
      <c r="AC25" s="226">
        <f ca="1">Z25*Design!$C$12+$A25</f>
        <v>94.908612494669498</v>
      </c>
      <c r="AD25" s="226">
        <f ca="1">Constants!$D$19+Constants!$D$19*Constants!$C$20/100*(AC25-25)</f>
        <v>166.45273879607674</v>
      </c>
      <c r="AE25" s="225">
        <f ca="1">(1-Constants!$C$17/1000000000*Design!$B$32*1000000) * ($B25+S25-R25*AD25/1000) - (S25+R25*(1+($A25-25)*Constants!$C$31/100)*IF(ISBLANK(Design!$B$40),Constants!$C$6/1000,Design!$B$40/1000))</f>
        <v>6.9841891187024734</v>
      </c>
      <c r="AF25" s="159">
        <f ca="1">IF(AE25&gt;Design!$C$28,Design!$C$28,AE25)</f>
        <v>3.3223709369024856</v>
      </c>
      <c r="AG25" s="160">
        <f>Design!$D$6/3</f>
        <v>0.83333333333333337</v>
      </c>
      <c r="AH25" s="160">
        <f ca="1">FORECAST(AG25, OFFSET(Design!$C$15:$C$17,MATCH(AG25,Design!$B$15:$B$17,1)-1,0,2), OFFSET(Design!$B$15:$B$17,MATCH(AG25,Design!$B$15:$B$17,1)-1,0,2))+(AQ25-25)*Design!$B$18/1000</f>
        <v>0.30163113637437683</v>
      </c>
      <c r="AI25" s="238">
        <f ca="1">IF(100*(Design!$C$28+AH25+AG25*IF(ISBLANK(Design!$B$40),Constants!$C$6,Design!$B$40)/1000*(1+Constants!$C$31/100*(AR25-25)))/($B25+AH25-AG25*AS25/1000)&gt;Design!$C$35,Design!$C$35,100*(Design!$C$28+AH25+AG25*IF(ISBLANK(Design!$B$40),Constants!$C$6,Design!$B$40)/1000*(1+Constants!$C$31/100*(AR25-25)))/($B25+AH25-AG25*AS25/1000))</f>
        <v>46.758791991870289</v>
      </c>
      <c r="AJ25" s="161">
        <f ca="1">IF(($B25-AG25*IF(ISBLANK(Design!$B$40),Constants!$C$6,Design!$B$40)/1000*(1+Constants!$C$31/100*(AR25-25))-Design!$C$28)/(IF(ISBLANK(Design!$B$39),Design!$B$38,Design!$B$39)/1000000)*AI25/100/(IF(ISBLANK(Design!$B$32),Design!$B$31,Design!$B$32)*1000000)&lt;0,0,($B25-AG25*IF(ISBLANK(Design!$B$40),Constants!$C$6,Design!$B$40)/1000*(1+Constants!$C$31/100*(AR25-25))-Design!$C$28)/(IF(ISBLANK(Design!$B$39),Design!$B$38,Design!$B$39)/1000000)*AI25/100/(IF(ISBLANK(Design!$B$32),Design!$B$31,Design!$B$32)*1000000))</f>
        <v>0.21606811811426885</v>
      </c>
      <c r="AK25" s="239">
        <f>$B25*Constants!$C$18/1000+IF(ISBLANK(Design!$B$32),Design!$B$31,Design!$B$32)*1000000*Constants!$D$22/1000000000*($B25-Constants!$C$21)</f>
        <v>2.8811875000000008E-2</v>
      </c>
      <c r="AL25" s="239">
        <f>$B25*AG25*($B25/(Constants!$C$23*1000000000)*IF(ISBLANK(Design!$B$32),Design!$B$31,Design!$B$32)*1000000/2+$B25/(Constants!$C$24*1000000000)*IF(ISBLANK(Design!$B$32),Design!$B$31,Design!$B$32)*1000000/2)</f>
        <v>1.3266203170901885E-2</v>
      </c>
      <c r="AM25" s="239">
        <f t="shared" ca="1" si="3"/>
        <v>5.2833341279125798E-2</v>
      </c>
      <c r="AN25" s="239">
        <f>Constants!$D$22/1000000000*Constants!$C$21*IF(ISBLANK(Design!$B$32),Design!$B$31,Design!$B$32)*1000000</f>
        <v>1.0624999999999999E-2</v>
      </c>
      <c r="AO25" s="239">
        <f t="shared" ca="1" si="11"/>
        <v>0.10553641945002769</v>
      </c>
      <c r="AP25" s="239">
        <f t="shared" ca="1" si="9"/>
        <v>0.13382671727863946</v>
      </c>
      <c r="AQ25" s="240">
        <f ca="1">$A25+AP25*Design!$B$19</f>
        <v>92.628122884882444</v>
      </c>
      <c r="AR25" s="240">
        <f ca="1">AO25*Design!$C$12+$A25</f>
        <v>88.588238261300944</v>
      </c>
      <c r="AS25" s="240">
        <f ca="1">Constants!$D$19+Constants!$D$19*Constants!$C$20/100*(AR25-25)</f>
        <v>161.80094336031749</v>
      </c>
      <c r="AT25" s="239">
        <f ca="1">(1-Constants!$C$17/1000000000*Design!$B$32*1000000) * ($B25+AH25-AG25*AS25/1000) - (AH25+AG25*(1+($A25-25)*Constants!$C$31/100)*IF(ISBLANK(Design!$B$40),Constants!$C$6/1000,Design!$B$40/1000))</f>
        <v>7.1745478406478371</v>
      </c>
      <c r="AU25" s="161">
        <f ca="1">IF(AT25&gt;Design!$C$28,Design!$C$28,AT25)</f>
        <v>3.3223709369024856</v>
      </c>
    </row>
    <row r="26" spans="1:47" s="162" customFormat="1" ht="12.75" customHeight="1" x14ac:dyDescent="0.25">
      <c r="A26" s="154">
        <f>Design!$D$13</f>
        <v>85</v>
      </c>
      <c r="B26" s="155">
        <f t="shared" si="0"/>
        <v>7.4900000000000011</v>
      </c>
      <c r="C26" s="156">
        <f>Design!$D$6</f>
        <v>2.5</v>
      </c>
      <c r="D26" s="156">
        <f ca="1">FORECAST(C26, OFFSET(Design!$C$15:$C$17,MATCH(C26,Design!$B$15:$B$17,1)-1,0,2), OFFSET(Design!$B$15:$B$17,MATCH(C26,Design!$B$15:$B$17,1)-1,0,2))+(M26-25)*Design!$B$18/1000</f>
        <v>0.38613405319166466</v>
      </c>
      <c r="E26" s="215">
        <f ca="1">IF(100*(Design!$C$28+D26+C26*IF(ISBLANK(Design!$B$40),Constants!$C$6,Design!$B$40)/1000*(1+Constants!$C$31/100*(N26-25)))/($B26+D26-C26*O26/1000)&gt;Design!$C$35,Design!$C$35,100*(Design!$C$28+D26+C26*IF(ISBLANK(Design!$B$40),Constants!$C$6,Design!$B$40)/1000*(1+Constants!$C$31/100*(N26-25)))/($B26+D26-C26*O26/1000))</f>
        <v>52.082913537870724</v>
      </c>
      <c r="F26" s="157">
        <f ca="1">IF(($B26-C26*IF(ISBLANK(Design!$B$40),Constants!$C$6,Design!$B$40)/1000*(1+Constants!$C$31/100*(N26-25))-Design!$C$28)/(IF(ISBLANK(Design!$B$39),Design!$B$38,Design!$B$39)/1000000)*E26/100/(IF(ISBLANK(Design!$B$32),Design!$B$31,Design!$B$32)*1000000)&lt;0, 0, ($B26-C26*IF(ISBLANK(Design!$B$40),Constants!$C$6,Design!$B$40)/1000*(1+Constants!$C$31/100*(N26-25))-Design!$C$28)/(IF(ISBLANK(Design!$B$39),Design!$B$38,Design!$B$39)/1000000)*E26/100/(IF(ISBLANK(Design!$B$32),Design!$B$31,Design!$B$32)*1000000))</f>
        <v>0.22294509798392115</v>
      </c>
      <c r="G26" s="207">
        <f>B26*Constants!$C$18/1000+IF(ISBLANK(Design!$B$32),Design!$B$31,Design!$B$32)*1000000*Constants!$D$22/1000000000*(B26-Constants!$C$21)</f>
        <v>2.7761250000000008E-2</v>
      </c>
      <c r="H26" s="207">
        <f>B26*C26*(B26/(Constants!$C$23*1000000000)*IF(ISBLANK(Design!$B$32),Design!$B$31,Design!$B$32)*1000000/2+B26/(Constants!$C$24*1000000000)*IF(ISBLANK(Design!$B$32),Design!$B$31,Design!$B$32)*1000000/2)</f>
        <v>3.7706331901194677E-2</v>
      </c>
      <c r="I26" s="207">
        <f t="shared" ca="1" si="1"/>
        <v>0.57120003401252895</v>
      </c>
      <c r="J26" s="207">
        <f>Constants!$D$22/1000000000*Constants!$C$21*IF(ISBLANK(Design!$B$32),Design!$B$31,Design!$B$32)*1000000</f>
        <v>1.0624999999999999E-2</v>
      </c>
      <c r="K26" s="207">
        <f t="shared" ca="1" si="4"/>
        <v>0.64729261591372367</v>
      </c>
      <c r="L26" s="207">
        <f t="shared" ca="1" si="5"/>
        <v>0.46256047031893549</v>
      </c>
      <c r="M26" s="208">
        <f ca="1">A26+L26*Design!$B$19</f>
        <v>111.36594680817933</v>
      </c>
      <c r="N26" s="208">
        <f ca="1">K26*Design!$C$12+A26</f>
        <v>107.0079489410666</v>
      </c>
      <c r="O26" s="208">
        <f ca="1">Constants!$D$19+Constants!$D$19*Constants!$C$20/100*(N26-25)</f>
        <v>175.35785042062503</v>
      </c>
      <c r="P26" s="207">
        <f ca="1">(1-Constants!$C$17/1000000000*Design!$B$32*1000000) * ($B26+D26-C26*O26/1000) - (D26+C26*(1+($A26-25)*Constants!$C$31/100)*IF(ISBLANK(Design!$B$40),Constants!$C$6/1000,Design!$B$40/1000))</f>
        <v>6.5810264482949847</v>
      </c>
      <c r="Q26" s="213">
        <f ca="1">IF(P26&gt;Design!$C$28,Design!$C$28,P26)</f>
        <v>3.3223709369024856</v>
      </c>
      <c r="R26" s="223">
        <f>2*Design!$D$6/3</f>
        <v>1.6666666666666667</v>
      </c>
      <c r="S26" s="158">
        <f ca="1">FORECAST(R26, OFFSET(Design!$C$15:$C$17,MATCH(R26,Design!$B$15:$B$17,1)-1,0,2), OFFSET(Design!$B$15:$B$17,MATCH(R26,Design!$B$15:$B$17,1)-1,0,2))+(AB26-25)*Design!$B$18/1000</f>
        <v>0.35711552045912787</v>
      </c>
      <c r="T26" s="224">
        <f ca="1">IF(100*(Design!$C$28+S26+R26*IF(ISBLANK(Design!$B$40),Constants!$C$6,Design!$B$40)/1000*(1+Constants!$C$31/100*(AC26-25)))/($B26+S26-R26*AD26/1000)&gt;Design!$C$35,Design!$C$35,100*(Design!$C$28+S26+R26*IF(ISBLANK(Design!$B$40),Constants!$C$6,Design!$B$40)/1000*(1+Constants!$C$31/100*(AC26-25)))/($B26+S26-R26*AD26/1000))</f>
        <v>50.01306847315908</v>
      </c>
      <c r="U26" s="159">
        <f ca="1">IF(($B26-R26*IF(ISBLANK(Design!$B$40),Constants!$C$6,Design!$B$40)/1000*(1+Constants!$C$31/100*(AC26-25))-Design!$C$28)/(Design!$B$39/1000000)*T26/100/(IF(ISBLANK(IF(ISBLANK(Design!$B$39),Design!$B$38,Design!$B$39)),Design!$B$31,Design!$B$32)*1000000)&lt;0,0,($B26-R26*IF(ISBLANK(Design!$B$40),Constants!$C$6,Design!$B$40)/1000*(1+Constants!$C$31/100*(AC26-25))-Design!$C$28)/(IF(ISBLANK(Design!$B$39),Design!$B$38,Design!$B$39)/1000000)*T26/100/(IF(ISBLANK(Design!$B$32),Design!$B$31,Design!$B$32)*1000000))</f>
        <v>0.21724170473269477</v>
      </c>
      <c r="V26" s="225">
        <f>$B26*Constants!$C$18/1000+IF(ISBLANK(Design!$B$32),Design!$B$31,Design!$B$32)*1000000*Constants!$D$22/1000000000*($B26-Constants!$C$21)</f>
        <v>2.7761250000000008E-2</v>
      </c>
      <c r="W26" s="225">
        <f>$B26*R26*($B26/(Constants!$C$23*1000000000)*IF(ISBLANK(Design!$B$32),Design!$B$31,Design!$B$32)*1000000/2+$B26/(Constants!$C$24*1000000000)*IF(ISBLANK(Design!$B$32),Design!$B$31,Design!$B$32)*1000000/2)</f>
        <v>2.5137554600796457E-2</v>
      </c>
      <c r="X26" s="225">
        <f t="shared" ca="1" si="2"/>
        <v>0.23170442333208438</v>
      </c>
      <c r="Y26" s="225">
        <f>Constants!$D$22/1000000000*Constants!$C$21*IF(ISBLANK(Design!$B$32),Design!$B$31,Design!$B$32)*1000000</f>
        <v>1.0624999999999999E-2</v>
      </c>
      <c r="Z26" s="225">
        <f t="shared" ca="1" si="10"/>
        <v>0.29522822793288084</v>
      </c>
      <c r="AA26" s="225">
        <f t="shared" ca="1" si="7"/>
        <v>0.29751848447270968</v>
      </c>
      <c r="AB26" s="226">
        <f ca="1">$A26+AA26*Design!$B$19</f>
        <v>101.95855361494445</v>
      </c>
      <c r="AC26" s="226">
        <f ca="1">Z26*Design!$C$12+$A26</f>
        <v>95.037759749717949</v>
      </c>
      <c r="AD26" s="226">
        <f ca="1">Constants!$D$19+Constants!$D$19*Constants!$C$20/100*(AC26-25)</f>
        <v>166.54779117579241</v>
      </c>
      <c r="AE26" s="225">
        <f ca="1">(1-Constants!$C$17/1000000000*Design!$B$32*1000000) * ($B26+S26-R26*AD26/1000) - (S26+R26*(1+($A26-25)*Constants!$C$31/100)*IF(ISBLANK(Design!$B$40),Constants!$C$6/1000,Design!$B$40/1000))</f>
        <v>6.7877317402957864</v>
      </c>
      <c r="AF26" s="159">
        <f ca="1">IF(AE26&gt;Design!$C$28,Design!$C$28,AE26)</f>
        <v>3.3223709369024856</v>
      </c>
      <c r="AG26" s="160">
        <f>Design!$D$6/3</f>
        <v>0.83333333333333337</v>
      </c>
      <c r="AH26" s="160">
        <f ca="1">FORECAST(AG26, OFFSET(Design!$C$15:$C$17,MATCH(AG26,Design!$B$15:$B$17,1)-1,0,2), OFFSET(Design!$B$15:$B$17,MATCH(AG26,Design!$B$15:$B$17,1)-1,0,2))+(AQ26-25)*Design!$B$18/1000</f>
        <v>0.30180633606974711</v>
      </c>
      <c r="AI26" s="238">
        <f ca="1">IF(100*(Design!$C$28+AH26+AG26*IF(ISBLANK(Design!$B$40),Constants!$C$6,Design!$B$40)/1000*(1+Constants!$C$31/100*(AR26-25)))/($B26+AH26-AG26*AS26/1000)&gt;Design!$C$35,Design!$C$35,100*(Design!$C$28+AH26+AG26*IF(ISBLANK(Design!$B$40),Constants!$C$6,Design!$B$40)/1000*(1+Constants!$C$31/100*(AR26-25)))/($B26+AH26-AG26*AS26/1000))</f>
        <v>48.011811767022337</v>
      </c>
      <c r="AJ26" s="161">
        <f ca="1">IF(($B26-AG26*IF(ISBLANK(Design!$B$40),Constants!$C$6,Design!$B$40)/1000*(1+Constants!$C$31/100*(AR26-25))-Design!$C$28)/(IF(ISBLANK(Design!$B$39),Design!$B$38,Design!$B$39)/1000000)*AI26/100/(IF(ISBLANK(Design!$B$32),Design!$B$31,Design!$B$32)*1000000)&lt;0,0,($B26-AG26*IF(ISBLANK(Design!$B$40),Constants!$C$6,Design!$B$40)/1000*(1+Constants!$C$31/100*(AR26-25))-Design!$C$28)/(IF(ISBLANK(Design!$B$39),Design!$B$38,Design!$B$39)/1000000)*AI26/100/(IF(ISBLANK(Design!$B$32),Design!$B$31,Design!$B$32)*1000000))</f>
        <v>0.21133165399723769</v>
      </c>
      <c r="AK26" s="239">
        <f>$B26*Constants!$C$18/1000+IF(ISBLANK(Design!$B$32),Design!$B$31,Design!$B$32)*1000000*Constants!$D$22/1000000000*($B26-Constants!$C$21)</f>
        <v>2.7761250000000008E-2</v>
      </c>
      <c r="AL26" s="239">
        <f>$B26*AG26*($B26/(Constants!$C$23*1000000000)*IF(ISBLANK(Design!$B$32),Design!$B$31,Design!$B$32)*1000000/2+$B26/(Constants!$C$24*1000000000)*IF(ISBLANK(Design!$B$32),Design!$B$31,Design!$B$32)*1000000/2)</f>
        <v>1.2568777300398229E-2</v>
      </c>
      <c r="AM26" s="239">
        <f t="shared" ca="1" si="3"/>
        <v>5.4233117580347892E-2</v>
      </c>
      <c r="AN26" s="239">
        <f>Constants!$D$22/1000000000*Constants!$C$21*IF(ISBLANK(Design!$B$32),Design!$B$31,Design!$B$32)*1000000</f>
        <v>1.0624999999999999E-2</v>
      </c>
      <c r="AO26" s="239">
        <f t="shared" ca="1" si="11"/>
        <v>0.10518814488074613</v>
      </c>
      <c r="AP26" s="239">
        <f t="shared" ca="1" si="9"/>
        <v>0.13075303841249442</v>
      </c>
      <c r="AQ26" s="240">
        <f ca="1">$A26+AP26*Design!$B$19</f>
        <v>92.452923189512177</v>
      </c>
      <c r="AR26" s="240">
        <f ca="1">AO26*Design!$C$12+$A26</f>
        <v>88.576396925945375</v>
      </c>
      <c r="AS26" s="240">
        <f ca="1">Constants!$D$19+Constants!$D$19*Constants!$C$20/100*(AR26-25)</f>
        <v>161.79222813749581</v>
      </c>
      <c r="AT26" s="239">
        <f ca="1">(1-Constants!$C$17/1000000000*Design!$B$32*1000000) * ($B26+AH26-AG26*AS26/1000) - (AH26+AG26*(1+($A26-25)*Constants!$C$31/100)*IF(ISBLANK(Design!$B$40),Constants!$C$6/1000,Design!$B$40/1000))</f>
        <v>6.9782598486823275</v>
      </c>
      <c r="AU26" s="161">
        <f ca="1">IF(AT26&gt;Design!$C$28,Design!$C$28,AT26)</f>
        <v>3.3223709369024856</v>
      </c>
    </row>
    <row r="27" spans="1:47" s="162" customFormat="1" ht="12.75" customHeight="1" x14ac:dyDescent="0.25">
      <c r="A27" s="154">
        <f>Design!$D$13</f>
        <v>85</v>
      </c>
      <c r="B27" s="155">
        <f t="shared" si="0"/>
        <v>7.285000000000001</v>
      </c>
      <c r="C27" s="156">
        <f>Design!$D$6</f>
        <v>2.5</v>
      </c>
      <c r="D27" s="156">
        <f ca="1">FORECAST(C27, OFFSET(Design!$C$15:$C$17,MATCH(C27,Design!$B$15:$B$17,1)-1,0,2), OFFSET(Design!$B$15:$B$17,MATCH(C27,Design!$B$15:$B$17,1)-1,0,2))+(M27-25)*Design!$B$18/1000</f>
        <v>0.38690365002976251</v>
      </c>
      <c r="E27" s="215">
        <f ca="1">IF(100*(Design!$C$28+D27+C27*IF(ISBLANK(Design!$B$40),Constants!$C$6,Design!$B$40)/1000*(1+Constants!$C$31/100*(N27-25)))/($B27+D27-C27*O27/1000)&gt;Design!$C$35,Design!$C$35,100*(Design!$C$28+D27+C27*IF(ISBLANK(Design!$B$40),Constants!$C$6,Design!$B$40)/1000*(1+Constants!$C$31/100*(N27-25)))/($B27+D27-C27*O27/1000))</f>
        <v>53.574098215922803</v>
      </c>
      <c r="F27" s="157">
        <f ca="1">IF(($B27-C27*IF(ISBLANK(Design!$B$40),Constants!$C$6,Design!$B$40)/1000*(1+Constants!$C$31/100*(N27-25))-Design!$C$28)/(IF(ISBLANK(Design!$B$39),Design!$B$38,Design!$B$39)/1000000)*E27/100/(IF(ISBLANK(Design!$B$32),Design!$B$31,Design!$B$32)*1000000)&lt;0, 0, ($B27-C27*IF(ISBLANK(Design!$B$40),Constants!$C$6,Design!$B$40)/1000*(1+Constants!$C$31/100*(N27-25))-Design!$C$28)/(IF(ISBLANK(Design!$B$39),Design!$B$38,Design!$B$39)/1000000)*E27/100/(IF(ISBLANK(Design!$B$32),Design!$B$31,Design!$B$32)*1000000))</f>
        <v>0.21756820108834041</v>
      </c>
      <c r="G27" s="207">
        <f>B27*Constants!$C$18/1000+IF(ISBLANK(Design!$B$32),Design!$B$31,Design!$B$32)*1000000*Constants!$D$22/1000000000*(B27-Constants!$C$21)</f>
        <v>2.6710625000000005E-2</v>
      </c>
      <c r="H27" s="207">
        <f>B27*C27*(B27/(Constants!$C$23*1000000000)*IF(ISBLANK(Design!$B$32),Design!$B$31,Design!$B$32)*1000000/2+B27/(Constants!$C$24*1000000000)*IF(ISBLANK(Design!$B$32),Design!$B$31,Design!$B$32)*1000000/2)</f>
        <v>3.5670546474123585E-2</v>
      </c>
      <c r="I27" s="207">
        <f t="shared" ca="1" si="1"/>
        <v>0.58874800253895743</v>
      </c>
      <c r="J27" s="207">
        <f>Constants!$D$22/1000000000*Constants!$C$21*IF(ISBLANK(Design!$B$32),Design!$B$31,Design!$B$32)*1000000</f>
        <v>1.0624999999999999E-2</v>
      </c>
      <c r="K27" s="207">
        <f t="shared" ca="1" si="4"/>
        <v>0.66175417401308101</v>
      </c>
      <c r="L27" s="207">
        <f t="shared" ca="1" si="5"/>
        <v>0.44905877140456824</v>
      </c>
      <c r="M27" s="208">
        <f ca="1">A27+L27*Design!$B$19</f>
        <v>110.59634997006039</v>
      </c>
      <c r="N27" s="208">
        <f ca="1">K27*Design!$C$12+A27</f>
        <v>107.49964191644476</v>
      </c>
      <c r="O27" s="208">
        <f ca="1">Constants!$D$19+Constants!$D$19*Constants!$C$20/100*(N27-25)</f>
        <v>175.71973645050335</v>
      </c>
      <c r="P27" s="207">
        <f ca="1">(1-Constants!$C$17/1000000000*Design!$B$32*1000000) * ($B27+D27-C27*O27/1000) - (D27+C27*(1+($A27-25)*Constants!$C$31/100)*IF(ISBLANK(Design!$B$40),Constants!$C$6/1000,Design!$B$40/1000))</f>
        <v>6.3838399757453441</v>
      </c>
      <c r="Q27" s="213">
        <f ca="1">IF(P27&gt;Design!$C$28,Design!$C$28,P27)</f>
        <v>3.3223709369024856</v>
      </c>
      <c r="R27" s="223">
        <f>2*Design!$D$6/3</f>
        <v>1.6666666666666667</v>
      </c>
      <c r="S27" s="158">
        <f ca="1">FORECAST(R27, OFFSET(Design!$C$15:$C$17,MATCH(R27,Design!$B$15:$B$17,1)-1,0,2), OFFSET(Design!$B$15:$B$17,MATCH(R27,Design!$B$15:$B$17,1)-1,0,2))+(AB27-25)*Design!$B$18/1000</f>
        <v>0.35756855909041879</v>
      </c>
      <c r="T27" s="224">
        <f ca="1">IF(100*(Design!$C$28+S27+R27*IF(ISBLANK(Design!$B$40),Constants!$C$6,Design!$B$40)/1000*(1+Constants!$C$31/100*(AC27-25)))/($B27+S27-R27*AD27/1000)&gt;Design!$C$35,Design!$C$35,100*(Design!$C$28+S27+R27*IF(ISBLANK(Design!$B$40),Constants!$C$6,Design!$B$40)/1000*(1+Constants!$C$31/100*(AC27-25)))/($B27+S27-R27*AD27/1000))</f>
        <v>51.410083865372293</v>
      </c>
      <c r="U27" s="159">
        <f ca="1">IF(($B27-R27*IF(ISBLANK(Design!$B$40),Constants!$C$6,Design!$B$40)/1000*(1+Constants!$C$31/100*(AC27-25))-Design!$C$28)/(Design!$B$39/1000000)*T27/100/(IF(ISBLANK(IF(ISBLANK(Design!$B$39),Design!$B$38,Design!$B$39)),Design!$B$31,Design!$B$32)*1000000)&lt;0,0,($B27-R27*IF(ISBLANK(Design!$B$40),Constants!$C$6,Design!$B$40)/1000*(1+Constants!$C$31/100*(AC27-25))-Design!$C$28)/(IF(ISBLANK(Design!$B$39),Design!$B$38,Design!$B$39)/1000000)*T27/100/(IF(ISBLANK(Design!$B$32),Design!$B$31,Design!$B$32)*1000000))</f>
        <v>0.21203561854215383</v>
      </c>
      <c r="V27" s="225">
        <f>$B27*Constants!$C$18/1000+IF(ISBLANK(Design!$B$32),Design!$B$31,Design!$B$32)*1000000*Constants!$D$22/1000000000*($B27-Constants!$C$21)</f>
        <v>2.6710625000000005E-2</v>
      </c>
      <c r="W27" s="225">
        <f>$B27*R27*($B27/(Constants!$C$23*1000000000)*IF(ISBLANK(Design!$B$32),Design!$B$31,Design!$B$32)*1000000/2+$B27/(Constants!$C$24*1000000000)*IF(ISBLANK(Design!$B$32),Design!$B$31,Design!$B$32)*1000000/2)</f>
        <v>2.3780364316082391E-2</v>
      </c>
      <c r="X27" s="225">
        <f t="shared" ca="1" si="2"/>
        <v>0.23831092390308173</v>
      </c>
      <c r="Y27" s="225">
        <f>Constants!$D$22/1000000000*Constants!$C$21*IF(ISBLANK(Design!$B$32),Design!$B$31,Design!$B$32)*1000000</f>
        <v>1.0624999999999999E-2</v>
      </c>
      <c r="Z27" s="225">
        <f t="shared" ca="1" si="10"/>
        <v>0.29942691321916415</v>
      </c>
      <c r="AA27" s="225">
        <f t="shared" ca="1" si="7"/>
        <v>0.28957043830971868</v>
      </c>
      <c r="AB27" s="226">
        <f ca="1">$A27+AA27*Design!$B$19</f>
        <v>101.50551498365397</v>
      </c>
      <c r="AC27" s="226">
        <f ca="1">Z27*Design!$C$12+$A27</f>
        <v>95.180515049451586</v>
      </c>
      <c r="AD27" s="226">
        <f ca="1">Constants!$D$19+Constants!$D$19*Constants!$C$20/100*(AC27-25)</f>
        <v>166.65285907639637</v>
      </c>
      <c r="AE27" s="225">
        <f ca="1">(1-Constants!$C$17/1000000000*Design!$B$32*1000000) * ($B27+S27-R27*AD27/1000) - (S27+R27*(1+($A27-25)*Constants!$C$31/100)*IF(ISBLANK(Design!$B$40),Constants!$C$6/1000,Design!$B$40/1000))</f>
        <v>6.5912573152959091</v>
      </c>
      <c r="AF27" s="159">
        <f ca="1">IF(AE27&gt;Design!$C$28,Design!$C$28,AE27)</f>
        <v>3.3223709369024856</v>
      </c>
      <c r="AG27" s="160">
        <f>Design!$D$6/3</f>
        <v>0.83333333333333337</v>
      </c>
      <c r="AH27" s="160">
        <f ca="1">FORECAST(AG27, OFFSET(Design!$C$15:$C$17,MATCH(AG27,Design!$B$15:$B$17,1)-1,0,2), OFFSET(Design!$B$15:$B$17,MATCH(AG27,Design!$B$15:$B$17,1)-1,0,2))+(AQ27-25)*Design!$B$18/1000</f>
        <v>0.30199139926438123</v>
      </c>
      <c r="AI27" s="238">
        <f ca="1">IF(100*(Design!$C$28+AH27+AG27*IF(ISBLANK(Design!$B$40),Constants!$C$6,Design!$B$40)/1000*(1+Constants!$C$31/100*(AR27-25)))/($B27+AH27-AG27*AS27/1000)&gt;Design!$C$35,Design!$C$35,100*(Design!$C$28+AH27+AG27*IF(ISBLANK(Design!$B$40),Constants!$C$6,Design!$B$40)/1000*(1+Constants!$C$31/100*(AR27-25)))/($B27+AH27-AG27*AS27/1000))</f>
        <v>49.333795859005342</v>
      </c>
      <c r="AJ27" s="161">
        <f ca="1">IF(($B27-AG27*IF(ISBLANK(Design!$B$40),Constants!$C$6,Design!$B$40)/1000*(1+Constants!$C$31/100*(AR27-25))-Design!$C$28)/(IF(ISBLANK(Design!$B$39),Design!$B$38,Design!$B$39)/1000000)*AI27/100/(IF(ISBLANK(Design!$B$32),Design!$B$31,Design!$B$32)*1000000)&lt;0,0,($B27-AG27*IF(ISBLANK(Design!$B$40),Constants!$C$6,Design!$B$40)/1000*(1+Constants!$C$31/100*(AR27-25))-Design!$C$28)/(IF(ISBLANK(Design!$B$39),Design!$B$38,Design!$B$39)/1000000)*AI27/100/(IF(ISBLANK(Design!$B$32),Design!$B$31,Design!$B$32)*1000000))</f>
        <v>0.20633415134520863</v>
      </c>
      <c r="AK27" s="239">
        <f>$B27*Constants!$C$18/1000+IF(ISBLANK(Design!$B$32),Design!$B$31,Design!$B$32)*1000000*Constants!$D$22/1000000000*($B27-Constants!$C$21)</f>
        <v>2.6710625000000005E-2</v>
      </c>
      <c r="AL27" s="239">
        <f>$B27*AG27*($B27/(Constants!$C$23*1000000000)*IF(ISBLANK(Design!$B$32),Design!$B$31,Design!$B$32)*1000000/2+$B27/(Constants!$C$24*1000000000)*IF(ISBLANK(Design!$B$32),Design!$B$31,Design!$B$32)*1000000/2)</f>
        <v>1.1890182158041196E-2</v>
      </c>
      <c r="AM27" s="239">
        <f t="shared" ca="1" si="3"/>
        <v>5.5710347584360984E-2</v>
      </c>
      <c r="AN27" s="239">
        <f>Constants!$D$22/1000000000*Constants!$C$21*IF(ISBLANK(Design!$B$32),Design!$B$31,Design!$B$32)*1000000</f>
        <v>1.0624999999999999E-2</v>
      </c>
      <c r="AO27" s="239">
        <f t="shared" ca="1" si="11"/>
        <v>0.10493615474240217</v>
      </c>
      <c r="AP27" s="239">
        <f t="shared" ca="1" si="9"/>
        <v>0.12750631569961471</v>
      </c>
      <c r="AQ27" s="240">
        <f ca="1">$A27+AP27*Design!$B$19</f>
        <v>92.267859994878037</v>
      </c>
      <c r="AR27" s="240">
        <f ca="1">AO27*Design!$C$12+$A27</f>
        <v>88.56782926124167</v>
      </c>
      <c r="AS27" s="240">
        <f ca="1">Constants!$D$19+Constants!$D$19*Constants!$C$20/100*(AR27-25)</f>
        <v>161.78592233627387</v>
      </c>
      <c r="AT27" s="239">
        <f ca="1">(1-Constants!$C$17/1000000000*Design!$B$32*1000000) * ($B27+AH27-AG27*AS27/1000) - (AH27+AG27*(1+($A27-25)*Constants!$C$31/100)*IF(ISBLANK(Design!$B$40),Constants!$C$6/1000,Design!$B$40/1000))</f>
        <v>6.7819695150004469</v>
      </c>
      <c r="AU27" s="161">
        <f ca="1">IF(AT27&gt;Design!$C$28,Design!$C$28,AT27)</f>
        <v>3.3223709369024856</v>
      </c>
    </row>
    <row r="28" spans="1:47" s="162" customFormat="1" ht="12.75" customHeight="1" x14ac:dyDescent="0.25">
      <c r="A28" s="154">
        <f>Design!$D$13</f>
        <v>85</v>
      </c>
      <c r="B28" s="155">
        <f t="shared" si="0"/>
        <v>7.080000000000001</v>
      </c>
      <c r="C28" s="156">
        <f>Design!$D$6</f>
        <v>2.5</v>
      </c>
      <c r="D28" s="156">
        <f ca="1">FORECAST(C28, OFFSET(Design!$C$15:$C$17,MATCH(C28,Design!$B$15:$B$17,1)-1,0,2), OFFSET(Design!$B$15:$B$17,MATCH(C28,Design!$B$15:$B$17,1)-1,0,2))+(M28-25)*Design!$B$18/1000</f>
        <v>0.38772214042554021</v>
      </c>
      <c r="E28" s="215">
        <f ca="1">IF(100*(Design!$C$28+D28+C28*IF(ISBLANK(Design!$B$40),Constants!$C$6,Design!$B$40)/1000*(1+Constants!$C$31/100*(N28-25)))/($B28+D28-C28*O28/1000)&gt;Design!$C$35,Design!$C$35,100*(Design!$C$28+D28+C28*IF(ISBLANK(Design!$B$40),Constants!$C$6,Design!$B$40)/1000*(1+Constants!$C$31/100*(N28-25)))/($B28+D28-C28*O28/1000))</f>
        <v>55.153524088251004</v>
      </c>
      <c r="F28" s="157">
        <f ca="1">IF(($B28-C28*IF(ISBLANK(Design!$B$40),Constants!$C$6,Design!$B$40)/1000*(1+Constants!$C$31/100*(N28-25))-Design!$C$28)/(IF(ISBLANK(Design!$B$39),Design!$B$38,Design!$B$39)/1000000)*E28/100/(IF(ISBLANK(Design!$B$32),Design!$B$31,Design!$B$32)*1000000)&lt;0, 0, ($B28-C28*IF(ISBLANK(Design!$B$40),Constants!$C$6,Design!$B$40)/1000*(1+Constants!$C$31/100*(N28-25))-Design!$C$28)/(IF(ISBLANK(Design!$B$39),Design!$B$38,Design!$B$39)/1000000)*E28/100/(IF(ISBLANK(Design!$B$32),Design!$B$31,Design!$B$32)*1000000))</f>
        <v>0.21187444958920054</v>
      </c>
      <c r="G28" s="207">
        <f>B28*Constants!$C$18/1000+IF(ISBLANK(Design!$B$32),Design!$B$31,Design!$B$32)*1000000*Constants!$D$22/1000000000*(B28-Constants!$C$21)</f>
        <v>2.5660000000000002E-2</v>
      </c>
      <c r="H28" s="207">
        <f>B28*C28*(B28/(Constants!$C$23*1000000000)*IF(ISBLANK(Design!$B$32),Design!$B$31,Design!$B$32)*1000000/2+B28/(Constants!$C$24*1000000000)*IF(ISBLANK(Design!$B$32),Design!$B$31,Design!$B$32)*1000000/2)</f>
        <v>3.3691253231492371E-2</v>
      </c>
      <c r="I28" s="207">
        <f t="shared" ca="1" si="1"/>
        <v>0.60743676331930907</v>
      </c>
      <c r="J28" s="207">
        <f>Constants!$D$22/1000000000*Constants!$C$21*IF(ISBLANK(Design!$B$32),Design!$B$31,Design!$B$32)*1000000</f>
        <v>1.0624999999999999E-2</v>
      </c>
      <c r="K28" s="207">
        <f t="shared" ca="1" si="4"/>
        <v>0.67741301655080144</v>
      </c>
      <c r="L28" s="207">
        <f t="shared" ca="1" si="5"/>
        <v>0.43469929077614378</v>
      </c>
      <c r="M28" s="208">
        <f ca="1">A28+L28*Design!$B$19</f>
        <v>109.7778595742402</v>
      </c>
      <c r="N28" s="208">
        <f ca="1">K28*Design!$C$12+A28</f>
        <v>108.03204256272724</v>
      </c>
      <c r="O28" s="208">
        <f ca="1">Constants!$D$19+Constants!$D$19*Constants!$C$20/100*(N28-25)</f>
        <v>176.11158332616725</v>
      </c>
      <c r="P28" s="207">
        <f ca="1">(1-Constants!$C$17/1000000000*Design!$B$32*1000000) * ($B28+D28-C28*O28/1000) - (D28+C28*(1+($A28-25)*Constants!$C$31/100)*IF(ISBLANK(Design!$B$40),Constants!$C$6/1000,Design!$B$40/1000))</f>
        <v>6.1865797064449026</v>
      </c>
      <c r="Q28" s="213">
        <f ca="1">IF(P28&gt;Design!$C$28,Design!$C$28,P28)</f>
        <v>3.3223709369024856</v>
      </c>
      <c r="R28" s="223">
        <f>2*Design!$D$6/3</f>
        <v>1.6666666666666667</v>
      </c>
      <c r="S28" s="158">
        <f ca="1">FORECAST(R28, OFFSET(Design!$C$15:$C$17,MATCH(R28,Design!$B$15:$B$17,1)-1,0,2), OFFSET(Design!$B$15:$B$17,MATCH(R28,Design!$B$15:$B$17,1)-1,0,2))+(AB28-25)*Design!$B$18/1000</f>
        <v>0.35804887972661548</v>
      </c>
      <c r="T28" s="224">
        <f ca="1">IF(100*(Design!$C$28+S28+R28*IF(ISBLANK(Design!$B$40),Constants!$C$6,Design!$B$40)/1000*(1+Constants!$C$31/100*(AC28-25)))/($B28+S28-R28*AD28/1000)&gt;Design!$C$35,Design!$C$35,100*(Design!$C$28+S28+R28*IF(ISBLANK(Design!$B$40),Constants!$C$6,Design!$B$40)/1000*(1+Constants!$C$31/100*(AC28-25)))/($B28+S28-R28*AD28/1000))</f>
        <v>52.887366546761399</v>
      </c>
      <c r="U28" s="159">
        <f ca="1">IF(($B28-R28*IF(ISBLANK(Design!$B$40),Constants!$C$6,Design!$B$40)/1000*(1+Constants!$C$31/100*(AC28-25))-Design!$C$28)/(Design!$B$39/1000000)*T28/100/(IF(ISBLANK(IF(ISBLANK(Design!$B$39),Design!$B$38,Design!$B$39)),Design!$B$31,Design!$B$32)*1000000)&lt;0,0,($B28-R28*IF(ISBLANK(Design!$B$40),Constants!$C$6,Design!$B$40)/1000*(1+Constants!$C$31/100*(AC28-25))-Design!$C$28)/(IF(ISBLANK(Design!$B$39),Design!$B$38,Design!$B$39)/1000000)*T28/100/(IF(ISBLANK(Design!$B$32),Design!$B$31,Design!$B$32)*1000000))</f>
        <v>0.20652997664160294</v>
      </c>
      <c r="V28" s="225">
        <f>$B28*Constants!$C$18/1000+IF(ISBLANK(Design!$B$32),Design!$B$31,Design!$B$32)*1000000*Constants!$D$22/1000000000*($B28-Constants!$C$21)</f>
        <v>2.5660000000000002E-2</v>
      </c>
      <c r="W28" s="225">
        <f>$B28*R28*($B28/(Constants!$C$23*1000000000)*IF(ISBLANK(Design!$B$32),Design!$B$31,Design!$B$32)*1000000/2+$B28/(Constants!$C$24*1000000000)*IF(ISBLANK(Design!$B$32),Design!$B$31,Design!$B$32)*1000000/2)</f>
        <v>2.2460835487661583E-2</v>
      </c>
      <c r="X28" s="225">
        <f t="shared" ca="1" si="2"/>
        <v>0.24531240426823336</v>
      </c>
      <c r="Y28" s="225">
        <f>Constants!$D$22/1000000000*Constants!$C$21*IF(ISBLANK(Design!$B$32),Design!$B$31,Design!$B$32)*1000000</f>
        <v>1.0624999999999999E-2</v>
      </c>
      <c r="Z28" s="225">
        <f t="shared" ca="1" si="10"/>
        <v>0.30405823975589497</v>
      </c>
      <c r="AA28" s="225">
        <f t="shared" ca="1" si="7"/>
        <v>0.28114376048171252</v>
      </c>
      <c r="AB28" s="226">
        <f ca="1">$A28+AA28*Design!$B$19</f>
        <v>101.02519434745761</v>
      </c>
      <c r="AC28" s="226">
        <f ca="1">Z28*Design!$C$12+$A28</f>
        <v>95.337980151700435</v>
      </c>
      <c r="AD28" s="226">
        <f ca="1">Constants!$D$19+Constants!$D$19*Constants!$C$20/100*(AC28-25)</f>
        <v>166.76875339165153</v>
      </c>
      <c r="AE28" s="225">
        <f ca="1">(1-Constants!$C$17/1000000000*Design!$B$32*1000000) * ($B28+S28-R28*AD28/1000) - (S28+R28*(1+($A28-25)*Constants!$C$31/100)*IF(ISBLANK(Design!$B$40),Constants!$C$6/1000,Design!$B$40/1000))</f>
        <v>6.3947644536574426</v>
      </c>
      <c r="AF28" s="159">
        <f ca="1">IF(AE28&gt;Design!$C$28,Design!$C$28,AE28)</f>
        <v>3.3223709369024856</v>
      </c>
      <c r="AG28" s="160">
        <f>Design!$D$6/3</f>
        <v>0.83333333333333337</v>
      </c>
      <c r="AH28" s="160">
        <f ca="1">FORECAST(AG28, OFFSET(Design!$C$15:$C$17,MATCH(AG28,Design!$B$15:$B$17,1)-1,0,2), OFFSET(Design!$B$15:$B$17,MATCH(AG28,Design!$B$15:$B$17,1)-1,0,2))+(AQ28-25)*Design!$B$18/1000</f>
        <v>0.30218718235089692</v>
      </c>
      <c r="AI28" s="238">
        <f ca="1">IF(100*(Design!$C$28+AH28+AG28*IF(ISBLANK(Design!$B$40),Constants!$C$6,Design!$B$40)/1000*(1+Constants!$C$31/100*(AR28-25)))/($B28+AH28-AG28*AS28/1000)&gt;Design!$C$35,Design!$C$35,100*(Design!$C$28+AH28+AG28*IF(ISBLANK(Design!$B$40),Constants!$C$6,Design!$B$40)/1000*(1+Constants!$C$31/100*(AR28-25)))/($B28+AH28-AG28*AS28/1000))</f>
        <v>50.73059403398242</v>
      </c>
      <c r="AJ28" s="161">
        <f ca="1">IF(($B28-AG28*IF(ISBLANK(Design!$B$40),Constants!$C$6,Design!$B$40)/1000*(1+Constants!$C$31/100*(AR28-25))-Design!$C$28)/(IF(ISBLANK(Design!$B$39),Design!$B$38,Design!$B$39)/1000000)*AI28/100/(IF(ISBLANK(Design!$B$32),Design!$B$31,Design!$B$32)*1000000)&lt;0,0,($B28-AG28*IF(ISBLANK(Design!$B$40),Constants!$C$6,Design!$B$40)/1000*(1+Constants!$C$31/100*(AR28-25))-Design!$C$28)/(IF(ISBLANK(Design!$B$39),Design!$B$38,Design!$B$39)/1000000)*AI28/100/(IF(ISBLANK(Design!$B$32),Design!$B$31,Design!$B$32)*1000000))</f>
        <v>0.20105342819465424</v>
      </c>
      <c r="AK28" s="239">
        <f>$B28*Constants!$C$18/1000+IF(ISBLANK(Design!$B$32),Design!$B$31,Design!$B$32)*1000000*Constants!$D$22/1000000000*($B28-Constants!$C$21)</f>
        <v>2.5660000000000002E-2</v>
      </c>
      <c r="AL28" s="239">
        <f>$B28*AG28*($B28/(Constants!$C$23*1000000000)*IF(ISBLANK(Design!$B$32),Design!$B$31,Design!$B$32)*1000000/2+$B28/(Constants!$C$24*1000000000)*IF(ISBLANK(Design!$B$32),Design!$B$31,Design!$B$32)*1000000/2)</f>
        <v>1.1230417743830792E-2</v>
      </c>
      <c r="AM28" s="239">
        <f t="shared" ca="1" si="3"/>
        <v>5.7271651730192441E-2</v>
      </c>
      <c r="AN28" s="239">
        <f>Constants!$D$22/1000000000*Constants!$C$21*IF(ISBLANK(Design!$B$32),Design!$B$31,Design!$B$32)*1000000</f>
        <v>1.0624999999999999E-2</v>
      </c>
      <c r="AO28" s="239">
        <f t="shared" ca="1" si="11"/>
        <v>0.10478706947402323</v>
      </c>
      <c r="AP28" s="239">
        <f t="shared" ca="1" si="9"/>
        <v>0.12407152470811102</v>
      </c>
      <c r="AQ28" s="240">
        <f ca="1">$A28+AP28*Design!$B$19</f>
        <v>92.072076908362334</v>
      </c>
      <c r="AR28" s="240">
        <f ca="1">AO28*Design!$C$12+$A28</f>
        <v>88.562760362116791</v>
      </c>
      <c r="AS28" s="240">
        <f ca="1">Constants!$D$19+Constants!$D$19*Constants!$C$20/100*(AR28-25)</f>
        <v>161.78219162651797</v>
      </c>
      <c r="AT28" s="239">
        <f ca="1">(1-Constants!$C$17/1000000000*Design!$B$32*1000000) * ($B28+AH28-AG28*AS28/1000) - (AH28+AG28*(1+($A28-25)*Constants!$C$31/100)*IF(ISBLANK(Design!$B$40),Constants!$C$6/1000,Design!$B$40/1000))</f>
        <v>6.5856766710147632</v>
      </c>
      <c r="AU28" s="161">
        <f ca="1">IF(AT28&gt;Design!$C$28,Design!$C$28,AT28)</f>
        <v>3.3223709369024856</v>
      </c>
    </row>
    <row r="29" spans="1:47" s="162" customFormat="1" ht="12.75" customHeight="1" x14ac:dyDescent="0.25">
      <c r="A29" s="154">
        <f>Design!$D$13</f>
        <v>85</v>
      </c>
      <c r="B29" s="155">
        <f t="shared" si="0"/>
        <v>6.8750000000000009</v>
      </c>
      <c r="C29" s="156">
        <f>Design!$D$6</f>
        <v>2.5</v>
      </c>
      <c r="D29" s="156">
        <f ca="1">FORECAST(C29, OFFSET(Design!$C$15:$C$17,MATCH(C29,Design!$B$15:$B$17,1)-1,0,2), OFFSET(Design!$B$15:$B$17,MATCH(C29,Design!$B$15:$B$17,1)-1,0,2))+(M29-25)*Design!$B$18/1000</f>
        <v>0.38859435023391375</v>
      </c>
      <c r="E29" s="215">
        <f ca="1">IF(100*(Design!$C$28+D29+C29*IF(ISBLANK(Design!$B$40),Constants!$C$6,Design!$B$40)/1000*(1+Constants!$C$31/100*(N29-25)))/($B29+D29-C29*O29/1000)&gt;Design!$C$35,Design!$C$35,100*(Design!$C$28+D29+C29*IF(ISBLANK(Design!$B$40),Constants!$C$6,Design!$B$40)/1000*(1+Constants!$C$31/100*(N29-25)))/($B29+D29-C29*O29/1000))</f>
        <v>56.829288530857959</v>
      </c>
      <c r="F29" s="157">
        <f ca="1">IF(($B29-C29*IF(ISBLANK(Design!$B$40),Constants!$C$6,Design!$B$40)/1000*(1+Constants!$C$31/100*(N29-25))-Design!$C$28)/(IF(ISBLANK(Design!$B$39),Design!$B$38,Design!$B$39)/1000000)*E29/100/(IF(ISBLANK(Design!$B$32),Design!$B$31,Design!$B$32)*1000000)&lt;0, 0, ($B29-C29*IF(ISBLANK(Design!$B$40),Constants!$C$6,Design!$B$40)/1000*(1+Constants!$C$31/100*(N29-25))-Design!$C$28)/(IF(ISBLANK(Design!$B$39),Design!$B$38,Design!$B$39)/1000000)*E29/100/(IF(ISBLANK(Design!$B$32),Design!$B$31,Design!$B$32)*1000000))</f>
        <v>0.20583483916013448</v>
      </c>
      <c r="G29" s="207">
        <f>B29*Constants!$C$18/1000+IF(ISBLANK(Design!$B$32),Design!$B$31,Design!$B$32)*1000000*Constants!$D$22/1000000000*(B29-Constants!$C$21)</f>
        <v>2.4609375000000006E-2</v>
      </c>
      <c r="H29" s="207">
        <f>B29*C29*(B29/(Constants!$C$23*1000000000)*IF(ISBLANK(Design!$B$32),Design!$B$31,Design!$B$32)*1000000/2+B29/(Constants!$C$24*1000000000)*IF(ISBLANK(Design!$B$32),Design!$B$31,Design!$B$32)*1000000/2)</f>
        <v>3.1768452173301029E-2</v>
      </c>
      <c r="I29" s="207">
        <f t="shared" ca="1" si="1"/>
        <v>0.62738110223655619</v>
      </c>
      <c r="J29" s="207">
        <f>Constants!$D$22/1000000000*Constants!$C$21*IF(ISBLANK(Design!$B$32),Design!$B$31,Design!$B$32)*1000000</f>
        <v>1.0624999999999999E-2</v>
      </c>
      <c r="K29" s="207">
        <f t="shared" ca="1" si="4"/>
        <v>0.69438392940985716</v>
      </c>
      <c r="L29" s="207">
        <f t="shared" ca="1" si="5"/>
        <v>0.4193973643121755</v>
      </c>
      <c r="M29" s="208">
        <f ca="1">A29+L29*Design!$B$19</f>
        <v>108.90564976579401</v>
      </c>
      <c r="N29" s="208">
        <f ca="1">K29*Design!$C$12+A29</f>
        <v>108.60905359993515</v>
      </c>
      <c r="O29" s="208">
        <f ca="1">Constants!$D$19+Constants!$D$19*Constants!$C$20/100*(N29-25)</f>
        <v>176.53626344955228</v>
      </c>
      <c r="P29" s="207">
        <f ca="1">(1-Constants!$C$17/1000000000*Design!$B$32*1000000) * ($B29+D29-C29*O29/1000) - (D29+C29*(1+($A29-25)*Constants!$C$31/100)*IF(ISBLANK(Design!$B$40),Constants!$C$6/1000,Design!$B$40/1000))</f>
        <v>5.9892385594826933</v>
      </c>
      <c r="Q29" s="213">
        <f ca="1">IF(P29&gt;Design!$C$28,Design!$C$28,P29)</f>
        <v>3.3223709369024856</v>
      </c>
      <c r="R29" s="223">
        <f>2*Design!$D$6/3</f>
        <v>1.6666666666666667</v>
      </c>
      <c r="S29" s="158">
        <f ca="1">FORECAST(R29, OFFSET(Design!$C$15:$C$17,MATCH(R29,Design!$B$15:$B$17,1)-1,0,2), OFFSET(Design!$B$15:$B$17,MATCH(R29,Design!$B$15:$B$17,1)-1,0,2))+(AB29-25)*Design!$B$18/1000</f>
        <v>0.3585590210971239</v>
      </c>
      <c r="T29" s="224">
        <f ca="1">IF(100*(Design!$C$28+S29+R29*IF(ISBLANK(Design!$B$40),Constants!$C$6,Design!$B$40)/1000*(1+Constants!$C$31/100*(AC29-25)))/($B29+S29-R29*AD29/1000)&gt;Design!$C$35,Design!$C$35,100*(Design!$C$28+S29+R29*IF(ISBLANK(Design!$B$40),Constants!$C$6,Design!$B$40)/1000*(1+Constants!$C$31/100*(AC29-25)))/($B29+S29-R29*AD29/1000))</f>
        <v>54.452032296923733</v>
      </c>
      <c r="U29" s="159">
        <f ca="1">IF(($B29-R29*IF(ISBLANK(Design!$B$40),Constants!$C$6,Design!$B$40)/1000*(1+Constants!$C$31/100*(AC29-25))-Design!$C$28)/(Design!$B$39/1000000)*T29/100/(IF(ISBLANK(IF(ISBLANK(Design!$B$39),Design!$B$38,Design!$B$39)),Design!$B$31,Design!$B$32)*1000000)&lt;0,0,($B29-R29*IF(ISBLANK(Design!$B$40),Constants!$C$6,Design!$B$40)/1000*(1+Constants!$C$31/100*(AC29-25))-Design!$C$28)/(IF(ISBLANK(Design!$B$39),Design!$B$38,Design!$B$39)/1000000)*T29/100/(IF(ISBLANK(Design!$B$32),Design!$B$31,Design!$B$32)*1000000))</f>
        <v>0.20069815038163846</v>
      </c>
      <c r="V29" s="225">
        <f>$B29*Constants!$C$18/1000+IF(ISBLANK(Design!$B$32),Design!$B$31,Design!$B$32)*1000000*Constants!$D$22/1000000000*($B29-Constants!$C$21)</f>
        <v>2.4609375000000006E-2</v>
      </c>
      <c r="W29" s="225">
        <f>$B29*R29*($B29/(Constants!$C$23*1000000000)*IF(ISBLANK(Design!$B$32),Design!$B$31,Design!$B$32)*1000000/2+$B29/(Constants!$C$24*1000000000)*IF(ISBLANK(Design!$B$32),Design!$B$31,Design!$B$32)*1000000/2)</f>
        <v>2.1178968115534019E-2</v>
      </c>
      <c r="X29" s="225">
        <f t="shared" ca="1" si="2"/>
        <v>0.252745250352928</v>
      </c>
      <c r="Y29" s="225">
        <f>Constants!$D$22/1000000000*Constants!$C$21*IF(ISBLANK(Design!$B$32),Design!$B$31,Design!$B$32)*1000000</f>
        <v>1.0624999999999999E-2</v>
      </c>
      <c r="Z29" s="225">
        <f t="shared" ca="1" si="10"/>
        <v>0.30915859346846203</v>
      </c>
      <c r="AA29" s="225">
        <f t="shared" ca="1" si="7"/>
        <v>0.27219391187630737</v>
      </c>
      <c r="AB29" s="226">
        <f ca="1">$A29+AA29*Design!$B$19</f>
        <v>100.51505297694952</v>
      </c>
      <c r="AC29" s="226">
        <f ca="1">Z29*Design!$C$12+$A29</f>
        <v>95.511392177927704</v>
      </c>
      <c r="AD29" s="226">
        <f ca="1">Constants!$D$19+Constants!$D$19*Constants!$C$20/100*(AC29-25)</f>
        <v>166.89638464295479</v>
      </c>
      <c r="AE29" s="225">
        <f ca="1">(1-Constants!$C$17/1000000000*Design!$B$32*1000000) * ($B29+S29-R29*AD29/1000) - (S29+R29*(1+($A29-25)*Constants!$C$31/100)*IF(ISBLANK(Design!$B$40),Constants!$C$6/1000,Design!$B$40/1000))</f>
        <v>6.1982515944439909</v>
      </c>
      <c r="AF29" s="159">
        <f ca="1">IF(AE29&gt;Design!$C$28,Design!$C$28,AE29)</f>
        <v>3.3223709369024856</v>
      </c>
      <c r="AG29" s="160">
        <f>Design!$D$6/3</f>
        <v>0.83333333333333337</v>
      </c>
      <c r="AH29" s="160">
        <f ca="1">FORECAST(AG29, OFFSET(Design!$C$15:$C$17,MATCH(AG29,Design!$B$15:$B$17,1)-1,0,2), OFFSET(Design!$B$15:$B$17,MATCH(AG29,Design!$B$15:$B$17,1)-1,0,2))+(AQ29-25)*Design!$B$18/1000</f>
        <v>0.30239464373307851</v>
      </c>
      <c r="AI29" s="238">
        <f ca="1">IF(100*(Design!$C$28+AH29+AG29*IF(ISBLANK(Design!$B$40),Constants!$C$6,Design!$B$40)/1000*(1+Constants!$C$31/100*(AR29-25)))/($B29+AH29-AG29*AS29/1000)&gt;Design!$C$35,Design!$C$35,100*(Design!$C$28+AH29+AG29*IF(ISBLANK(Design!$B$40),Constants!$C$6,Design!$B$40)/1000*(1+Constants!$C$31/100*(AR29-25)))/($B29+AH29-AG29*AS29/1000))</f>
        <v>52.208736299122172</v>
      </c>
      <c r="AJ29" s="161">
        <f ca="1">IF(($B29-AG29*IF(ISBLANK(Design!$B$40),Constants!$C$6,Design!$B$40)/1000*(1+Constants!$C$31/100*(AR29-25))-Design!$C$28)/(IF(ISBLANK(Design!$B$39),Design!$B$38,Design!$B$39)/1000000)*AI29/100/(IF(ISBLANK(Design!$B$32),Design!$B$31,Design!$B$32)*1000000)&lt;0,0,($B29-AG29*IF(ISBLANK(Design!$B$40),Constants!$C$6,Design!$B$40)/1000*(1+Constants!$C$31/100*(AR29-25))-Design!$C$28)/(IF(ISBLANK(Design!$B$39),Design!$B$38,Design!$B$39)/1000000)*AI29/100/(IF(ISBLANK(Design!$B$32),Design!$B$31,Design!$B$32)*1000000))</f>
        <v>0.1954647183614657</v>
      </c>
      <c r="AK29" s="239">
        <f>$B29*Constants!$C$18/1000+IF(ISBLANK(Design!$B$32),Design!$B$31,Design!$B$32)*1000000*Constants!$D$22/1000000000*($B29-Constants!$C$21)</f>
        <v>2.4609375000000006E-2</v>
      </c>
      <c r="AL29" s="239">
        <f>$B29*AG29*($B29/(Constants!$C$23*1000000000)*IF(ISBLANK(Design!$B$32),Design!$B$31,Design!$B$32)*1000000/2+$B29/(Constants!$C$24*1000000000)*IF(ISBLANK(Design!$B$32),Design!$B$31,Design!$B$32)*1000000/2)</f>
        <v>1.058948405776701E-2</v>
      </c>
      <c r="AM29" s="239">
        <f t="shared" ca="1" si="3"/>
        <v>5.8924430033445593E-2</v>
      </c>
      <c r="AN29" s="239">
        <f>Constants!$D$22/1000000000*Constants!$C$21*IF(ISBLANK(Design!$B$32),Design!$B$31,Design!$B$32)*1000000</f>
        <v>1.0624999999999999E-2</v>
      </c>
      <c r="AO29" s="239">
        <f t="shared" ca="1" si="11"/>
        <v>0.1047482890912126</v>
      </c>
      <c r="AP29" s="239">
        <f t="shared" ca="1" si="9"/>
        <v>0.12043185133650466</v>
      </c>
      <c r="AQ29" s="240">
        <f ca="1">$A29+AP29*Design!$B$19</f>
        <v>91.864615526180771</v>
      </c>
      <c r="AR29" s="240">
        <f ca="1">AO29*Design!$C$12+$A29</f>
        <v>88.561441829101227</v>
      </c>
      <c r="AS29" s="240">
        <f ca="1">Constants!$D$19+Constants!$D$19*Constants!$C$20/100*(AR29-25)</f>
        <v>161.78122118621852</v>
      </c>
      <c r="AT29" s="239">
        <f ca="1">(1-Constants!$C$17/1000000000*Design!$B$32*1000000) * ($B29+AH29-AG29*AS29/1000) - (AH29+AG29*(1+($A29-25)*Constants!$C$31/100)*IF(ISBLANK(Design!$B$40),Constants!$C$6/1000,Design!$B$40/1000))</f>
        <v>6.3893811282365087</v>
      </c>
      <c r="AU29" s="161">
        <f ca="1">IF(AT29&gt;Design!$C$28,Design!$C$28,AT29)</f>
        <v>3.3223709369024856</v>
      </c>
    </row>
    <row r="30" spans="1:47" s="162" customFormat="1" ht="12.75" customHeight="1" x14ac:dyDescent="0.25">
      <c r="A30" s="154">
        <f>Design!$D$13</f>
        <v>85</v>
      </c>
      <c r="B30" s="155">
        <f t="shared" si="0"/>
        <v>6.6700000000000008</v>
      </c>
      <c r="C30" s="156">
        <f>Design!$D$6</f>
        <v>2.5</v>
      </c>
      <c r="D30" s="156">
        <f ca="1">FORECAST(C30, OFFSET(Design!$C$15:$C$17,MATCH(C30,Design!$B$15:$B$17,1)-1,0,2), OFFSET(Design!$B$15:$B$17,MATCH(C30,Design!$B$15:$B$17,1)-1,0,2))+(M30-25)*Design!$B$18/1000</f>
        <v>0.38952576417264007</v>
      </c>
      <c r="E30" s="215">
        <f ca="1">IF(100*(Design!$C$28+D30+C30*IF(ISBLANK(Design!$B$40),Constants!$C$6,Design!$B$40)/1000*(1+Constants!$C$31/100*(N30-25)))/($B30+D30-C30*O30/1000)&gt;Design!$C$35,Design!$C$35,100*(Design!$C$28+D30+C30*IF(ISBLANK(Design!$B$40),Constants!$C$6,Design!$B$40)/1000*(1+Constants!$C$31/100*(N30-25)))/($B30+D30-C30*O30/1000))</f>
        <v>58.610515045136609</v>
      </c>
      <c r="F30" s="157">
        <f ca="1">IF(($B30-C30*IF(ISBLANK(Design!$B$40),Constants!$C$6,Design!$B$40)/1000*(1+Constants!$C$31/100*(N30-25))-Design!$C$28)/(IF(ISBLANK(Design!$B$39),Design!$B$38,Design!$B$39)/1000000)*E30/100/(IF(ISBLANK(Design!$B$32),Design!$B$31,Design!$B$32)*1000000)&lt;0, 0, ($B30-C30*IF(ISBLANK(Design!$B$40),Constants!$C$6,Design!$B$40)/1000*(1+Constants!$C$31/100*(N30-25))-Design!$C$28)/(IF(ISBLANK(Design!$B$39),Design!$B$38,Design!$B$39)/1000000)*E30/100/(IF(ISBLANK(Design!$B$32),Design!$B$31,Design!$B$32)*1000000))</f>
        <v>0.19941670221389141</v>
      </c>
      <c r="G30" s="207">
        <f>B30*Constants!$C$18/1000+IF(ISBLANK(Design!$B$32),Design!$B$31,Design!$B$32)*1000000*Constants!$D$22/1000000000*(B30-Constants!$C$21)</f>
        <v>2.3558750000000003E-2</v>
      </c>
      <c r="H30" s="207">
        <f>B30*C30*(B30/(Constants!$C$23*1000000000)*IF(ISBLANK(Design!$B$32),Design!$B$31,Design!$B$32)*1000000/2+B30/(Constants!$C$24*1000000000)*IF(ISBLANK(Design!$B$32),Design!$B$31,Design!$B$32)*1000000/2)</f>
        <v>2.9902143299549551E-2</v>
      </c>
      <c r="I30" s="207">
        <f t="shared" ca="1" si="1"/>
        <v>0.6487117962993707</v>
      </c>
      <c r="J30" s="207">
        <f>Constants!$D$22/1000000000*Constants!$C$21*IF(ISBLANK(Design!$B$32),Design!$B$31,Design!$B$32)*1000000</f>
        <v>1.0624999999999999E-2</v>
      </c>
      <c r="K30" s="207">
        <f t="shared" ca="1" si="4"/>
        <v>0.7127976895989202</v>
      </c>
      <c r="L30" s="207">
        <f t="shared" ca="1" si="5"/>
        <v>0.40305676889387876</v>
      </c>
      <c r="M30" s="208">
        <f ca="1">A30+L30*Design!$B$19</f>
        <v>107.97423582695109</v>
      </c>
      <c r="N30" s="208">
        <f ca="1">K30*Design!$C$12+A30</f>
        <v>109.23512144636328</v>
      </c>
      <c r="O30" s="208">
        <f ca="1">Constants!$D$19+Constants!$D$19*Constants!$C$20/100*(N30-25)</f>
        <v>176.99704938452339</v>
      </c>
      <c r="P30" s="207">
        <f ca="1">(1-Constants!$C$17/1000000000*Design!$B$32*1000000) * ($B30+D30-C30*O30/1000) - (D30+C30*(1+($A30-25)*Constants!$C$31/100)*IF(ISBLANK(Design!$B$40),Constants!$C$6/1000,Design!$B$40/1000))</f>
        <v>5.7918084680584601</v>
      </c>
      <c r="Q30" s="213">
        <f ca="1">IF(P30&gt;Design!$C$28,Design!$C$28,P30)</f>
        <v>3.3223709369024856</v>
      </c>
      <c r="R30" s="223">
        <f>2*Design!$D$6/3</f>
        <v>1.6666666666666667</v>
      </c>
      <c r="S30" s="158">
        <f ca="1">FORECAST(R30, OFFSET(Design!$C$15:$C$17,MATCH(R30,Design!$B$15:$B$17,1)-1,0,2), OFFSET(Design!$B$15:$B$17,MATCH(R30,Design!$B$15:$B$17,1)-1,0,2))+(AB30-25)*Design!$B$18/1000</f>
        <v>0.3591018467277059</v>
      </c>
      <c r="T30" s="224">
        <f ca="1">IF(100*(Design!$C$28+S30+R30*IF(ISBLANK(Design!$B$40),Constants!$C$6,Design!$B$40)/1000*(1+Constants!$C$31/100*(AC30-25)))/($B30+S30-R30*AD30/1000)&gt;Design!$C$35,Design!$C$35,100*(Design!$C$28+S30+R30*IF(ISBLANK(Design!$B$40),Constants!$C$6,Design!$B$40)/1000*(1+Constants!$C$31/100*(AC30-25)))/($B30+S30-R30*AD30/1000))</f>
        <v>56.112062759965589</v>
      </c>
      <c r="U30" s="159">
        <f ca="1">IF(($B30-R30*IF(ISBLANK(Design!$B$40),Constants!$C$6,Design!$B$40)/1000*(1+Constants!$C$31/100*(AC30-25))-Design!$C$28)/(Design!$B$39/1000000)*T30/100/(IF(ISBLANK(IF(ISBLANK(Design!$B$39),Design!$B$38,Design!$B$39)),Design!$B$31,Design!$B$32)*1000000)&lt;0,0,($B30-R30*IF(ISBLANK(Design!$B$40),Constants!$C$6,Design!$B$40)/1000*(1+Constants!$C$31/100*(AC30-25))-Design!$C$28)/(IF(ISBLANK(Design!$B$39),Design!$B$38,Design!$B$39)/1000000)*T30/100/(IF(ISBLANK(Design!$B$32),Design!$B$31,Design!$B$32)*1000000))</f>
        <v>0.19451026171894484</v>
      </c>
      <c r="V30" s="225">
        <f>$B30*Constants!$C$18/1000+IF(ISBLANK(Design!$B$32),Design!$B$31,Design!$B$32)*1000000*Constants!$D$22/1000000000*($B30-Constants!$C$21)</f>
        <v>2.3558750000000003E-2</v>
      </c>
      <c r="W30" s="225">
        <f>$B30*R30*($B30/(Constants!$C$23*1000000000)*IF(ISBLANK(Design!$B$32),Design!$B$31,Design!$B$32)*1000000/2+$B30/(Constants!$C$24*1000000000)*IF(ISBLANK(Design!$B$32),Design!$B$31,Design!$B$32)*1000000/2)</f>
        <v>1.9934762199699703E-2</v>
      </c>
      <c r="X30" s="225">
        <f t="shared" ca="1" si="2"/>
        <v>0.26065046034026917</v>
      </c>
      <c r="Y30" s="225">
        <f>Constants!$D$22/1000000000*Constants!$C$21*IF(ISBLANK(Design!$B$32),Design!$B$31,Design!$B$32)*1000000</f>
        <v>1.0624999999999999E-2</v>
      </c>
      <c r="Z30" s="225">
        <f t="shared" ca="1" si="10"/>
        <v>0.31476897253996888</v>
      </c>
      <c r="AA30" s="225">
        <f t="shared" ca="1" si="7"/>
        <v>0.26267065519943356</v>
      </c>
      <c r="AB30" s="226">
        <f ca="1">$A30+AA30*Design!$B$19</f>
        <v>99.972227346367717</v>
      </c>
      <c r="AC30" s="226">
        <f ca="1">Z30*Design!$C$12+$A30</f>
        <v>95.702145066358938</v>
      </c>
      <c r="AD30" s="226">
        <f ca="1">Constants!$D$19+Constants!$D$19*Constants!$C$20/100*(AC30-25)</f>
        <v>167.03677876884018</v>
      </c>
      <c r="AE30" s="225">
        <f ca="1">(1-Constants!$C$17/1000000000*Design!$B$32*1000000) * ($B30+S30-R30*AD30/1000) - (S30+R30*(1+($A30-25)*Constants!$C$31/100)*IF(ISBLANK(Design!$B$40),Constants!$C$6/1000,Design!$B$40/1000))</f>
        <v>6.0017169787287994</v>
      </c>
      <c r="AF30" s="159">
        <f ca="1">IF(AE30&gt;Design!$C$28,Design!$C$28,AE30)</f>
        <v>3.3223709369024856</v>
      </c>
      <c r="AG30" s="160">
        <f>Design!$D$6/3</f>
        <v>0.83333333333333337</v>
      </c>
      <c r="AH30" s="160">
        <f ca="1">FORECAST(AG30, OFFSET(Design!$C$15:$C$17,MATCH(AG30,Design!$B$15:$B$17,1)-1,0,2), OFFSET(Design!$B$15:$B$17,MATCH(AG30,Design!$B$15:$B$17,1)-1,0,2))+(AQ30-25)*Design!$B$18/1000</f>
        <v>0.30261485946735739</v>
      </c>
      <c r="AI30" s="238">
        <f ca="1">IF(100*(Design!$C$28+AH30+AG30*IF(ISBLANK(Design!$B$40),Constants!$C$6,Design!$B$40)/1000*(1+Constants!$C$31/100*(AR30-25)))/($B30+AH30-AG30*AS30/1000)&gt;Design!$C$35,Design!$C$35,100*(Design!$C$28+AH30+AG30*IF(ISBLANK(Design!$B$40),Constants!$C$6,Design!$B$40)/1000*(1+Constants!$C$31/100*(AR30-25)))/($B30+AH30-AG30*AS30/1000))</f>
        <v>53.775534642166541</v>
      </c>
      <c r="AJ30" s="161">
        <f ca="1">IF(($B30-AG30*IF(ISBLANK(Design!$B$40),Constants!$C$6,Design!$B$40)/1000*(1+Constants!$C$31/100*(AR30-25))-Design!$C$28)/(IF(ISBLANK(Design!$B$39),Design!$B$38,Design!$B$39)/1000000)*AI30/100/(IF(ISBLANK(Design!$B$32),Design!$B$31,Design!$B$32)*1000000)&lt;0,0,($B30-AG30*IF(ISBLANK(Design!$B$40),Constants!$C$6,Design!$B$40)/1000*(1+Constants!$C$31/100*(AR30-25))-Design!$C$28)/(IF(ISBLANK(Design!$B$39),Design!$B$38,Design!$B$39)/1000000)*AI30/100/(IF(ISBLANK(Design!$B$32),Design!$B$31,Design!$B$32)*1000000))</f>
        <v>0.18954028417566182</v>
      </c>
      <c r="AK30" s="239">
        <f>$B30*Constants!$C$18/1000+IF(ISBLANK(Design!$B$32),Design!$B$31,Design!$B$32)*1000000*Constants!$D$22/1000000000*($B30-Constants!$C$21)</f>
        <v>2.3558750000000003E-2</v>
      </c>
      <c r="AL30" s="239">
        <f>$B30*AG30*($B30/(Constants!$C$23*1000000000)*IF(ISBLANK(Design!$B$32),Design!$B$31,Design!$B$32)*1000000/2+$B30/(Constants!$C$24*1000000000)*IF(ISBLANK(Design!$B$32),Design!$B$31,Design!$B$32)*1000000/2)</f>
        <v>9.9673810998498515E-3</v>
      </c>
      <c r="AM30" s="239">
        <f t="shared" ca="1" si="3"/>
        <v>6.0676980779084157E-2</v>
      </c>
      <c r="AN30" s="239">
        <f>Constants!$D$22/1000000000*Constants!$C$21*IF(ISBLANK(Design!$B$32),Design!$B$31,Design!$B$32)*1000000</f>
        <v>1.0624999999999999E-2</v>
      </c>
      <c r="AO30" s="239">
        <f t="shared" ca="1" si="11"/>
        <v>0.10482811187893401</v>
      </c>
      <c r="AP30" s="239">
        <f t="shared" ca="1" si="9"/>
        <v>0.11656841740178753</v>
      </c>
      <c r="AQ30" s="240">
        <f ca="1">$A30+AP30*Design!$B$19</f>
        <v>91.64439979190189</v>
      </c>
      <c r="AR30" s="240">
        <f ca="1">AO30*Design!$C$12+$A30</f>
        <v>88.56415580388375</v>
      </c>
      <c r="AS30" s="240">
        <f ca="1">Constants!$D$19+Constants!$D$19*Constants!$C$20/100*(AR30-25)</f>
        <v>161.78321867165846</v>
      </c>
      <c r="AT30" s="239">
        <f ca="1">(1-Constants!$C$17/1000000000*Design!$B$32*1000000) * ($B30+AH30-AG30*AS30/1000) - (AH30+AG30*(1+($A30-25)*Constants!$C$31/100)*IF(ISBLANK(Design!$B$40),Constants!$C$6/1000,Design!$B$40/1000))</f>
        <v>6.193082675240877</v>
      </c>
      <c r="AU30" s="161">
        <f ca="1">IF(AT30&gt;Design!$C$28,Design!$C$28,AT30)</f>
        <v>3.3223709369024856</v>
      </c>
    </row>
    <row r="31" spans="1:47" s="162" customFormat="1" ht="12.75" customHeight="1" x14ac:dyDescent="0.25">
      <c r="A31" s="154">
        <f>Design!$D$13</f>
        <v>85</v>
      </c>
      <c r="B31" s="155">
        <f t="shared" si="0"/>
        <v>6.4650000000000007</v>
      </c>
      <c r="C31" s="156">
        <f>Design!$D$6</f>
        <v>2.5</v>
      </c>
      <c r="D31" s="156">
        <f ca="1">FORECAST(C31, OFFSET(Design!$C$15:$C$17,MATCH(C31,Design!$B$15:$B$17,1)-1,0,2), OFFSET(Design!$B$15:$B$17,MATCH(C31,Design!$B$15:$B$17,1)-1,0,2))+(M31-25)*Design!$B$18/1000</f>
        <v>0.39052264266512682</v>
      </c>
      <c r="E31" s="215">
        <f ca="1">IF(100*(Design!$C$28+D31+C31*IF(ISBLANK(Design!$B$40),Constants!$C$6,Design!$B$40)/1000*(1+Constants!$C$31/100*(N31-25)))/($B31+D31-C31*O31/1000)&gt;Design!$C$35,Design!$C$35,100*(Design!$C$28+D31+C31*IF(ISBLANK(Design!$B$40),Constants!$C$6,Design!$B$40)/1000*(1+Constants!$C$31/100*(N31-25)))/($B31+D31-C31*O31/1000))</f>
        <v>60.5075219301049</v>
      </c>
      <c r="F31" s="157">
        <f ca="1">IF(($B31-C31*IF(ISBLANK(Design!$B$40),Constants!$C$6,Design!$B$40)/1000*(1+Constants!$C$31/100*(N31-25))-Design!$C$28)/(IF(ISBLANK(Design!$B$39),Design!$B$38,Design!$B$39)/1000000)*E31/100/(IF(ISBLANK(Design!$B$32),Design!$B$31,Design!$B$32)*1000000)&lt;0, 0, ($B31-C31*IF(ISBLANK(Design!$B$40),Constants!$C$6,Design!$B$40)/1000*(1+Constants!$C$31/100*(N31-25))-Design!$C$28)/(IF(ISBLANK(Design!$B$39),Design!$B$38,Design!$B$39)/1000000)*E31/100/(IF(ISBLANK(Design!$B$32),Design!$B$31,Design!$B$32)*1000000))</f>
        <v>0.19258310814824312</v>
      </c>
      <c r="G31" s="207">
        <f>B31*Constants!$C$18/1000+IF(ISBLANK(Design!$B$32),Design!$B$31,Design!$B$32)*1000000*Constants!$D$22/1000000000*(B31-Constants!$C$21)</f>
        <v>2.2508125000000004E-2</v>
      </c>
      <c r="H31" s="207">
        <f>B31*C31*(B31/(Constants!$C$23*1000000000)*IF(ISBLANK(Design!$B$32),Design!$B$31,Design!$B$32)*1000000/2+B31/(Constants!$C$24*1000000000)*IF(ISBLANK(Design!$B$32),Design!$B$31,Design!$B$32)*1000000/2)</f>
        <v>2.8092326610237962E-2</v>
      </c>
      <c r="I31" s="207">
        <f t="shared" ca="1" si="1"/>
        <v>0.67157850992873247</v>
      </c>
      <c r="J31" s="207">
        <f>Constants!$D$22/1000000000*Constants!$C$21*IF(ISBLANK(Design!$B$32),Design!$B$31,Design!$B$32)*1000000</f>
        <v>1.0624999999999999E-2</v>
      </c>
      <c r="K31" s="207">
        <f t="shared" ca="1" si="4"/>
        <v>0.73280396153897043</v>
      </c>
      <c r="L31" s="207">
        <f t="shared" ca="1" si="5"/>
        <v>0.38556767253125002</v>
      </c>
      <c r="M31" s="208">
        <f ca="1">A31+L31*Design!$B$19</f>
        <v>106.97735733428125</v>
      </c>
      <c r="N31" s="208">
        <f ca="1">K31*Design!$C$12+A31</f>
        <v>109.91533469232499</v>
      </c>
      <c r="O31" s="208">
        <f ca="1">Constants!$D$19+Constants!$D$19*Constants!$C$20/100*(N31-25)</f>
        <v>177.4976863335512</v>
      </c>
      <c r="P31" s="207">
        <f ca="1">(1-Constants!$C$17/1000000000*Design!$B$32*1000000) * ($B31+D31-C31*O31/1000) - (D31+C31*(1+($A31-25)*Constants!$C$31/100)*IF(ISBLANK(Design!$B$40),Constants!$C$6/1000,Design!$B$40/1000))</f>
        <v>5.5942802010257946</v>
      </c>
      <c r="Q31" s="213">
        <f ca="1">IF(P31&gt;Design!$C$28,Design!$C$28,P31)</f>
        <v>3.3223709369024856</v>
      </c>
      <c r="R31" s="223">
        <f>2*Design!$D$6/3</f>
        <v>1.6666666666666667</v>
      </c>
      <c r="S31" s="158">
        <f ca="1">FORECAST(R31, OFFSET(Design!$C$15:$C$17,MATCH(R31,Design!$B$15:$B$17,1)-1,0,2), OFFSET(Design!$B$15:$B$17,MATCH(R31,Design!$B$15:$B$17,1)-1,0,2))+(AB31-25)*Design!$B$18/1000</f>
        <v>0.35968059854892243</v>
      </c>
      <c r="T31" s="224">
        <f ca="1">IF(100*(Design!$C$28+S31+R31*IF(ISBLANK(Design!$B$40),Constants!$C$6,Design!$B$40)/1000*(1+Constants!$C$31/100*(AC31-25)))/($B31+S31-R31*AD31/1000)&gt;Design!$C$35,Design!$C$35,100*(Design!$C$28+S31+R31*IF(ISBLANK(Design!$B$40),Constants!$C$6,Design!$B$40)/1000*(1+Constants!$C$31/100*(AC31-25)))/($B31+S31-R31*AD31/1000))</f>
        <v>57.876441126641637</v>
      </c>
      <c r="U31" s="159">
        <f ca="1">IF(($B31-R31*IF(ISBLANK(Design!$B$40),Constants!$C$6,Design!$B$40)/1000*(1+Constants!$C$31/100*(AC31-25))-Design!$C$28)/(Design!$B$39/1000000)*T31/100/(IF(ISBLANK(IF(ISBLANK(Design!$B$39),Design!$B$38,Design!$B$39)),Design!$B$31,Design!$B$32)*1000000)&lt;0,0,($B31-R31*IF(ISBLANK(Design!$B$40),Constants!$C$6,Design!$B$40)/1000*(1+Constants!$C$31/100*(AC31-25))-Design!$C$28)/(IF(ISBLANK(Design!$B$39),Design!$B$38,Design!$B$39)/1000000)*T31/100/(IF(ISBLANK(Design!$B$32),Design!$B$31,Design!$B$32)*1000000))</f>
        <v>0.18793267245611406</v>
      </c>
      <c r="V31" s="225">
        <f>$B31*Constants!$C$18/1000+IF(ISBLANK(Design!$B$32),Design!$B$31,Design!$B$32)*1000000*Constants!$D$22/1000000000*($B31-Constants!$C$21)</f>
        <v>2.2508125000000004E-2</v>
      </c>
      <c r="W31" s="225">
        <f>$B31*R31*($B31/(Constants!$C$23*1000000000)*IF(ISBLANK(Design!$B$32),Design!$B$31,Design!$B$32)*1000000/2+$B31/(Constants!$C$24*1000000000)*IF(ISBLANK(Design!$B$32),Design!$B$31,Design!$B$32)*1000000/2)</f>
        <v>1.8728217740158641E-2</v>
      </c>
      <c r="X31" s="225">
        <f t="shared" ca="1" si="2"/>
        <v>0.26907439960044705</v>
      </c>
      <c r="Y31" s="225">
        <f>Constants!$D$22/1000000000*Constants!$C$21*IF(ISBLANK(Design!$B$32),Design!$B$31,Design!$B$32)*1000000</f>
        <v>1.0624999999999999E-2</v>
      </c>
      <c r="Z31" s="225">
        <f t="shared" ca="1" si="10"/>
        <v>0.32093574234060568</v>
      </c>
      <c r="AA31" s="225">
        <f t="shared" ca="1" si="7"/>
        <v>0.25251711447633846</v>
      </c>
      <c r="AB31" s="226">
        <f ca="1">$A31+AA31*Design!$B$19</f>
        <v>99.393475525151288</v>
      </c>
      <c r="AC31" s="226">
        <f ca="1">Z31*Design!$C$12+$A31</f>
        <v>95.911815239580591</v>
      </c>
      <c r="AD31" s="226">
        <f ca="1">Constants!$D$19+Constants!$D$19*Constants!$C$20/100*(AC31-25)</f>
        <v>167.19109601633133</v>
      </c>
      <c r="AE31" s="225">
        <f ca="1">(1-Constants!$C$17/1000000000*Design!$B$32*1000000) * ($B31+S31-R31*AD31/1000) - (S31+R31*(1+($A31-25)*Constants!$C$31/100)*IF(ISBLANK(Design!$B$40),Constants!$C$6/1000,Design!$B$40/1000))</f>
        <v>5.8051586171689422</v>
      </c>
      <c r="AF31" s="159">
        <f ca="1">IF(AE31&gt;Design!$C$28,Design!$C$28,AE31)</f>
        <v>3.3223709369024856</v>
      </c>
      <c r="AG31" s="160">
        <f>Design!$D$6/3</f>
        <v>0.83333333333333337</v>
      </c>
      <c r="AH31" s="160">
        <f ca="1">FORECAST(AG31, OFFSET(Design!$C$15:$C$17,MATCH(AG31,Design!$B$15:$B$17,1)-1,0,2), OFFSET(Design!$B$15:$B$17,MATCH(AG31,Design!$B$15:$B$17,1)-1,0,2))+(AQ31-25)*Design!$B$18/1000</f>
        <v>0.30284904187052902</v>
      </c>
      <c r="AI31" s="238">
        <f ca="1">IF(100*(Design!$C$28+AH31+AG31*IF(ISBLANK(Design!$B$40),Constants!$C$6,Design!$B$40)/1000*(1+Constants!$C$31/100*(AR31-25)))/($B31+AH31-AG31*AS31/1000)&gt;Design!$C$35,Design!$C$35,100*(Design!$C$28+AH31+AG31*IF(ISBLANK(Design!$B$40),Constants!$C$6,Design!$B$40)/1000*(1+Constants!$C$31/100*(AR31-25)))/($B31+AH31-AG31*AS31/1000))</f>
        <v>55.439203574039027</v>
      </c>
      <c r="AJ31" s="161">
        <f ca="1">IF(($B31-AG31*IF(ISBLANK(Design!$B$40),Constants!$C$6,Design!$B$40)/1000*(1+Constants!$C$31/100*(AR31-25))-Design!$C$28)/(IF(ISBLANK(Design!$B$39),Design!$B$38,Design!$B$39)/1000000)*AI31/100/(IF(ISBLANK(Design!$B$32),Design!$B$31,Design!$B$32)*1000000)&lt;0,0,($B31-AG31*IF(ISBLANK(Design!$B$40),Constants!$C$6,Design!$B$40)/1000*(1+Constants!$C$31/100*(AR31-25))-Design!$C$28)/(IF(ISBLANK(Design!$B$39),Design!$B$38,Design!$B$39)/1000000)*AI31/100/(IF(ISBLANK(Design!$B$32),Design!$B$31,Design!$B$32)*1000000))</f>
        <v>0.18324895749451431</v>
      </c>
      <c r="AK31" s="239">
        <f>$B31*Constants!$C$18/1000+IF(ISBLANK(Design!$B$32),Design!$B$31,Design!$B$32)*1000000*Constants!$D$22/1000000000*($B31-Constants!$C$21)</f>
        <v>2.2508125000000004E-2</v>
      </c>
      <c r="AL31" s="239">
        <f>$B31*AG31*($B31/(Constants!$C$23*1000000000)*IF(ISBLANK(Design!$B$32),Design!$B$31,Design!$B$32)*1000000/2+$B31/(Constants!$C$24*1000000000)*IF(ISBLANK(Design!$B$32),Design!$B$31,Design!$B$32)*1000000/2)</f>
        <v>9.3641088700793206E-3</v>
      </c>
      <c r="AM31" s="239">
        <f t="shared" ca="1" si="3"/>
        <v>6.2538641671572068E-2</v>
      </c>
      <c r="AN31" s="239">
        <f>Constants!$D$22/1000000000*Constants!$C$21*IF(ISBLANK(Design!$B$32),Design!$B$31,Design!$B$32)*1000000</f>
        <v>1.0624999999999999E-2</v>
      </c>
      <c r="AO31" s="239">
        <f t="shared" ca="1" si="11"/>
        <v>0.10503587554165139</v>
      </c>
      <c r="AP31" s="239">
        <f t="shared" ca="1" si="9"/>
        <v>0.11245995418824979</v>
      </c>
      <c r="AQ31" s="240">
        <f ca="1">$A31+AP31*Design!$B$19</f>
        <v>91.410217388730246</v>
      </c>
      <c r="AR31" s="240">
        <f ca="1">AO31*Design!$C$12+$A31</f>
        <v>88.571219768416142</v>
      </c>
      <c r="AS31" s="240">
        <f ca="1">Constants!$D$19+Constants!$D$19*Constants!$C$20/100*(AR31-25)</f>
        <v>161.7884177495543</v>
      </c>
      <c r="AT31" s="239">
        <f ca="1">(1-Constants!$C$17/1000000000*Design!$B$32*1000000) * ($B31+AH31-AG31*AS31/1000) - (AH31+AG31*(1+($A31-25)*Constants!$C$31/100)*IF(ISBLANK(Design!$B$40),Constants!$C$6/1000,Design!$B$40/1000))</f>
        <v>5.9967810740578384</v>
      </c>
      <c r="AU31" s="161">
        <f ca="1">IF(AT31&gt;Design!$C$28,Design!$C$28,AT31)</f>
        <v>3.3223709369024856</v>
      </c>
    </row>
    <row r="32" spans="1:47" s="162" customFormat="1" ht="12.75" customHeight="1" x14ac:dyDescent="0.25">
      <c r="A32" s="154">
        <f>Design!$D$13</f>
        <v>85</v>
      </c>
      <c r="B32" s="155">
        <f t="shared" si="0"/>
        <v>6.2600000000000007</v>
      </c>
      <c r="C32" s="156">
        <f>Design!$D$6</f>
        <v>2.5</v>
      </c>
      <c r="D32" s="156">
        <f ca="1">FORECAST(C32, OFFSET(Design!$C$15:$C$17,MATCH(C32,Design!$B$15:$B$17,1)-1,0,2), OFFSET(Design!$B$15:$B$17,MATCH(C32,Design!$B$15:$B$17,1)-1,0,2))+(M32-25)*Design!$B$18/1000</f>
        <v>0.39159216456830098</v>
      </c>
      <c r="E32" s="215">
        <f ca="1">IF(100*(Design!$C$28+D32+C32*IF(ISBLANK(Design!$B$40),Constants!$C$6,Design!$B$40)/1000*(1+Constants!$C$31/100*(N32-25)))/($B32+D32-C32*O32/1000)&gt;Design!$C$35,Design!$C$35,100*(Design!$C$28+D32+C32*IF(ISBLANK(Design!$B$40),Constants!$C$6,Design!$B$40)/1000*(1+Constants!$C$31/100*(N32-25)))/($B32+D32-C32*O32/1000))</f>
        <v>62.532025555757293</v>
      </c>
      <c r="F32" s="157">
        <f ca="1">IF(($B32-C32*IF(ISBLANK(Design!$B$40),Constants!$C$6,Design!$B$40)/1000*(1+Constants!$C$31/100*(N32-25))-Design!$C$28)/(IF(ISBLANK(Design!$B$39),Design!$B$38,Design!$B$39)/1000000)*E32/100/(IF(ISBLANK(Design!$B$32),Design!$B$31,Design!$B$32)*1000000)&lt;0, 0, ($B32-C32*IF(ISBLANK(Design!$B$40),Constants!$C$6,Design!$B$40)/1000*(1+Constants!$C$31/100*(N32-25))-Design!$C$28)/(IF(ISBLANK(Design!$B$39),Design!$B$38,Design!$B$39)/1000000)*E32/100/(IF(ISBLANK(Design!$B$32),Design!$B$31,Design!$B$32)*1000000))</f>
        <v>0.18529214114555473</v>
      </c>
      <c r="G32" s="207">
        <f>B32*Constants!$C$18/1000+IF(ISBLANK(Design!$B$32),Design!$B$31,Design!$B$32)*1000000*Constants!$D$22/1000000000*(B32-Constants!$C$21)</f>
        <v>2.1457500000000004E-2</v>
      </c>
      <c r="H32" s="207">
        <f>B32*C32*(B32/(Constants!$C$23*1000000000)*IF(ISBLANK(Design!$B$32),Design!$B$31,Design!$B$32)*1000000/2+B32/(Constants!$C$24*1000000000)*IF(ISBLANK(Design!$B$32),Design!$B$31,Design!$B$32)*1000000/2)</f>
        <v>2.633900210536624E-2</v>
      </c>
      <c r="I32" s="207">
        <f t="shared" ca="1" si="1"/>
        <v>0.69615334708766918</v>
      </c>
      <c r="J32" s="207">
        <f>Constants!$D$22/1000000000*Constants!$C$21*IF(ISBLANK(Design!$B$32),Design!$B$31,Design!$B$32)*1000000</f>
        <v>1.0624999999999999E-2</v>
      </c>
      <c r="K32" s="207">
        <f t="shared" ca="1" si="4"/>
        <v>0.75457484919303541</v>
      </c>
      <c r="L32" s="207">
        <f t="shared" ca="1" si="5"/>
        <v>0.3668041303652696</v>
      </c>
      <c r="M32" s="208">
        <f ca="1">A32+L32*Design!$B$19</f>
        <v>105.90783543082037</v>
      </c>
      <c r="N32" s="208">
        <f ca="1">K32*Design!$C$12+A32</f>
        <v>110.65554487256321</v>
      </c>
      <c r="O32" s="208">
        <f ca="1">Constants!$D$19+Constants!$D$19*Constants!$C$20/100*(N32-25)</f>
        <v>178.04248102620653</v>
      </c>
      <c r="P32" s="207">
        <f ca="1">(1-Constants!$C$17/1000000000*Design!$B$32*1000000) * ($B32+D32-C32*O32/1000) - (D32+C32*(1+($A32-25)*Constants!$C$31/100)*IF(ISBLANK(Design!$B$40),Constants!$C$6/1000,Design!$B$40/1000))</f>
        <v>5.3966431440493663</v>
      </c>
      <c r="Q32" s="213">
        <f ca="1">IF(P32&gt;Design!$C$28,Design!$C$28,P32)</f>
        <v>3.3223709369024856</v>
      </c>
      <c r="R32" s="223">
        <f>2*Design!$D$6/3</f>
        <v>1.6666666666666667</v>
      </c>
      <c r="S32" s="158">
        <f ca="1">FORECAST(R32, OFFSET(Design!$C$15:$C$17,MATCH(R32,Design!$B$15:$B$17,1)-1,0,2), OFFSET(Design!$B$15:$B$17,MATCH(R32,Design!$B$15:$B$17,1)-1,0,2))+(AB32-25)*Design!$B$18/1000</f>
        <v>0.36029896147389573</v>
      </c>
      <c r="T32" s="224">
        <f ca="1">IF(100*(Design!$C$28+S32+R32*IF(ISBLANK(Design!$B$40),Constants!$C$6,Design!$B$40)/1000*(1+Constants!$C$31/100*(AC32-25)))/($B32+S32-R32*AD32/1000)&gt;Design!$C$35,Design!$C$35,100*(Design!$C$28+S32+R32*IF(ISBLANK(Design!$B$40),Constants!$C$6,Design!$B$40)/1000*(1+Constants!$C$31/100*(AC32-25)))/($B32+S32-R32*AD32/1000))</f>
        <v>59.755314122508786</v>
      </c>
      <c r="U32" s="159">
        <f ca="1">IF(($B32-R32*IF(ISBLANK(Design!$B$40),Constants!$C$6,Design!$B$40)/1000*(1+Constants!$C$31/100*(AC32-25))-Design!$C$28)/(Design!$B$39/1000000)*T32/100/(IF(ISBLANK(IF(ISBLANK(Design!$B$39),Design!$B$38,Design!$B$39)),Design!$B$31,Design!$B$32)*1000000)&lt;0,0,($B32-R32*IF(ISBLANK(Design!$B$40),Constants!$C$6,Design!$B$40)/1000*(1+Constants!$C$31/100*(AC32-25))-Design!$C$28)/(IF(ISBLANK(Design!$B$39),Design!$B$38,Design!$B$39)/1000000)*T32/100/(IF(ISBLANK(Design!$B$32),Design!$B$31,Design!$B$32)*1000000))</f>
        <v>0.18092737411889209</v>
      </c>
      <c r="V32" s="225">
        <f>$B32*Constants!$C$18/1000+IF(ISBLANK(Design!$B$32),Design!$B$31,Design!$B$32)*1000000*Constants!$D$22/1000000000*($B32-Constants!$C$21)</f>
        <v>2.1457500000000004E-2</v>
      </c>
      <c r="W32" s="225">
        <f>$B32*R32*($B32/(Constants!$C$23*1000000000)*IF(ISBLANK(Design!$B$32),Design!$B$31,Design!$B$32)*1000000/2+$B32/(Constants!$C$24*1000000000)*IF(ISBLANK(Design!$B$32),Design!$B$31,Design!$B$32)*1000000/2)</f>
        <v>1.7559334736910827E-2</v>
      </c>
      <c r="X32" s="225">
        <f t="shared" ca="1" si="2"/>
        <v>0.2780697089509519</v>
      </c>
      <c r="Y32" s="225">
        <f>Constants!$D$22/1000000000*Constants!$C$21*IF(ISBLANK(Design!$B$32),Design!$B$31,Design!$B$32)*1000000</f>
        <v>1.0624999999999999E-2</v>
      </c>
      <c r="Z32" s="225">
        <f t="shared" ca="1" si="10"/>
        <v>0.32771154368786271</v>
      </c>
      <c r="AA32" s="225">
        <f t="shared" ca="1" si="7"/>
        <v>0.2416686421083874</v>
      </c>
      <c r="AB32" s="226">
        <f ca="1">$A32+AA32*Design!$B$19</f>
        <v>98.775112600178076</v>
      </c>
      <c r="AC32" s="226">
        <f ca="1">Z32*Design!$C$12+$A32</f>
        <v>96.142192485387326</v>
      </c>
      <c r="AD32" s="226">
        <f ca="1">Constants!$D$19+Constants!$D$19*Constants!$C$20/100*(AC32-25)</f>
        <v>167.3606536692451</v>
      </c>
      <c r="AE32" s="225">
        <f ca="1">(1-Constants!$C$17/1000000000*Design!$B$32*1000000) * ($B32+S32-R32*AD32/1000) - (S32+R32*(1+($A32-25)*Constants!$C$31/100)*IF(ISBLANK(Design!$B$40),Constants!$C$6/1000,Design!$B$40/1000))</f>
        <v>5.6085742509901895</v>
      </c>
      <c r="AF32" s="159">
        <f ca="1">IF(AE32&gt;Design!$C$28,Design!$C$28,AE32)</f>
        <v>3.3223709369024856</v>
      </c>
      <c r="AG32" s="160">
        <f>Design!$D$6/3</f>
        <v>0.83333333333333337</v>
      </c>
      <c r="AH32" s="160">
        <f ca="1">FORECAST(AG32, OFFSET(Design!$C$15:$C$17,MATCH(AG32,Design!$B$15:$B$17,1)-1,0,2), OFFSET(Design!$B$15:$B$17,MATCH(AG32,Design!$B$15:$B$17,1)-1,0,2))+(AQ32-25)*Design!$B$18/1000</f>
        <v>0.30309856177070782</v>
      </c>
      <c r="AI32" s="238">
        <f ca="1">IF(100*(Design!$C$28+AH32+AG32*IF(ISBLANK(Design!$B$40),Constants!$C$6,Design!$B$40)/1000*(1+Constants!$C$31/100*(AR32-25)))/($B32+AH32-AG32*AS32/1000)&gt;Design!$C$35,Design!$C$35,100*(Design!$C$28+AH32+AG32*IF(ISBLANK(Design!$B$40),Constants!$C$6,Design!$B$40)/1000*(1+Constants!$C$31/100*(AR32-25)))/($B32+AH32-AG32*AS32/1000))</f>
        <v>57.209003652766746</v>
      </c>
      <c r="AJ32" s="161">
        <f ca="1">IF(($B32-AG32*IF(ISBLANK(Design!$B$40),Constants!$C$6,Design!$B$40)/1000*(1+Constants!$C$31/100*(AR32-25))-Design!$C$28)/(IF(ISBLANK(Design!$B$39),Design!$B$38,Design!$B$39)/1000000)*AI32/100/(IF(ISBLANK(Design!$B$32),Design!$B$31,Design!$B$32)*1000000)&lt;0,0,($B32-AG32*IF(ISBLANK(Design!$B$40),Constants!$C$6,Design!$B$40)/1000*(1+Constants!$C$31/100*(AR32-25))-Design!$C$28)/(IF(ISBLANK(Design!$B$39),Design!$B$38,Design!$B$39)/1000000)*AI32/100/(IF(ISBLANK(Design!$B$32),Design!$B$31,Design!$B$32)*1000000))</f>
        <v>0.17655559302139975</v>
      </c>
      <c r="AK32" s="239">
        <f>$B32*Constants!$C$18/1000+IF(ISBLANK(Design!$B$32),Design!$B$31,Design!$B$32)*1000000*Constants!$D$22/1000000000*($B32-Constants!$C$21)</f>
        <v>2.1457500000000004E-2</v>
      </c>
      <c r="AL32" s="239">
        <f>$B32*AG32*($B32/(Constants!$C$23*1000000000)*IF(ISBLANK(Design!$B$32),Design!$B$31,Design!$B$32)*1000000/2+$B32/(Constants!$C$24*1000000000)*IF(ISBLANK(Design!$B$32),Design!$B$31,Design!$B$32)*1000000/2)</f>
        <v>8.7796673684554134E-3</v>
      </c>
      <c r="AM32" s="239">
        <f t="shared" ca="1" si="3"/>
        <v>6.4519958582072351E-2</v>
      </c>
      <c r="AN32" s="239">
        <f>Constants!$D$22/1000000000*Constants!$C$21*IF(ISBLANK(Design!$B$32),Design!$B$31,Design!$B$32)*1000000</f>
        <v>1.0624999999999999E-2</v>
      </c>
      <c r="AO32" s="239">
        <f t="shared" ca="1" si="11"/>
        <v>0.10538212595052776</v>
      </c>
      <c r="AP32" s="239">
        <f t="shared" ca="1" si="9"/>
        <v>0.10808241207985012</v>
      </c>
      <c r="AQ32" s="240">
        <f ca="1">$A32+AP32*Design!$B$19</f>
        <v>91.160697488551463</v>
      </c>
      <c r="AR32" s="240">
        <f ca="1">AO32*Design!$C$12+$A32</f>
        <v>88.582992282317946</v>
      </c>
      <c r="AS32" s="240">
        <f ca="1">Constants!$D$19+Constants!$D$19*Constants!$C$20/100*(AR32-25)</f>
        <v>161.797082319786</v>
      </c>
      <c r="AT32" s="239">
        <f ca="1">(1-Constants!$C$17/1000000000*Design!$B$32*1000000) * ($B32+AH32-AG32*AS32/1000) - (AH32+AG32*(1+($A32-25)*Constants!$C$31/100)*IF(ISBLANK(Design!$B$40),Constants!$C$6/1000,Design!$B$40/1000))</f>
        <v>5.8004760558570831</v>
      </c>
      <c r="AU32" s="161">
        <f ca="1">IF(AT32&gt;Design!$C$28,Design!$C$28,AT32)</f>
        <v>3.3223709369024856</v>
      </c>
    </row>
    <row r="33" spans="1:47" s="162" customFormat="1" ht="12.75" customHeight="1" x14ac:dyDescent="0.25">
      <c r="A33" s="154">
        <f>Design!$D$13</f>
        <v>85</v>
      </c>
      <c r="B33" s="155">
        <f t="shared" si="0"/>
        <v>6.0550000000000006</v>
      </c>
      <c r="C33" s="156">
        <f>Design!$D$6</f>
        <v>2.5</v>
      </c>
      <c r="D33" s="156">
        <f ca="1">FORECAST(C33, OFFSET(Design!$C$15:$C$17,MATCH(C33,Design!$B$15:$B$17,1)-1,0,2), OFFSET(Design!$B$15:$B$17,MATCH(C33,Design!$B$15:$B$17,1)-1,0,2))+(M33-25)*Design!$B$18/1000</f>
        <v>0.39274260276397377</v>
      </c>
      <c r="E33" s="215">
        <f ca="1">IF(100*(Design!$C$28+D33+C33*IF(ISBLANK(Design!$B$40),Constants!$C$6,Design!$B$40)/1000*(1+Constants!$C$31/100*(N33-25)))/($B33+D33-C33*O33/1000)&gt;Design!$C$35,Design!$C$35,100*(Design!$C$28+D33+C33*IF(ISBLANK(Design!$B$40),Constants!$C$6,Design!$B$40)/1000*(1+Constants!$C$31/100*(N33-25)))/($B33+D33-C33*O33/1000))</f>
        <v>64.697386870884316</v>
      </c>
      <c r="F33" s="157">
        <f ca="1">IF(($B33-C33*IF(ISBLANK(Design!$B$40),Constants!$C$6,Design!$B$40)/1000*(1+Constants!$C$31/100*(N33-25))-Design!$C$28)/(IF(ISBLANK(Design!$B$39),Design!$B$38,Design!$B$39)/1000000)*E33/100/(IF(ISBLANK(Design!$B$32),Design!$B$31,Design!$B$32)*1000000)&lt;0, 0, ($B33-C33*IF(ISBLANK(Design!$B$40),Constants!$C$6,Design!$B$40)/1000*(1+Constants!$C$31/100*(N33-25))-Design!$C$28)/(IF(ISBLANK(Design!$B$39),Design!$B$38,Design!$B$39)/1000000)*E33/100/(IF(ISBLANK(Design!$B$32),Design!$B$31,Design!$B$32)*1000000))</f>
        <v>0.17749602514711066</v>
      </c>
      <c r="G33" s="207">
        <f>B33*Constants!$C$18/1000+IF(ISBLANK(Design!$B$32),Design!$B$31,Design!$B$32)*1000000*Constants!$D$22/1000000000*(B33-Constants!$C$21)</f>
        <v>2.0406875000000005E-2</v>
      </c>
      <c r="H33" s="207">
        <f>B33*C33*(B33/(Constants!$C$23*1000000000)*IF(ISBLANK(Design!$B$32),Design!$B$31,Design!$B$32)*1000000/2+B33/(Constants!$C$24*1000000000)*IF(ISBLANK(Design!$B$32),Design!$B$31,Design!$B$32)*1000000/2)</f>
        <v>2.4642169784934394E-2</v>
      </c>
      <c r="I33" s="207">
        <f t="shared" ca="1" si="1"/>
        <v>0.72263524011175873</v>
      </c>
      <c r="J33" s="207">
        <f>Constants!$D$22/1000000000*Constants!$C$21*IF(ISBLANK(Design!$B$32),Design!$B$31,Design!$B$32)*1000000</f>
        <v>1.0624999999999999E-2</v>
      </c>
      <c r="K33" s="207">
        <f t="shared" ca="1" si="4"/>
        <v>0.77830928489669315</v>
      </c>
      <c r="L33" s="207">
        <f t="shared" ca="1" si="5"/>
        <v>0.34662100411746322</v>
      </c>
      <c r="M33" s="208">
        <f ca="1">A33+L33*Design!$B$19</f>
        <v>104.7573972346954</v>
      </c>
      <c r="N33" s="208">
        <f ca="1">K33*Design!$C$12+A33</f>
        <v>111.46251568648756</v>
      </c>
      <c r="O33" s="208">
        <f ca="1">Constants!$D$19+Constants!$D$19*Constants!$C$20/100*(N33-25)</f>
        <v>178.63641154525484</v>
      </c>
      <c r="P33" s="207">
        <f ca="1">(1-Constants!$C$17/1000000000*Design!$B$32*1000000) * ($B33+D33-C33*O33/1000) - (D33+C33*(1+($A33-25)*Constants!$C$31/100)*IF(ISBLANK(Design!$B$40),Constants!$C$6/1000,Design!$B$40/1000))</f>
        <v>5.1988850292460782</v>
      </c>
      <c r="Q33" s="213">
        <f ca="1">IF(P33&gt;Design!$C$28,Design!$C$28,P33)</f>
        <v>3.3223709369024856</v>
      </c>
      <c r="R33" s="223">
        <f>2*Design!$D$6/3</f>
        <v>1.6666666666666667</v>
      </c>
      <c r="S33" s="158">
        <f ca="1">FORECAST(R33, OFFSET(Design!$C$15:$C$17,MATCH(R33,Design!$B$15:$B$17,1)-1,0,2), OFFSET(Design!$B$15:$B$17,MATCH(R33,Design!$B$15:$B$17,1)-1,0,2))+(AB33-25)*Design!$B$18/1000</f>
        <v>0.36096114165351634</v>
      </c>
      <c r="T33" s="224">
        <f ca="1">IF(100*(Design!$C$28+S33+R33*IF(ISBLANK(Design!$B$40),Constants!$C$6,Design!$B$40)/1000*(1+Constants!$C$31/100*(AC33-25)))/($B33+S33-R33*AD33/1000)&gt;Design!$C$35,Design!$C$35,100*(Design!$C$28+S33+R33*IF(ISBLANK(Design!$B$40),Constants!$C$6,Design!$B$40)/1000*(1+Constants!$C$31/100*(AC33-25)))/($B33+S33-R33*AD33/1000))</f>
        <v>61.760186442087694</v>
      </c>
      <c r="U33" s="159">
        <f ca="1">IF(($B33-R33*IF(ISBLANK(Design!$B$40),Constants!$C$6,Design!$B$40)/1000*(1+Constants!$C$31/100*(AC33-25))-Design!$C$28)/(Design!$B$39/1000000)*T33/100/(IF(ISBLANK(IF(ISBLANK(Design!$B$39),Design!$B$38,Design!$B$39)),Design!$B$31,Design!$B$32)*1000000)&lt;0,0,($B33-R33*IF(ISBLANK(Design!$B$40),Constants!$C$6,Design!$B$40)/1000*(1+Constants!$C$31/100*(AC33-25))-Design!$C$28)/(IF(ISBLANK(Design!$B$39),Design!$B$38,Design!$B$39)/1000000)*T33/100/(IF(ISBLANK(Design!$B$32),Design!$B$31,Design!$B$32)*1000000))</f>
        <v>0.17345125519213161</v>
      </c>
      <c r="V33" s="225">
        <f>$B33*Constants!$C$18/1000+IF(ISBLANK(Design!$B$32),Design!$B$31,Design!$B$32)*1000000*Constants!$D$22/1000000000*($B33-Constants!$C$21)</f>
        <v>2.0406875000000005E-2</v>
      </c>
      <c r="W33" s="225">
        <f>$B33*R33*($B33/(Constants!$C$23*1000000000)*IF(ISBLANK(Design!$B$32),Design!$B$31,Design!$B$32)*1000000/2+$B33/(Constants!$C$24*1000000000)*IF(ISBLANK(Design!$B$32),Design!$B$31,Design!$B$32)*1000000/2)</f>
        <v>1.6428113189956264E-2</v>
      </c>
      <c r="X33" s="225">
        <f t="shared" ca="1" si="2"/>
        <v>0.28769640385935141</v>
      </c>
      <c r="Y33" s="225">
        <f>Constants!$D$22/1000000000*Constants!$C$21*IF(ISBLANK(Design!$B$32),Design!$B$31,Design!$B$32)*1000000</f>
        <v>1.0624999999999999E-2</v>
      </c>
      <c r="Z33" s="225">
        <f t="shared" ca="1" si="10"/>
        <v>0.33515639204930769</v>
      </c>
      <c r="AA33" s="225">
        <f t="shared" ca="1" si="7"/>
        <v>0.23005144597469396</v>
      </c>
      <c r="AB33" s="226">
        <f ca="1">$A33+AA33*Design!$B$19</f>
        <v>98.112932420557556</v>
      </c>
      <c r="AC33" s="226">
        <f ca="1">Z33*Design!$C$12+$A33</f>
        <v>96.395317329676459</v>
      </c>
      <c r="AD33" s="226">
        <f ca="1">Constants!$D$19+Constants!$D$19*Constants!$C$20/100*(AC33-25)</f>
        <v>167.54695355464187</v>
      </c>
      <c r="AE33" s="225">
        <f ca="1">(1-Constants!$C$17/1000000000*Design!$B$32*1000000) * ($B33+S33-R33*AD33/1000) - (S33+R33*(1+($A33-25)*Constants!$C$31/100)*IF(ISBLANK(Design!$B$40),Constants!$C$6/1000,Design!$B$40/1000))</f>
        <v>5.4119613047654438</v>
      </c>
      <c r="AF33" s="159">
        <f ca="1">IF(AE33&gt;Design!$C$28,Design!$C$28,AE33)</f>
        <v>3.3223709369024856</v>
      </c>
      <c r="AG33" s="160">
        <f>Design!$D$6/3</f>
        <v>0.83333333333333337</v>
      </c>
      <c r="AH33" s="160">
        <f ca="1">FORECAST(AG33, OFFSET(Design!$C$15:$C$17,MATCH(AG33,Design!$B$15:$B$17,1)-1,0,2), OFFSET(Design!$B$15:$B$17,MATCH(AG33,Design!$B$15:$B$17,1)-1,0,2))+(AQ33-25)*Design!$B$18/1000</f>
        <v>0.30336497526086559</v>
      </c>
      <c r="AI33" s="238">
        <f ca="1">IF(100*(Design!$C$28+AH33+AG33*IF(ISBLANK(Design!$B$40),Constants!$C$6,Design!$B$40)/1000*(1+Constants!$C$31/100*(AR33-25)))/($B33+AH33-AG33*AS33/1000)&gt;Design!$C$35,Design!$C$35,100*(Design!$C$28+AH33+AG33*IF(ISBLANK(Design!$B$40),Constants!$C$6,Design!$B$40)/1000*(1+Constants!$C$31/100*(AR33-25)))/($B33+AH33-AG33*AS33/1000))</f>
        <v>59.09541326148117</v>
      </c>
      <c r="AJ33" s="161">
        <f ca="1">IF(($B33-AG33*IF(ISBLANK(Design!$B$40),Constants!$C$6,Design!$B$40)/1000*(1+Constants!$C$31/100*(AR33-25))-Design!$C$28)/(IF(ISBLANK(Design!$B$39),Design!$B$38,Design!$B$39)/1000000)*AI33/100/(IF(ISBLANK(Design!$B$32),Design!$B$31,Design!$B$32)*1000000)&lt;0,0,($B33-AG33*IF(ISBLANK(Design!$B$40),Constants!$C$6,Design!$B$40)/1000*(1+Constants!$C$31/100*(AR33-25))-Design!$C$28)/(IF(ISBLANK(Design!$B$39),Design!$B$38,Design!$B$39)/1000000)*AI33/100/(IF(ISBLANK(Design!$B$32),Design!$B$31,Design!$B$32)*1000000))</f>
        <v>0.16942041376380065</v>
      </c>
      <c r="AK33" s="239">
        <f>$B33*Constants!$C$18/1000+IF(ISBLANK(Design!$B$32),Design!$B$31,Design!$B$32)*1000000*Constants!$D$22/1000000000*($B33-Constants!$C$21)</f>
        <v>2.0406875000000005E-2</v>
      </c>
      <c r="AL33" s="239">
        <f>$B33*AG33*($B33/(Constants!$C$23*1000000000)*IF(ISBLANK(Design!$B$32),Design!$B$31,Design!$B$32)*1000000/2+$B33/(Constants!$C$24*1000000000)*IF(ISBLANK(Design!$B$32),Design!$B$31,Design!$B$32)*1000000/2)</f>
        <v>8.2140565949781318E-3</v>
      </c>
      <c r="AM33" s="239">
        <f t="shared" ca="1" si="3"/>
        <v>6.6632888427885506E-2</v>
      </c>
      <c r="AN33" s="239">
        <f>Constants!$D$22/1000000000*Constants!$C$21*IF(ISBLANK(Design!$B$32),Design!$B$31,Design!$B$32)*1000000</f>
        <v>1.0624999999999999E-2</v>
      </c>
      <c r="AO33" s="239">
        <f t="shared" ca="1" si="11"/>
        <v>0.10587882002286364</v>
      </c>
      <c r="AP33" s="239">
        <f t="shared" ca="1" si="9"/>
        <v>0.10340849119988914</v>
      </c>
      <c r="AQ33" s="240">
        <f ca="1">$A33+AP33*Design!$B$19</f>
        <v>90.894283998393675</v>
      </c>
      <c r="AR33" s="240">
        <f ca="1">AO33*Design!$C$12+$A33</f>
        <v>88.599879880777365</v>
      </c>
      <c r="AS33" s="240">
        <f ca="1">Constants!$D$19+Constants!$D$19*Constants!$C$20/100*(AR33-25)</f>
        <v>161.80951159225214</v>
      </c>
      <c r="AT33" s="239">
        <f ca="1">(1-Constants!$C$17/1000000000*Design!$B$32*1000000) * ($B33+AH33-AG33*AS33/1000) - (AH33+AG33*(1+($A33-25)*Constants!$C$31/100)*IF(ISBLANK(Design!$B$40),Constants!$C$6/1000,Design!$B$40/1000))</f>
        <v>5.6041673157600949</v>
      </c>
      <c r="AU33" s="161">
        <f ca="1">IF(AT33&gt;Design!$C$28,Design!$C$28,AT33)</f>
        <v>3.3223709369024856</v>
      </c>
    </row>
    <row r="34" spans="1:47" s="162" customFormat="1" ht="12.75" customHeight="1" x14ac:dyDescent="0.25">
      <c r="A34" s="154">
        <f>Design!$D$13</f>
        <v>85</v>
      </c>
      <c r="B34" s="155">
        <f t="shared" si="0"/>
        <v>5.8500000000000005</v>
      </c>
      <c r="C34" s="156">
        <f>Design!$D$6</f>
        <v>2.5</v>
      </c>
      <c r="D34" s="156">
        <f ca="1">FORECAST(C34, OFFSET(Design!$C$15:$C$17,MATCH(C34,Design!$B$15:$B$17,1)-1,0,2), OFFSET(Design!$B$15:$B$17,MATCH(C34,Design!$B$15:$B$17,1)-1,0,2))+(M34-25)*Design!$B$18/1000</f>
        <v>0.39398354183970508</v>
      </c>
      <c r="E34" s="215">
        <f ca="1">IF(100*(Design!$C$28+D34+C34*IF(ISBLANK(Design!$B$40),Constants!$C$6,Design!$B$40)/1000*(1+Constants!$C$31/100*(N34-25)))/($B34+D34-C34*O34/1000)&gt;Design!$C$35,Design!$C$35,100*(Design!$C$28+D34+C34*IF(ISBLANK(Design!$B$40),Constants!$C$6,Design!$B$40)/1000*(1+Constants!$C$31/100*(N34-25)))/($B34+D34-C34*O34/1000))</f>
        <v>67.018912352514292</v>
      </c>
      <c r="F34" s="157">
        <f ca="1">IF(($B34-C34*IF(ISBLANK(Design!$B$40),Constants!$C$6,Design!$B$40)/1000*(1+Constants!$C$31/100*(N34-25))-Design!$C$28)/(IF(ISBLANK(Design!$B$39),Design!$B$38,Design!$B$39)/1000000)*E34/100/(IF(ISBLANK(Design!$B$32),Design!$B$31,Design!$B$32)*1000000)&lt;0, 0, ($B34-C34*IF(ISBLANK(Design!$B$40),Constants!$C$6,Design!$B$40)/1000*(1+Constants!$C$31/100*(N34-25))-Design!$C$28)/(IF(ISBLANK(Design!$B$39),Design!$B$38,Design!$B$39)/1000000)*E34/100/(IF(ISBLANK(Design!$B$32),Design!$B$31,Design!$B$32)*1000000))</f>
        <v>0.16914005662701051</v>
      </c>
      <c r="G34" s="207">
        <f>B34*Constants!$C$18/1000+IF(ISBLANK(Design!$B$32),Design!$B$31,Design!$B$32)*1000000*Constants!$D$22/1000000000*(B34-Constants!$C$21)</f>
        <v>1.9356250000000002E-2</v>
      </c>
      <c r="H34" s="207">
        <f>B34*C34*(B34/(Constants!$C$23*1000000000)*IF(ISBLANK(Design!$B$32),Design!$B$31,Design!$B$32)*1000000/2+B34/(Constants!$C$24*1000000000)*IF(ISBLANK(Design!$B$32),Design!$B$31,Design!$B$32)*1000000/2)</f>
        <v>2.3001829648942426E-2</v>
      </c>
      <c r="I34" s="207">
        <f t="shared" ca="1" si="1"/>
        <v>0.75125541571723842</v>
      </c>
      <c r="J34" s="207">
        <f>Constants!$D$22/1000000000*Constants!$C$21*IF(ISBLANK(Design!$B$32),Design!$B$31,Design!$B$32)*1000000</f>
        <v>1.0624999999999999E-2</v>
      </c>
      <c r="K34" s="207">
        <f t="shared" ca="1" si="4"/>
        <v>0.80423849536618086</v>
      </c>
      <c r="L34" s="207">
        <f t="shared" ca="1" si="5"/>
        <v>0.32485014312705413</v>
      </c>
      <c r="M34" s="208">
        <f ca="1">A34+L34*Design!$B$19</f>
        <v>103.51645815824209</v>
      </c>
      <c r="N34" s="208">
        <f ca="1">K34*Design!$C$12+A34</f>
        <v>112.34410884245015</v>
      </c>
      <c r="O34" s="208">
        <f ca="1">Constants!$D$19+Constants!$D$19*Constants!$C$20/100*(N34-25)</f>
        <v>179.28526410804332</v>
      </c>
      <c r="P34" s="207">
        <f ca="1">(1-Constants!$C$17/1000000000*Design!$B$32*1000000) * ($B34+D34-C34*O34/1000) - (D34+C34*(1+($A34-25)*Constants!$C$31/100)*IF(ISBLANK(Design!$B$40),Constants!$C$6/1000,Design!$B$40/1000))</f>
        <v>5.0009915985131848</v>
      </c>
      <c r="Q34" s="213">
        <f ca="1">IF(P34&gt;Design!$C$28,Design!$C$28,P34)</f>
        <v>3.3223709369024856</v>
      </c>
      <c r="R34" s="223">
        <f>2*Design!$D$6/3</f>
        <v>1.6666666666666667</v>
      </c>
      <c r="S34" s="158">
        <f ca="1">FORECAST(R34, OFFSET(Design!$C$15:$C$17,MATCH(R34,Design!$B$15:$B$17,1)-1,0,2), OFFSET(Design!$B$15:$B$17,MATCH(R34,Design!$B$15:$B$17,1)-1,0,2))+(AB34-25)*Design!$B$18/1000</f>
        <v>0.36167196190831252</v>
      </c>
      <c r="T34" s="224">
        <f ca="1">IF(100*(Design!$C$28+S34+R34*IF(ISBLANK(Design!$B$40),Constants!$C$6,Design!$B$40)/1000*(1+Constants!$C$31/100*(AC34-25)))/($B34+S34-R34*AD34/1000)&gt;Design!$C$35,Design!$C$35,100*(Design!$C$28+S34+R34*IF(ISBLANK(Design!$B$40),Constants!$C$6,Design!$B$40)/1000*(1+Constants!$C$31/100*(AC34-25)))/($B34+S34-R34*AD34/1000))</f>
        <v>63.904155460529573</v>
      </c>
      <c r="U34" s="159">
        <f ca="1">IF(($B34-R34*IF(ISBLANK(Design!$B$40),Constants!$C$6,Design!$B$40)/1000*(1+Constants!$C$31/100*(AC34-25))-Design!$C$28)/(Design!$B$39/1000000)*T34/100/(IF(ISBLANK(IF(ISBLANK(Design!$B$39),Design!$B$38,Design!$B$39)),Design!$B$31,Design!$B$32)*1000000)&lt;0,0,($B34-R34*IF(ISBLANK(Design!$B$40),Constants!$C$6,Design!$B$40)/1000*(1+Constants!$C$31/100*(AC34-25))-Design!$C$28)/(IF(ISBLANK(Design!$B$39),Design!$B$38,Design!$B$39)/1000000)*T34/100/(IF(ISBLANK(Design!$B$32),Design!$B$31,Design!$B$32)*1000000))</f>
        <v>0.16545521599611959</v>
      </c>
      <c r="V34" s="225">
        <f>$B34*Constants!$C$18/1000+IF(ISBLANK(Design!$B$32),Design!$B$31,Design!$B$32)*1000000*Constants!$D$22/1000000000*($B34-Constants!$C$21)</f>
        <v>1.9356250000000002E-2</v>
      </c>
      <c r="W34" s="225">
        <f>$B34*R34*($B34/(Constants!$C$23*1000000000)*IF(ISBLANK(Design!$B$32),Design!$B$31,Design!$B$32)*1000000/2+$B34/(Constants!$C$24*1000000000)*IF(ISBLANK(Design!$B$32),Design!$B$31,Design!$B$32)*1000000/2)</f>
        <v>1.5334553099294952E-2</v>
      </c>
      <c r="X34" s="225">
        <f t="shared" ca="1" si="2"/>
        <v>0.29802321312828839</v>
      </c>
      <c r="Y34" s="225">
        <f>Constants!$D$22/1000000000*Constants!$C$21*IF(ISBLANK(Design!$B$32),Design!$B$31,Design!$B$32)*1000000</f>
        <v>1.0624999999999999E-2</v>
      </c>
      <c r="Z34" s="225">
        <f t="shared" ca="1" si="10"/>
        <v>0.34333901622758334</v>
      </c>
      <c r="AA34" s="225">
        <f t="shared" ca="1" si="7"/>
        <v>0.2175809151887953</v>
      </c>
      <c r="AB34" s="226">
        <f ca="1">$A34+AA34*Design!$B$19</f>
        <v>97.402112165761338</v>
      </c>
      <c r="AC34" s="226">
        <f ca="1">Z34*Design!$C$12+$A34</f>
        <v>96.673526551737837</v>
      </c>
      <c r="AD34" s="226">
        <f ca="1">Constants!$D$19+Constants!$D$19*Constants!$C$20/100*(AC34-25)</f>
        <v>167.75171554207907</v>
      </c>
      <c r="AE34" s="225">
        <f ca="1">(1-Constants!$C$17/1000000000*Design!$B$32*1000000) * ($B34+S34-R34*AD34/1000) - (S34+R34*(1+($A34-25)*Constants!$C$31/100)*IF(ISBLANK(Design!$B$40),Constants!$C$6/1000,Design!$B$40/1000))</f>
        <v>5.2153168288996632</v>
      </c>
      <c r="AF34" s="159">
        <f ca="1">IF(AE34&gt;Design!$C$28,Design!$C$28,AE34)</f>
        <v>3.3223709369024856</v>
      </c>
      <c r="AG34" s="160">
        <f>Design!$D$6/3</f>
        <v>0.83333333333333337</v>
      </c>
      <c r="AH34" s="160">
        <f ca="1">FORECAST(AG34, OFFSET(Design!$C$15:$C$17,MATCH(AG34,Design!$B$15:$B$17,1)-1,0,2), OFFSET(Design!$B$15:$B$17,MATCH(AG34,Design!$B$15:$B$17,1)-1,0,2))+(AQ34-25)*Design!$B$18/1000</f>
        <v>0.30365005605375406</v>
      </c>
      <c r="AI34" s="238">
        <f ca="1">IF(100*(Design!$C$28+AH34+AG34*IF(ISBLANK(Design!$B$40),Constants!$C$6,Design!$B$40)/1000*(1+Constants!$C$31/100*(AR34-25)))/($B34+AH34-AG34*AS34/1000)&gt;Design!$C$35,Design!$C$35,100*(Design!$C$28+AH34+AG34*IF(ISBLANK(Design!$B$40),Constants!$C$6,Design!$B$40)/1000*(1+Constants!$C$31/100*(AR34-25)))/($B34+AH34-AG34*AS34/1000))</f>
        <v>61.110335340742431</v>
      </c>
      <c r="AJ34" s="161">
        <f ca="1">IF(($B34-AG34*IF(ISBLANK(Design!$B$40),Constants!$C$6,Design!$B$40)/1000*(1+Constants!$C$31/100*(AR34-25))-Design!$C$28)/(IF(ISBLANK(Design!$B$39),Design!$B$38,Design!$B$39)/1000000)*AI34/100/(IF(ISBLANK(Design!$B$32),Design!$B$31,Design!$B$32)*1000000)&lt;0,0,($B34-AG34*IF(ISBLANK(Design!$B$40),Constants!$C$6,Design!$B$40)/1000*(1+Constants!$C$31/100*(AR34-25))-Design!$C$28)/(IF(ISBLANK(Design!$B$39),Design!$B$38,Design!$B$39)/1000000)*AI34/100/(IF(ISBLANK(Design!$B$32),Design!$B$31,Design!$B$32)*1000000))</f>
        <v>0.16179822299084945</v>
      </c>
      <c r="AK34" s="239">
        <f>$B34*Constants!$C$18/1000+IF(ISBLANK(Design!$B$32),Design!$B$31,Design!$B$32)*1000000*Constants!$D$22/1000000000*($B34-Constants!$C$21)</f>
        <v>1.9356250000000002E-2</v>
      </c>
      <c r="AL34" s="239">
        <f>$B34*AG34*($B34/(Constants!$C$23*1000000000)*IF(ISBLANK(Design!$B$32),Design!$B$31,Design!$B$32)*1000000/2+$B34/(Constants!$C$24*1000000000)*IF(ISBLANK(Design!$B$32),Design!$B$31,Design!$B$32)*1000000/2)</f>
        <v>7.6672765496474758E-3</v>
      </c>
      <c r="AM34" s="239">
        <f t="shared" ca="1" si="3"/>
        <v>6.8891044557782541E-2</v>
      </c>
      <c r="AN34" s="239">
        <f>Constants!$D$22/1000000000*Constants!$C$21*IF(ISBLANK(Design!$B$32),Design!$B$31,Design!$B$32)*1000000</f>
        <v>1.0624999999999999E-2</v>
      </c>
      <c r="AO34" s="239">
        <f t="shared" ca="1" si="11"/>
        <v>0.10653957110743001</v>
      </c>
      <c r="AP34" s="239">
        <f t="shared" ca="1" si="9"/>
        <v>9.8407073780793844E-2</v>
      </c>
      <c r="AQ34" s="240">
        <f ca="1">$A34+AP34*Design!$B$19</f>
        <v>90.609203205505253</v>
      </c>
      <c r="AR34" s="240">
        <f ca="1">AO34*Design!$C$12+$A34</f>
        <v>88.622345417652625</v>
      </c>
      <c r="AS34" s="240">
        <f ca="1">Constants!$D$19+Constants!$D$19*Constants!$C$20/100*(AR34-25)</f>
        <v>161.82604622739234</v>
      </c>
      <c r="AT34" s="239">
        <f ca="1">(1-Constants!$C$17/1000000000*Design!$B$32*1000000) * ($B34+AH34-AG34*AS34/1000) - (AH34+AG34*(1+($A34-25)*Constants!$C$31/100)*IF(ISBLANK(Design!$B$40),Constants!$C$6/1000,Design!$B$40/1000))</f>
        <v>5.4078545065654424</v>
      </c>
      <c r="AU34" s="161">
        <f ca="1">IF(AT34&gt;Design!$C$28,Design!$C$28,AT34)</f>
        <v>3.3223709369024856</v>
      </c>
    </row>
    <row r="35" spans="1:47" s="162" customFormat="1" ht="12.75" customHeight="1" x14ac:dyDescent="0.25">
      <c r="A35" s="154">
        <f>Design!$D$13</f>
        <v>85</v>
      </c>
      <c r="B35" s="155">
        <f t="shared" si="0"/>
        <v>5.6450000000000005</v>
      </c>
      <c r="C35" s="156">
        <f>Design!$D$6</f>
        <v>2.5</v>
      </c>
      <c r="D35" s="156">
        <f ca="1">FORECAST(C35, OFFSET(Design!$C$15:$C$17,MATCH(C35,Design!$B$15:$B$17,1)-1,0,2), OFFSET(Design!$B$15:$B$17,MATCH(C35,Design!$B$15:$B$17,1)-1,0,2))+(M35-25)*Design!$B$18/1000</f>
        <v>0.39532615018603523</v>
      </c>
      <c r="E35" s="215">
        <f ca="1">IF(100*(Design!$C$28+D35+C35*IF(ISBLANK(Design!$B$40),Constants!$C$6,Design!$B$40)/1000*(1+Constants!$C$31/100*(N35-25)))/($B35+D35-C35*O35/1000)&gt;Design!$C$35,Design!$C$35,100*(Design!$C$28+D35+C35*IF(ISBLANK(Design!$B$40),Constants!$C$6,Design!$B$40)/1000*(1+Constants!$C$31/100*(N35-25)))/($B35+D35-C35*O35/1000))</f>
        <v>69.514224083283494</v>
      </c>
      <c r="F35" s="157">
        <f ca="1">IF(($B35-C35*IF(ISBLANK(Design!$B$40),Constants!$C$6,Design!$B$40)/1000*(1+Constants!$C$31/100*(N35-25))-Design!$C$28)/(IF(ISBLANK(Design!$B$39),Design!$B$38,Design!$B$39)/1000000)*E35/100/(IF(ISBLANK(Design!$B$32),Design!$B$31,Design!$B$32)*1000000)&lt;0, 0, ($B35-C35*IF(ISBLANK(Design!$B$40),Constants!$C$6,Design!$B$40)/1000*(1+Constants!$C$31/100*(N35-25))-Design!$C$28)/(IF(ISBLANK(Design!$B$39),Design!$B$38,Design!$B$39)/1000000)*E35/100/(IF(ISBLANK(Design!$B$32),Design!$B$31,Design!$B$32)*1000000))</f>
        <v>0.16016129365433765</v>
      </c>
      <c r="G35" s="207">
        <f>B35*Constants!$C$18/1000+IF(ISBLANK(Design!$B$32),Design!$B$31,Design!$B$32)*1000000*Constants!$D$22/1000000000*(B35-Constants!$C$21)</f>
        <v>1.8305625000000002E-2</v>
      </c>
      <c r="H35" s="207">
        <f>B35*C35*(B35/(Constants!$C$23*1000000000)*IF(ISBLANK(Design!$B$32),Design!$B$31,Design!$B$32)*1000000/2+B35/(Constants!$C$24*1000000000)*IF(ISBLANK(Design!$B$32),Design!$B$31,Design!$B$32)*1000000/2)</f>
        <v>2.1417981697390325E-2</v>
      </c>
      <c r="I35" s="207">
        <f t="shared" ca="1" si="1"/>
        <v>0.78228426146093211</v>
      </c>
      <c r="J35" s="207">
        <f>Constants!$D$22/1000000000*Constants!$C$21*IF(ISBLANK(Design!$B$32),Design!$B$31,Design!$B$32)*1000000</f>
        <v>1.0624999999999999E-2</v>
      </c>
      <c r="K35" s="207">
        <f t="shared" ca="1" si="4"/>
        <v>0.83263286815832238</v>
      </c>
      <c r="L35" s="207">
        <f t="shared" ca="1" si="5"/>
        <v>0.30129561071474215</v>
      </c>
      <c r="M35" s="208">
        <f ca="1">A35+L35*Design!$B$19</f>
        <v>102.17384981074031</v>
      </c>
      <c r="N35" s="208">
        <f ca="1">K35*Design!$C$12+A35</f>
        <v>113.30951751738296</v>
      </c>
      <c r="O35" s="208">
        <f ca="1">Constants!$D$19+Constants!$D$19*Constants!$C$20/100*(N35-25)</f>
        <v>179.99580489279387</v>
      </c>
      <c r="P35" s="207">
        <f ca="1">(1-Constants!$C$17/1000000000*Design!$B$32*1000000) * ($B35+D35-C35*O35/1000) - (D35+C35*(1+($A35-25)*Constants!$C$31/100)*IF(ISBLANK(Design!$B$40),Constants!$C$6/1000,Design!$B$40/1000))</f>
        <v>4.8029461806549687</v>
      </c>
      <c r="Q35" s="213">
        <f ca="1">IF(P35&gt;Design!$C$28,Design!$C$28,P35)</f>
        <v>3.3223709369024856</v>
      </c>
      <c r="R35" s="223">
        <f>2*Design!$D$6/3</f>
        <v>1.6666666666666667</v>
      </c>
      <c r="S35" s="158">
        <f ca="1">FORECAST(R35, OFFSET(Design!$C$15:$C$17,MATCH(R35,Design!$B$15:$B$17,1)-1,0,2), OFFSET(Design!$B$15:$B$17,MATCH(R35,Design!$B$15:$B$17,1)-1,0,2))+(AB35-25)*Design!$B$18/1000</f>
        <v>0.36243697889677456</v>
      </c>
      <c r="T35" s="224">
        <f ca="1">IF(100*(Design!$C$28+S35+R35*IF(ISBLANK(Design!$B$40),Constants!$C$6,Design!$B$40)/1000*(1+Constants!$C$31/100*(AC35-25)))/($B35+S35-R35*AD35/1000)&gt;Design!$C$35,Design!$C$35,100*(Design!$C$28+S35+R35*IF(ISBLANK(Design!$B$40),Constants!$C$6,Design!$B$40)/1000*(1+Constants!$C$31/100*(AC35-25)))/($B35+S35-R35*AD35/1000))</f>
        <v>66.202196287674994</v>
      </c>
      <c r="U35" s="159">
        <f ca="1">IF(($B35-R35*IF(ISBLANK(Design!$B$40),Constants!$C$6,Design!$B$40)/1000*(1+Constants!$C$31/100*(AC35-25))-Design!$C$28)/(Design!$B$39/1000000)*T35/100/(IF(ISBLANK(IF(ISBLANK(Design!$B$39),Design!$B$38,Design!$B$39)),Design!$B$31,Design!$B$32)*1000000)&lt;0,0,($B35-R35*IF(ISBLANK(Design!$B$40),Constants!$C$6,Design!$B$40)/1000*(1+Constants!$C$31/100*(AC35-25))-Design!$C$28)/(IF(ISBLANK(Design!$B$39),Design!$B$38,Design!$B$39)/1000000)*T35/100/(IF(ISBLANK(Design!$B$32),Design!$B$31,Design!$B$32)*1000000))</f>
        <v>0.15688309297285738</v>
      </c>
      <c r="V35" s="225">
        <f>$B35*Constants!$C$18/1000+IF(ISBLANK(Design!$B$32),Design!$B$31,Design!$B$32)*1000000*Constants!$D$22/1000000000*($B35-Constants!$C$21)</f>
        <v>1.8305625000000002E-2</v>
      </c>
      <c r="W35" s="225">
        <f>$B35*R35*($B35/(Constants!$C$23*1000000000)*IF(ISBLANK(Design!$B$32),Design!$B$31,Design!$B$32)*1000000/2+$B35/(Constants!$C$24*1000000000)*IF(ISBLANK(Design!$B$32),Design!$B$31,Design!$B$32)*1000000/2)</f>
        <v>1.4278654464926887E-2</v>
      </c>
      <c r="X35" s="225">
        <f t="shared" ca="1" si="2"/>
        <v>0.30912922023686834</v>
      </c>
      <c r="Y35" s="225">
        <f>Constants!$D$22/1000000000*Constants!$C$21*IF(ISBLANK(Design!$B$32),Design!$B$31,Design!$B$32)*1000000</f>
        <v>1.0624999999999999E-2</v>
      </c>
      <c r="Z35" s="225">
        <f t="shared" ca="1" si="10"/>
        <v>0.3523384997017952</v>
      </c>
      <c r="AA35" s="225">
        <f t="shared" ca="1" si="7"/>
        <v>0.20415956451402112</v>
      </c>
      <c r="AB35" s="226">
        <f ca="1">$A35+AA35*Design!$B$19</f>
        <v>96.637095177299202</v>
      </c>
      <c r="AC35" s="226">
        <f ca="1">Z35*Design!$C$12+$A35</f>
        <v>96.979508989861031</v>
      </c>
      <c r="AD35" s="226">
        <f ca="1">Constants!$D$19+Constants!$D$19*Constants!$C$20/100*(AC35-25)</f>
        <v>167.97691861653772</v>
      </c>
      <c r="AE35" s="225">
        <f ca="1">(1-Constants!$C$17/1000000000*Design!$B$32*1000000) * ($B35+S35-R35*AD35/1000) - (S35+R35*(1+($A35-25)*Constants!$C$31/100)*IF(ISBLANK(Design!$B$40),Constants!$C$6/1000,Design!$B$40/1000))</f>
        <v>5.0186374291046629</v>
      </c>
      <c r="AF35" s="159">
        <f ca="1">IF(AE35&gt;Design!$C$28,Design!$C$28,AE35)</f>
        <v>3.3223709369024856</v>
      </c>
      <c r="AG35" s="160">
        <f>Design!$D$6/3</f>
        <v>0.83333333333333337</v>
      </c>
      <c r="AH35" s="160">
        <f ca="1">FORECAST(AG35, OFFSET(Design!$C$15:$C$17,MATCH(AG35,Design!$B$15:$B$17,1)-1,0,2), OFFSET(Design!$B$15:$B$17,MATCH(AG35,Design!$B$15:$B$17,1)-1,0,2))+(AQ35-25)*Design!$B$18/1000</f>
        <v>0.30395583485414013</v>
      </c>
      <c r="AI35" s="238">
        <f ca="1">IF(100*(Design!$C$28+AH35+AG35*IF(ISBLANK(Design!$B$40),Constants!$C$6,Design!$B$40)/1000*(1+Constants!$C$31/100*(AR35-25)))/($B35+AH35-AG35*AS35/1000)&gt;Design!$C$35,Design!$C$35,100*(Design!$C$28+AH35+AG35*IF(ISBLANK(Design!$B$40),Constants!$C$6,Design!$B$40)/1000*(1+Constants!$C$31/100*(AR35-25)))/($B35+AH35-AG35*AS35/1000))</f>
        <v>63.267347652217182</v>
      </c>
      <c r="AJ35" s="161">
        <f ca="1">IF(($B35-AG35*IF(ISBLANK(Design!$B$40),Constants!$C$6,Design!$B$40)/1000*(1+Constants!$C$31/100*(AR35-25))-Design!$C$28)/(IF(ISBLANK(Design!$B$39),Design!$B$38,Design!$B$39)/1000000)*AI35/100/(IF(ISBLANK(Design!$B$32),Design!$B$31,Design!$B$32)*1000000)&lt;0,0,($B35-AG35*IF(ISBLANK(Design!$B$40),Constants!$C$6,Design!$B$40)/1000*(1+Constants!$C$31/100*(AR35-25))-Design!$C$28)/(IF(ISBLANK(Design!$B$39),Design!$B$38,Design!$B$39)/1000000)*AI35/100/(IF(ISBLANK(Design!$B$32),Design!$B$31,Design!$B$32)*1000000))</f>
        <v>0.15363744985057817</v>
      </c>
      <c r="AK35" s="239">
        <f>$B35*Constants!$C$18/1000+IF(ISBLANK(Design!$B$32),Design!$B$31,Design!$B$32)*1000000*Constants!$D$22/1000000000*($B35-Constants!$C$21)</f>
        <v>1.8305625000000002E-2</v>
      </c>
      <c r="AL35" s="239">
        <f>$B35*AG35*($B35/(Constants!$C$23*1000000000)*IF(ISBLANK(Design!$B$32),Design!$B$31,Design!$B$32)*1000000/2+$B35/(Constants!$C$24*1000000000)*IF(ISBLANK(Design!$B$32),Design!$B$31,Design!$B$32)*1000000/2)</f>
        <v>7.1393272324634435E-3</v>
      </c>
      <c r="AM35" s="239">
        <f t="shared" ca="1" si="3"/>
        <v>7.1309995460939996E-2</v>
      </c>
      <c r="AN35" s="239">
        <f>Constants!$D$22/1000000000*Constants!$C$21*IF(ISBLANK(Design!$B$32),Design!$B$31,Design!$B$32)*1000000</f>
        <v>1.0624999999999999E-2</v>
      </c>
      <c r="AO35" s="239">
        <f t="shared" ca="1" si="11"/>
        <v>0.10737994769340344</v>
      </c>
      <c r="AP35" s="239">
        <f t="shared" ca="1" si="9"/>
        <v>9.3042533423143461E-2</v>
      </c>
      <c r="AQ35" s="240">
        <f ca="1">$A35+AP35*Design!$B$19</f>
        <v>90.303424405119173</v>
      </c>
      <c r="AR35" s="240">
        <f ca="1">AO35*Design!$C$12+$A35</f>
        <v>88.650918221575722</v>
      </c>
      <c r="AS35" s="240">
        <f ca="1">Constants!$D$19+Constants!$D$19*Constants!$C$20/100*(AR35-25)</f>
        <v>161.84707581107975</v>
      </c>
      <c r="AT35" s="239">
        <f ca="1">(1-Constants!$C$17/1000000000*Design!$B$32*1000000) * ($B35+AH35-AG35*AS35/1000) - (AH35+AG35*(1+($A35-25)*Constants!$C$31/100)*IF(ISBLANK(Design!$B$40),Constants!$C$6/1000,Design!$B$40/1000))</f>
        <v>5.2115372311111088</v>
      </c>
      <c r="AU35" s="161">
        <f ca="1">IF(AT35&gt;Design!$C$28,Design!$C$28,AT35)</f>
        <v>3.3223709369024856</v>
      </c>
    </row>
    <row r="36" spans="1:47" s="162" customFormat="1" ht="12.75" customHeight="1" x14ac:dyDescent="0.25">
      <c r="A36" s="154">
        <f>Design!$D$13</f>
        <v>85</v>
      </c>
      <c r="B36" s="155">
        <f t="shared" si="0"/>
        <v>5.44</v>
      </c>
      <c r="C36" s="156">
        <f>Design!$D$6</f>
        <v>2.5</v>
      </c>
      <c r="D36" s="156">
        <f ca="1">FORECAST(C36, OFFSET(Design!$C$15:$C$17,MATCH(C36,Design!$B$15:$B$17,1)-1,0,2), OFFSET(Design!$B$15:$B$17,MATCH(C36,Design!$B$15:$B$17,1)-1,0,2))+(M36-25)*Design!$B$18/1000</f>
        <v>0.39678352316926546</v>
      </c>
      <c r="E36" s="215">
        <f ca="1">IF(100*(Design!$C$28+D36+C36*IF(ISBLANK(Design!$B$40),Constants!$C$6,Design!$B$40)/1000*(1+Constants!$C$31/100*(N36-25)))/($B36+D36-C36*O36/1000)&gt;Design!$C$35,Design!$C$35,100*(Design!$C$28+D36+C36*IF(ISBLANK(Design!$B$40),Constants!$C$6,Design!$B$40)/1000*(1+Constants!$C$31/100*(N36-25)))/($B36+D36-C36*O36/1000))</f>
        <v>72.203718399977717</v>
      </c>
      <c r="F36" s="157">
        <f ca="1">IF(($B36-C36*IF(ISBLANK(Design!$B$40),Constants!$C$6,Design!$B$40)/1000*(1+Constants!$C$31/100*(N36-25))-Design!$C$28)/(IF(ISBLANK(Design!$B$39),Design!$B$38,Design!$B$39)/1000000)*E36/100/(IF(ISBLANK(Design!$B$32),Design!$B$31,Design!$B$32)*1000000)&lt;0, 0, ($B36-C36*IF(ISBLANK(Design!$B$40),Constants!$C$6,Design!$B$40)/1000*(1+Constants!$C$31/100*(N36-25))-Design!$C$28)/(IF(ISBLANK(Design!$B$39),Design!$B$38,Design!$B$39)/1000000)*E36/100/(IF(ISBLANK(Design!$B$32),Design!$B$31,Design!$B$32)*1000000))</f>
        <v>0.15048693317633841</v>
      </c>
      <c r="G36" s="207">
        <f>B36*Constants!$C$18/1000+IF(ISBLANK(Design!$B$32),Design!$B$31,Design!$B$32)*1000000*Constants!$D$22/1000000000*(B36-Constants!$C$21)</f>
        <v>1.7255000000000003E-2</v>
      </c>
      <c r="H36" s="207">
        <f>B36*C36*(B36/(Constants!$C$23*1000000000)*IF(ISBLANK(Design!$B$32),Design!$B$31,Design!$B$32)*1000000/2+B36/(Constants!$C$24*1000000000)*IF(ISBLANK(Design!$B$32),Design!$B$31,Design!$B$32)*1000000/2)</f>
        <v>1.9890625930278107E-2</v>
      </c>
      <c r="I36" s="207">
        <f t="shared" ca="1" si="1"/>
        <v>0.8160400324233108</v>
      </c>
      <c r="J36" s="207">
        <f>Constants!$D$22/1000000000*Constants!$C$21*IF(ISBLANK(Design!$B$32),Design!$B$31,Design!$B$32)*1000000</f>
        <v>1.0624999999999999E-2</v>
      </c>
      <c r="K36" s="207">
        <f t="shared" ca="1" si="4"/>
        <v>0.86381065835358894</v>
      </c>
      <c r="L36" s="207">
        <f t="shared" ca="1" si="5"/>
        <v>0.27572766360654677</v>
      </c>
      <c r="M36" s="208">
        <f ca="1">A36+L36*Design!$B$19</f>
        <v>100.71647682557317</v>
      </c>
      <c r="N36" s="208">
        <f ca="1">K36*Design!$C$12+A36</f>
        <v>114.36956238402203</v>
      </c>
      <c r="O36" s="208">
        <f ca="1">Constants!$D$19+Constants!$D$19*Constants!$C$20/100*(N36-25)</f>
        <v>180.77599791464024</v>
      </c>
      <c r="P36" s="207">
        <f ca="1">(1-Constants!$C$17/1000000000*Design!$B$32*1000000) * ($B36+D36-C36*O36/1000) - (D36+C36*(1+($A36-25)*Constants!$C$31/100)*IF(ISBLANK(Design!$B$40),Constants!$C$6/1000,Design!$B$40/1000))</f>
        <v>4.6047291552571359</v>
      </c>
      <c r="Q36" s="213">
        <f ca="1">IF(P36&gt;Design!$C$28,Design!$C$28,P36)</f>
        <v>3.3223709369024856</v>
      </c>
      <c r="R36" s="223">
        <f>2*Design!$D$6/3</f>
        <v>1.6666666666666667</v>
      </c>
      <c r="S36" s="158">
        <f ca="1">FORECAST(R36, OFFSET(Design!$C$15:$C$17,MATCH(R36,Design!$B$15:$B$17,1)-1,0,2), OFFSET(Design!$B$15:$B$17,MATCH(R36,Design!$B$15:$B$17,1)-1,0,2))+(AB36-25)*Design!$B$18/1000</f>
        <v>0.36326262801584031</v>
      </c>
      <c r="T36" s="224">
        <f ca="1">IF(100*(Design!$C$28+S36+R36*IF(ISBLANK(Design!$B$40),Constants!$C$6,Design!$B$40)/1000*(1+Constants!$C$31/100*(AC36-25)))/($B36+S36-R36*AD36/1000)&gt;Design!$C$35,Design!$C$35,100*(Design!$C$28+S36+R36*IF(ISBLANK(Design!$B$40),Constants!$C$6,Design!$B$40)/1000*(1+Constants!$C$31/100*(AC36-25)))/($B36+S36-R36*AD36/1000))</f>
        <v>68.671510204220141</v>
      </c>
      <c r="U36" s="159">
        <f ca="1">IF(($B36-R36*IF(ISBLANK(Design!$B$40),Constants!$C$6,Design!$B$40)/1000*(1+Constants!$C$31/100*(AC36-25))-Design!$C$28)/(Design!$B$39/1000000)*T36/100/(IF(ISBLANK(IF(ISBLANK(Design!$B$39),Design!$B$38,Design!$B$39)),Design!$B$31,Design!$B$32)*1000000)&lt;0,0,($B36-R36*IF(ISBLANK(Design!$B$40),Constants!$C$6,Design!$B$40)/1000*(1+Constants!$C$31/100*(AC36-25))-Design!$C$28)/(IF(ISBLANK(Design!$B$39),Design!$B$38,Design!$B$39)/1000000)*T36/100/(IF(ISBLANK(Design!$B$32),Design!$B$31,Design!$B$32)*1000000))</f>
        <v>0.1476703428001741</v>
      </c>
      <c r="V36" s="225">
        <f>$B36*Constants!$C$18/1000+IF(ISBLANK(Design!$B$32),Design!$B$31,Design!$B$32)*1000000*Constants!$D$22/1000000000*($B36-Constants!$C$21)</f>
        <v>1.7255000000000003E-2</v>
      </c>
      <c r="W36" s="225">
        <f>$B36*R36*($B36/(Constants!$C$23*1000000000)*IF(ISBLANK(Design!$B$32),Design!$B$31,Design!$B$32)*1000000/2+$B36/(Constants!$C$24*1000000000)*IF(ISBLANK(Design!$B$32),Design!$B$31,Design!$B$32)*1000000/2)</f>
        <v>1.3260417286852072E-2</v>
      </c>
      <c r="X36" s="225">
        <f t="shared" ca="1" si="2"/>
        <v>0.32110589030519682</v>
      </c>
      <c r="Y36" s="225">
        <f>Constants!$D$22/1000000000*Constants!$C$21*IF(ISBLANK(Design!$B$32),Design!$B$31,Design!$B$32)*1000000</f>
        <v>1.0624999999999999E-2</v>
      </c>
      <c r="Z36" s="225">
        <f t="shared" ca="1" si="10"/>
        <v>0.3622463075920489</v>
      </c>
      <c r="AA36" s="225">
        <f t="shared" ca="1" si="7"/>
        <v>0.18967449224970712</v>
      </c>
      <c r="AB36" s="226">
        <f ca="1">$A36+AA36*Design!$B$19</f>
        <v>95.811446058233301</v>
      </c>
      <c r="AC36" s="226">
        <f ca="1">Z36*Design!$C$12+$A36</f>
        <v>97.316374458129658</v>
      </c>
      <c r="AD36" s="226">
        <f ca="1">Constants!$D$19+Constants!$D$19*Constants!$C$20/100*(AC36-25)</f>
        <v>168.22485160118345</v>
      </c>
      <c r="AE36" s="225">
        <f ca="1">(1-Constants!$C$17/1000000000*Design!$B$32*1000000) * ($B36+S36-R36*AD36/1000) - (S36+R36*(1+($A36-25)*Constants!$C$31/100)*IF(ISBLANK(Design!$B$40),Constants!$C$6/1000,Design!$B$40/1000))</f>
        <v>4.8219191792957723</v>
      </c>
      <c r="AF36" s="159">
        <f ca="1">IF(AE36&gt;Design!$C$28,Design!$C$28,AE36)</f>
        <v>3.3223709369024856</v>
      </c>
      <c r="AG36" s="160">
        <f>Design!$D$6/3</f>
        <v>0.83333333333333337</v>
      </c>
      <c r="AH36" s="160">
        <f ca="1">FORECAST(AG36, OFFSET(Design!$C$15:$C$17,MATCH(AG36,Design!$B$15:$B$17,1)-1,0,2), OFFSET(Design!$B$15:$B$17,MATCH(AG36,Design!$B$15:$B$17,1)-1,0,2))+(AQ36-25)*Design!$B$18/1000</f>
        <v>0.30428464758809304</v>
      </c>
      <c r="AI36" s="238">
        <f ca="1">IF(100*(Design!$C$28+AH36+AG36*IF(ISBLANK(Design!$B$40),Constants!$C$6,Design!$B$40)/1000*(1+Constants!$C$31/100*(AR36-25)))/($B36+AH36-AG36*AS36/1000)&gt;Design!$C$35,Design!$C$35,100*(Design!$C$28+AH36+AG36*IF(ISBLANK(Design!$B$40),Constants!$C$6,Design!$B$40)/1000*(1+Constants!$C$31/100*(AR36-25)))/($B36+AH36-AG36*AS36/1000))</f>
        <v>65.582007639384713</v>
      </c>
      <c r="AJ36" s="161">
        <f ca="1">IF(($B36-AG36*IF(ISBLANK(Design!$B$40),Constants!$C$6,Design!$B$40)/1000*(1+Constants!$C$31/100*(AR36-25))-Design!$C$28)/(IF(ISBLANK(Design!$B$39),Design!$B$38,Design!$B$39)/1000000)*AI36/100/(IF(ISBLANK(Design!$B$32),Design!$B$31,Design!$B$32)*1000000)&lt;0,0,($B36-AG36*IF(ISBLANK(Design!$B$40),Constants!$C$6,Design!$B$40)/1000*(1+Constants!$C$31/100*(AR36-25))-Design!$C$28)/(IF(ISBLANK(Design!$B$39),Design!$B$38,Design!$B$39)/1000000)*AI36/100/(IF(ISBLANK(Design!$B$32),Design!$B$31,Design!$B$32)*1000000))</f>
        <v>0.14487898625297208</v>
      </c>
      <c r="AK36" s="239">
        <f>$B36*Constants!$C$18/1000+IF(ISBLANK(Design!$B$32),Design!$B$31,Design!$B$32)*1000000*Constants!$D$22/1000000000*($B36-Constants!$C$21)</f>
        <v>1.7255000000000003E-2</v>
      </c>
      <c r="AL36" s="239">
        <f>$B36*AG36*($B36/(Constants!$C$23*1000000000)*IF(ISBLANK(Design!$B$32),Design!$B$31,Design!$B$32)*1000000/2+$B36/(Constants!$C$24*1000000000)*IF(ISBLANK(Design!$B$32),Design!$B$31,Design!$B$32)*1000000/2)</f>
        <v>6.6302086434260358E-3</v>
      </c>
      <c r="AM36" s="239">
        <f t="shared" ca="1" si="3"/>
        <v>7.3907630897792773E-2</v>
      </c>
      <c r="AN36" s="239">
        <f>Constants!$D$22/1000000000*Constants!$C$21*IF(ISBLANK(Design!$B$32),Design!$B$31,Design!$B$32)*1000000</f>
        <v>1.0624999999999999E-2</v>
      </c>
      <c r="AO36" s="239">
        <f t="shared" ca="1" si="11"/>
        <v>0.10841783954121881</v>
      </c>
      <c r="AP36" s="239">
        <f t="shared" ca="1" si="9"/>
        <v>8.7273888967829186E-2</v>
      </c>
      <c r="AQ36" s="240">
        <f ca="1">$A36+AP36*Design!$B$19</f>
        <v>89.974611671166258</v>
      </c>
      <c r="AR36" s="240">
        <f ca="1">AO36*Design!$C$12+$A36</f>
        <v>88.686206544401443</v>
      </c>
      <c r="AS36" s="240">
        <f ca="1">Constants!$D$19+Constants!$D$19*Constants!$C$20/100*(AR36-25)</f>
        <v>161.87304801667946</v>
      </c>
      <c r="AT36" s="239">
        <f ca="1">(1-Constants!$C$17/1000000000*Design!$B$32*1000000) * ($B36+AH36-AG36*AS36/1000) - (AH36+AG36*(1+($A36-25)*Constants!$C$31/100)*IF(ISBLANK(Design!$B$40),Constants!$C$6/1000,Design!$B$40/1000))</f>
        <v>5.015215032914198</v>
      </c>
      <c r="AU36" s="161">
        <f ca="1">IF(AT36&gt;Design!$C$28,Design!$C$28,AT36)</f>
        <v>3.3223709369024856</v>
      </c>
    </row>
    <row r="37" spans="1:47" s="162" customFormat="1" ht="12.75" customHeight="1" x14ac:dyDescent="0.25">
      <c r="A37" s="154">
        <f>Design!$D$13</f>
        <v>85</v>
      </c>
      <c r="B37" s="155">
        <f t="shared" si="0"/>
        <v>5.2350000000000003</v>
      </c>
      <c r="C37" s="156">
        <f>Design!$D$6</f>
        <v>2.5</v>
      </c>
      <c r="D37" s="156">
        <f ca="1">FORECAST(C37, OFFSET(Design!$C$15:$C$17,MATCH(C37,Design!$B$15:$B$17,1)-1,0,2), OFFSET(Design!$B$15:$B$17,MATCH(C37,Design!$B$15:$B$17,1)-1,0,2))+(M37-25)*Design!$B$18/1000</f>
        <v>0.39837112017508558</v>
      </c>
      <c r="E37" s="215">
        <f ca="1">IF(100*(Design!$C$28+D37+C37*IF(ISBLANK(Design!$B$40),Constants!$C$6,Design!$B$40)/1000*(1+Constants!$C$31/100*(N37-25)))/($B37+D37-C37*O37/1000)&gt;Design!$C$35,Design!$C$35,100*(Design!$C$28+D37+C37*IF(ISBLANK(Design!$B$40),Constants!$C$6,Design!$B$40)/1000*(1+Constants!$C$31/100*(N37-25)))/($B37+D37-C37*O37/1000))</f>
        <v>75.111139141735407</v>
      </c>
      <c r="F37" s="157">
        <f ca="1">IF(($B37-C37*IF(ISBLANK(Design!$B$40),Constants!$C$6,Design!$B$40)/1000*(1+Constants!$C$31/100*(N37-25))-Design!$C$28)/(IF(ISBLANK(Design!$B$39),Design!$B$38,Design!$B$39)/1000000)*E37/100/(IF(ISBLANK(Design!$B$32),Design!$B$31,Design!$B$32)*1000000)&lt;0, 0, ($B37-C37*IF(ISBLANK(Design!$B$40),Constants!$C$6,Design!$B$40)/1000*(1+Constants!$C$31/100*(N37-25))-Design!$C$28)/(IF(ISBLANK(Design!$B$39),Design!$B$38,Design!$B$39)/1000000)*E37/100/(IF(ISBLANK(Design!$B$32),Design!$B$31,Design!$B$32)*1000000))</f>
        <v>0.14003228559371825</v>
      </c>
      <c r="G37" s="207">
        <f>B37*Constants!$C$18/1000+IF(ISBLANK(Design!$B$32),Design!$B$31,Design!$B$32)*1000000*Constants!$D$22/1000000000*(B37-Constants!$C$21)</f>
        <v>1.6204375E-2</v>
      </c>
      <c r="H37" s="207">
        <f>B37*C37*(B37/(Constants!$C$23*1000000000)*IF(ISBLANK(Design!$B$32),Design!$B$31,Design!$B$32)*1000000/2+B37/(Constants!$C$24*1000000000)*IF(ISBLANK(Design!$B$32),Design!$B$31,Design!$B$32)*1000000/2)</f>
        <v>1.8419762347605759E-2</v>
      </c>
      <c r="I37" s="207">
        <f t="shared" ca="1" si="1"/>
        <v>0.85290000414037603</v>
      </c>
      <c r="J37" s="207">
        <f>Constants!$D$22/1000000000*Constants!$C$21*IF(ISBLANK(Design!$B$32),Design!$B$31,Design!$B$32)*1000000</f>
        <v>1.0624999999999999E-2</v>
      </c>
      <c r="K37" s="207">
        <f t="shared" ca="1" si="4"/>
        <v>0.89814914148798175</v>
      </c>
      <c r="L37" s="207">
        <f t="shared" ca="1" si="5"/>
        <v>0.24787508449971771</v>
      </c>
      <c r="M37" s="208">
        <f ca="1">A37+L37*Design!$B$19</f>
        <v>99.128879816483902</v>
      </c>
      <c r="N37" s="208">
        <f ca="1">K37*Design!$C$12+A37</f>
        <v>115.53707081059139</v>
      </c>
      <c r="O37" s="208">
        <f ca="1">Constants!$D$19+Constants!$D$19*Constants!$C$20/100*(N37-25)</f>
        <v>181.63528411659527</v>
      </c>
      <c r="P37" s="207">
        <f ca="1">(1-Constants!$C$17/1000000000*Design!$B$32*1000000) * ($B37+D37-C37*O37/1000) - (D37+C37*(1+($A37-25)*Constants!$C$31/100)*IF(ISBLANK(Design!$B$40),Constants!$C$6/1000,Design!$B$40/1000))</f>
        <v>4.4063172660384602</v>
      </c>
      <c r="Q37" s="213">
        <f ca="1">IF(P37&gt;Design!$C$28,Design!$C$28,P37)</f>
        <v>3.3223709369024856</v>
      </c>
      <c r="R37" s="223">
        <f>2*Design!$D$6/3</f>
        <v>1.6666666666666667</v>
      </c>
      <c r="S37" s="158">
        <f ca="1">FORECAST(R37, OFFSET(Design!$C$15:$C$17,MATCH(R37,Design!$B$15:$B$17,1)-1,0,2), OFFSET(Design!$B$15:$B$17,MATCH(R37,Design!$B$15:$B$17,1)-1,0,2))+(AB37-25)*Design!$B$18/1000</f>
        <v>0.36415640399390425</v>
      </c>
      <c r="T37" s="224">
        <f ca="1">IF(100*(Design!$C$28+S37+R37*IF(ISBLANK(Design!$B$40),Constants!$C$6,Design!$B$40)/1000*(1+Constants!$C$31/100*(AC37-25)))/($B37+S37-R37*AD37/1000)&gt;Design!$C$35,Design!$C$35,100*(Design!$C$28+S37+R37*IF(ISBLANK(Design!$B$40),Constants!$C$6,Design!$B$40)/1000*(1+Constants!$C$31/100*(AC37-25)))/($B37+S37-R37*AD37/1000))</f>
        <v>71.331953519229614</v>
      </c>
      <c r="U37" s="159">
        <f ca="1">IF(($B37-R37*IF(ISBLANK(Design!$B$40),Constants!$C$6,Design!$B$40)/1000*(1+Constants!$C$31/100*(AC37-25))-Design!$C$28)/(Design!$B$39/1000000)*T37/100/(IF(ISBLANK(IF(ISBLANK(Design!$B$39),Design!$B$38,Design!$B$39)),Design!$B$31,Design!$B$32)*1000000)&lt;0,0,($B37-R37*IF(ISBLANK(Design!$B$40),Constants!$C$6,Design!$B$40)/1000*(1+Constants!$C$31/100*(AC37-25))-Design!$C$28)/(IF(ISBLANK(Design!$B$39),Design!$B$38,Design!$B$39)/1000000)*T37/100/(IF(ISBLANK(Design!$B$32),Design!$B$31,Design!$B$32)*1000000))</f>
        <v>0.13774242146947391</v>
      </c>
      <c r="V37" s="225">
        <f>$B37*Constants!$C$18/1000+IF(ISBLANK(Design!$B$32),Design!$B$31,Design!$B$32)*1000000*Constants!$D$22/1000000000*($B37-Constants!$C$21)</f>
        <v>1.6204375E-2</v>
      </c>
      <c r="W37" s="225">
        <f>$B37*R37*($B37/(Constants!$C$23*1000000000)*IF(ISBLANK(Design!$B$32),Design!$B$31,Design!$B$32)*1000000/2+$B37/(Constants!$C$24*1000000000)*IF(ISBLANK(Design!$B$32),Design!$B$31,Design!$B$32)*1000000/2)</f>
        <v>1.2279841565070507E-2</v>
      </c>
      <c r="X37" s="225">
        <f t="shared" ca="1" si="2"/>
        <v>0.33405959270154661</v>
      </c>
      <c r="Y37" s="225">
        <f>Constants!$D$22/1000000000*Constants!$C$21*IF(ISBLANK(Design!$B$32),Design!$B$31,Design!$B$32)*1000000</f>
        <v>1.0624999999999999E-2</v>
      </c>
      <c r="Z37" s="225">
        <f t="shared" ca="1" si="10"/>
        <v>0.37316880926661711</v>
      </c>
      <c r="AA37" s="225">
        <f t="shared" ca="1" si="7"/>
        <v>0.17399421193279077</v>
      </c>
      <c r="AB37" s="226">
        <f ca="1">$A37+AA37*Design!$B$19</f>
        <v>94.917670080169074</v>
      </c>
      <c r="AC37" s="226">
        <f ca="1">Z37*Design!$C$12+$A37</f>
        <v>97.687739515064976</v>
      </c>
      <c r="AD37" s="226">
        <f ca="1">Constants!$D$19+Constants!$D$19*Constants!$C$20/100*(AC37-25)</f>
        <v>168.49817628308784</v>
      </c>
      <c r="AE37" s="225">
        <f ca="1">(1-Constants!$C$17/1000000000*Design!$B$32*1000000) * ($B37+S37-R37*AD37/1000) - (S37+R37*(1+($A37-25)*Constants!$C$31/100)*IF(ISBLANK(Design!$B$40),Constants!$C$6/1000,Design!$B$40/1000))</f>
        <v>4.6251575131784985</v>
      </c>
      <c r="AF37" s="159">
        <f ca="1">IF(AE37&gt;Design!$C$28,Design!$C$28,AE37)</f>
        <v>3.3223709369024856</v>
      </c>
      <c r="AG37" s="160">
        <f>Design!$D$6/3</f>
        <v>0.83333333333333337</v>
      </c>
      <c r="AH37" s="160">
        <f ca="1">FORECAST(AG37, OFFSET(Design!$C$15:$C$17,MATCH(AG37,Design!$B$15:$B$17,1)-1,0,2), OFFSET(Design!$B$15:$B$17,MATCH(AG37,Design!$B$15:$B$17,1)-1,0,2))+(AQ37-25)*Design!$B$18/1000</f>
        <v>0.30463919490090985</v>
      </c>
      <c r="AI37" s="238">
        <f ca="1">IF(100*(Design!$C$28+AH37+AG37*IF(ISBLANK(Design!$B$40),Constants!$C$6,Design!$B$40)/1000*(1+Constants!$C$31/100*(AR37-25)))/($B37+AH37-AG37*AS37/1000)&gt;Design!$C$35,Design!$C$35,100*(Design!$C$28+AH37+AG37*IF(ISBLANK(Design!$B$40),Constants!$C$6,Design!$B$40)/1000*(1+Constants!$C$31/100*(AR37-25)))/($B37+AH37-AG37*AS37/1000))</f>
        <v>68.072226280996489</v>
      </c>
      <c r="AJ37" s="161">
        <f ca="1">IF(($B37-AG37*IF(ISBLANK(Design!$B$40),Constants!$C$6,Design!$B$40)/1000*(1+Constants!$C$31/100*(AR37-25))-Design!$C$28)/(IF(ISBLANK(Design!$B$39),Design!$B$38,Design!$B$39)/1000000)*AI37/100/(IF(ISBLANK(Design!$B$32),Design!$B$31,Design!$B$32)*1000000)&lt;0,0,($B37-AG37*IF(ISBLANK(Design!$B$40),Constants!$C$6,Design!$B$40)/1000*(1+Constants!$C$31/100*(AR37-25))-Design!$C$28)/(IF(ISBLANK(Design!$B$39),Design!$B$38,Design!$B$39)/1000000)*AI37/100/(IF(ISBLANK(Design!$B$32),Design!$B$31,Design!$B$32)*1000000))</f>
        <v>0.13545475983134528</v>
      </c>
      <c r="AK37" s="239">
        <f>$B37*Constants!$C$18/1000+IF(ISBLANK(Design!$B$32),Design!$B$31,Design!$B$32)*1000000*Constants!$D$22/1000000000*($B37-Constants!$C$21)</f>
        <v>1.6204375E-2</v>
      </c>
      <c r="AL37" s="239">
        <f>$B37*AG37*($B37/(Constants!$C$23*1000000000)*IF(ISBLANK(Design!$B$32),Design!$B$31,Design!$B$32)*1000000/2+$B37/(Constants!$C$24*1000000000)*IF(ISBLANK(Design!$B$32),Design!$B$31,Design!$B$32)*1000000/2)</f>
        <v>6.1399207825352537E-3</v>
      </c>
      <c r="AM37" s="239">
        <f t="shared" ca="1" si="3"/>
        <v>7.6704614000378507E-2</v>
      </c>
      <c r="AN37" s="239">
        <f>Constants!$D$22/1000000000*Constants!$C$21*IF(ISBLANK(Design!$B$32),Design!$B$31,Design!$B$32)*1000000</f>
        <v>1.0624999999999999E-2</v>
      </c>
      <c r="AO37" s="239">
        <f t="shared" ca="1" si="11"/>
        <v>0.10967390978291375</v>
      </c>
      <c r="AP37" s="239">
        <f t="shared" ca="1" si="9"/>
        <v>8.1053760672797168E-2</v>
      </c>
      <c r="AQ37" s="240">
        <f ca="1">$A37+AP37*Design!$B$19</f>
        <v>89.620064358349438</v>
      </c>
      <c r="AR37" s="240">
        <f ca="1">AO37*Design!$C$12+$A37</f>
        <v>88.728912932619068</v>
      </c>
      <c r="AS37" s="240">
        <f ca="1">Constants!$D$19+Constants!$D$19*Constants!$C$20/100*(AR37-25)</f>
        <v>161.90447991840765</v>
      </c>
      <c r="AT37" s="239">
        <f ca="1">(1-Constants!$C$17/1000000000*Design!$B$32*1000000) * ($B37+AH37-AG37*AS37/1000) - (AH37+AG37*(1+($A37-25)*Constants!$C$31/100)*IF(ISBLANK(Design!$B$40),Constants!$C$6/1000,Design!$B$40/1000))</f>
        <v>4.8188873846151479</v>
      </c>
      <c r="AU37" s="161">
        <f ca="1">IF(AT37&gt;Design!$C$28,Design!$C$28,AT37)</f>
        <v>3.3223709369024856</v>
      </c>
    </row>
    <row r="38" spans="1:47" s="162" customFormat="1" ht="12.75" customHeight="1" x14ac:dyDescent="0.25">
      <c r="A38" s="154">
        <f>Design!$D$13</f>
        <v>85</v>
      </c>
      <c r="B38" s="155">
        <f t="shared" si="0"/>
        <v>5.03</v>
      </c>
      <c r="C38" s="156">
        <f>Design!$D$6</f>
        <v>2.5</v>
      </c>
      <c r="D38" s="156">
        <f ca="1">FORECAST(C38, OFFSET(Design!$C$15:$C$17,MATCH(C38,Design!$B$15:$B$17,1)-1,0,2), OFFSET(Design!$B$15:$B$17,MATCH(C38,Design!$B$15:$B$17,1)-1,0,2))+(M38-25)*Design!$B$18/1000</f>
        <v>0.40010732713984531</v>
      </c>
      <c r="E38" s="215">
        <f ca="1">IF(100*(Design!$C$28+D38+C38*IF(ISBLANK(Design!$B$40),Constants!$C$6,Design!$B$40)/1000*(1+Constants!$C$31/100*(N38-25)))/($B38+D38-C38*O38/1000)&gt;Design!$C$35,Design!$C$35,100*(Design!$C$28+D38+C38*IF(ISBLANK(Design!$B$40),Constants!$C$6,Design!$B$40)/1000*(1+Constants!$C$31/100*(N38-25)))/($B38+D38-C38*O38/1000))</f>
        <v>78.264300767165111</v>
      </c>
      <c r="F38" s="157">
        <f ca="1">IF(($B38-C38*IF(ISBLANK(Design!$B$40),Constants!$C$6,Design!$B$40)/1000*(1+Constants!$C$31/100*(N38-25))-Design!$C$28)/(IF(ISBLANK(Design!$B$39),Design!$B$38,Design!$B$39)/1000000)*E38/100/(IF(ISBLANK(Design!$B$32),Design!$B$31,Design!$B$32)*1000000)&lt;0, 0, ($B38-C38*IF(ISBLANK(Design!$B$40),Constants!$C$6,Design!$B$40)/1000*(1+Constants!$C$31/100*(N38-25))-Design!$C$28)/(IF(ISBLANK(Design!$B$39),Design!$B$38,Design!$B$39)/1000000)*E38/100/(IF(ISBLANK(Design!$B$32),Design!$B$31,Design!$B$32)*1000000))</f>
        <v>0.12869822370871267</v>
      </c>
      <c r="G38" s="207">
        <f>B38*Constants!$C$18/1000+IF(ISBLANK(Design!$B$32),Design!$B$31,Design!$B$32)*1000000*Constants!$D$22/1000000000*(B38-Constants!$C$21)</f>
        <v>1.5153750000000001E-2</v>
      </c>
      <c r="H38" s="207">
        <f>B38*C38*(B38/(Constants!$C$23*1000000000)*IF(ISBLANK(Design!$B$32),Design!$B$31,Design!$B$32)*1000000/2+B38/(Constants!$C$24*1000000000)*IF(ISBLANK(Design!$B$32),Design!$B$31,Design!$B$32)*1000000/2)</f>
        <v>1.7005390949373287E-2</v>
      </c>
      <c r="I38" s="207">
        <f t="shared" ca="1" si="1"/>
        <v>0.89331491877338309</v>
      </c>
      <c r="J38" s="207">
        <f>Constants!$D$22/1000000000*Constants!$C$21*IF(ISBLANK(Design!$B$32),Design!$B$31,Design!$B$32)*1000000</f>
        <v>1.0624999999999999E-2</v>
      </c>
      <c r="K38" s="207">
        <f t="shared" ca="1" si="4"/>
        <v>0.93609905972275642</v>
      </c>
      <c r="L38" s="207">
        <f t="shared" ca="1" si="5"/>
        <v>0.21741531308912887</v>
      </c>
      <c r="M38" s="208">
        <f ca="1">A38+L38*Design!$B$19</f>
        <v>97.392672846080345</v>
      </c>
      <c r="N38" s="208">
        <f ca="1">K38*Design!$C$12+A38</f>
        <v>116.82736803057372</v>
      </c>
      <c r="O38" s="208">
        <f ca="1">Constants!$D$19+Constants!$D$19*Constants!$C$20/100*(N38-25)</f>
        <v>182.58494287050229</v>
      </c>
      <c r="P38" s="207">
        <f ca="1">(1-Constants!$C$17/1000000000*Design!$B$32*1000000) * ($B38+D38-C38*O38/1000) - (D38+C38*(1+($A38-25)*Constants!$C$31/100)*IF(ISBLANK(Design!$B$40),Constants!$C$6/1000,Design!$B$40/1000))</f>
        <v>4.2076827316002916</v>
      </c>
      <c r="Q38" s="213">
        <f ca="1">IF(P38&gt;Design!$C$28,Design!$C$28,P38)</f>
        <v>3.3223709369024856</v>
      </c>
      <c r="R38" s="223">
        <f>2*Design!$D$6/3</f>
        <v>1.6666666666666667</v>
      </c>
      <c r="S38" s="158">
        <f ca="1">FORECAST(R38, OFFSET(Design!$C$15:$C$17,MATCH(R38,Design!$B$15:$B$17,1)-1,0,2), OFFSET(Design!$B$15:$B$17,MATCH(R38,Design!$B$15:$B$17,1)-1,0,2))+(AB38-25)*Design!$B$18/1000</f>
        <v>0.36512708785528042</v>
      </c>
      <c r="T38" s="224">
        <f ca="1">IF(100*(Design!$C$28+S38+R38*IF(ISBLANK(Design!$B$40),Constants!$C$6,Design!$B$40)/1000*(1+Constants!$C$31/100*(AC38-25)))/($B38+S38-R38*AD38/1000)&gt;Design!$C$35,Design!$C$35,100*(Design!$C$28+S38+R38*IF(ISBLANK(Design!$B$40),Constants!$C$6,Design!$B$40)/1000*(1+Constants!$C$31/100*(AC38-25)))/($B38+S38-R38*AD38/1000))</f>
        <v>74.206569319117136</v>
      </c>
      <c r="U38" s="159">
        <f ca="1">IF(($B38-R38*IF(ISBLANK(Design!$B$40),Constants!$C$6,Design!$B$40)/1000*(1+Constants!$C$31/100*(AC38-25))-Design!$C$28)/(Design!$B$39/1000000)*T38/100/(IF(ISBLANK(IF(ISBLANK(Design!$B$39),Design!$B$38,Design!$B$39)),Design!$B$31,Design!$B$32)*1000000)&lt;0,0,($B38-R38*IF(ISBLANK(Design!$B$40),Constants!$C$6,Design!$B$40)/1000*(1+Constants!$C$31/100*(AC38-25))-Design!$C$28)/(IF(ISBLANK(Design!$B$39),Design!$B$38,Design!$B$39)/1000000)*T38/100/(IF(ISBLANK(Design!$B$32),Design!$B$31,Design!$B$32)*1000000))</f>
        <v>0.12701277268155131</v>
      </c>
      <c r="V38" s="225">
        <f>$B38*Constants!$C$18/1000+IF(ISBLANK(Design!$B$32),Design!$B$31,Design!$B$32)*1000000*Constants!$D$22/1000000000*($B38-Constants!$C$21)</f>
        <v>1.5153750000000001E-2</v>
      </c>
      <c r="W38" s="225">
        <f>$B38*R38*($B38/(Constants!$C$23*1000000000)*IF(ISBLANK(Design!$B$32),Design!$B$31,Design!$B$32)*1000000/2+$B38/(Constants!$C$24*1000000000)*IF(ISBLANK(Design!$B$32),Design!$B$31,Design!$B$32)*1000000/2)</f>
        <v>1.1336927299582193E-2</v>
      </c>
      <c r="X38" s="225">
        <f t="shared" ca="1" si="2"/>
        <v>0.3481147667087145</v>
      </c>
      <c r="Y38" s="225">
        <f>Constants!$D$22/1000000000*Constants!$C$21*IF(ISBLANK(Design!$B$32),Design!$B$31,Design!$B$32)*1000000</f>
        <v>1.0624999999999999E-2</v>
      </c>
      <c r="Z38" s="225">
        <f t="shared" ca="1" si="10"/>
        <v>0.3852304440082967</v>
      </c>
      <c r="AA38" s="225">
        <f t="shared" ca="1" si="7"/>
        <v>0.15696467050513008</v>
      </c>
      <c r="AB38" s="226">
        <f ca="1">$A38+AA38*Design!$B$19</f>
        <v>93.946986218792418</v>
      </c>
      <c r="AC38" s="226">
        <f ca="1">Z38*Design!$C$12+$A38</f>
        <v>98.097835096282083</v>
      </c>
      <c r="AD38" s="226">
        <f ca="1">Constants!$D$19+Constants!$D$19*Constants!$C$20/100*(AC38-25)</f>
        <v>168.80000663086361</v>
      </c>
      <c r="AE38" s="225">
        <f ca="1">(1-Constants!$C$17/1000000000*Design!$B$32*1000000) * ($B38+S38-R38*AD38/1000) - (S38+R38*(1+($A38-25)*Constants!$C$31/100)*IF(ISBLANK(Design!$B$40),Constants!$C$6/1000,Design!$B$40/1000))</f>
        <v>4.428347088184398</v>
      </c>
      <c r="AF38" s="159">
        <f ca="1">IF(AE38&gt;Design!$C$28,Design!$C$28,AE38)</f>
        <v>3.3223709369024856</v>
      </c>
      <c r="AG38" s="160">
        <f>Design!$D$6/3</f>
        <v>0.83333333333333337</v>
      </c>
      <c r="AH38" s="160">
        <f ca="1">FORECAST(AG38, OFFSET(Design!$C$15:$C$17,MATCH(AG38,Design!$B$15:$B$17,1)-1,0,2), OFFSET(Design!$B$15:$B$17,MATCH(AG38,Design!$B$15:$B$17,1)-1,0,2))+(AQ38-25)*Design!$B$18/1000</f>
        <v>0.30502261611483938</v>
      </c>
      <c r="AI38" s="238">
        <f ca="1">IF(100*(Design!$C$28+AH38+AG38*IF(ISBLANK(Design!$B$40),Constants!$C$6,Design!$B$40)/1000*(1+Constants!$C$31/100*(AR38-25)))/($B38+AH38-AG38*AS38/1000)&gt;Design!$C$35,Design!$C$35,100*(Design!$C$28+AH38+AG38*IF(ISBLANK(Design!$B$40),Constants!$C$6,Design!$B$40)/1000*(1+Constants!$C$31/100*(AR38-25)))/($B38+AH38-AG38*AS38/1000))</f>
        <v>70.758729832228298</v>
      </c>
      <c r="AJ38" s="161">
        <f ca="1">IF(($B38-AG38*IF(ISBLANK(Design!$B$40),Constants!$C$6,Design!$B$40)/1000*(1+Constants!$C$31/100*(AR38-25))-Design!$C$28)/(IF(ISBLANK(Design!$B$39),Design!$B$38,Design!$B$39)/1000000)*AI38/100/(IF(ISBLANK(Design!$B$32),Design!$B$31,Design!$B$32)*1000000)&lt;0,0,($B38-AG38*IF(ISBLANK(Design!$B$40),Constants!$C$6,Design!$B$40)/1000*(1+Constants!$C$31/100*(AR38-25))-Design!$C$28)/(IF(ISBLANK(Design!$B$39),Design!$B$38,Design!$B$39)/1000000)*AI38/100/(IF(ISBLANK(Design!$B$32),Design!$B$31,Design!$B$32)*1000000))</f>
        <v>0.12528597049559853</v>
      </c>
      <c r="AK38" s="239">
        <f>$B38*Constants!$C$18/1000+IF(ISBLANK(Design!$B$32),Design!$B$31,Design!$B$32)*1000000*Constants!$D$22/1000000000*($B38-Constants!$C$21)</f>
        <v>1.5153750000000001E-2</v>
      </c>
      <c r="AL38" s="239">
        <f>$B38*AG38*($B38/(Constants!$C$23*1000000000)*IF(ISBLANK(Design!$B$32),Design!$B$31,Design!$B$32)*1000000/2+$B38/(Constants!$C$24*1000000000)*IF(ISBLANK(Design!$B$32),Design!$B$31,Design!$B$32)*1000000/2)</f>
        <v>5.6684636497910963E-3</v>
      </c>
      <c r="AM38" s="239">
        <f t="shared" ca="1" si="3"/>
        <v>7.9724943991326389E-2</v>
      </c>
      <c r="AN38" s="239">
        <f>Constants!$D$22/1000000000*Constants!$C$21*IF(ISBLANK(Design!$B$32),Design!$B$31,Design!$B$32)*1000000</f>
        <v>1.0624999999999999E-2</v>
      </c>
      <c r="AO38" s="239">
        <f t="shared" ca="1" si="11"/>
        <v>0.11117215764111749</v>
      </c>
      <c r="AP38" s="239">
        <f t="shared" ca="1" si="9"/>
        <v>7.4327072709121117E-2</v>
      </c>
      <c r="AQ38" s="240">
        <f ca="1">$A38+AP38*Design!$B$19</f>
        <v>89.236643144419901</v>
      </c>
      <c r="AR38" s="240">
        <f ca="1">AO38*Design!$C$12+$A38</f>
        <v>88.779853359797997</v>
      </c>
      <c r="AS38" s="240">
        <f ca="1">Constants!$D$19+Constants!$D$19*Constants!$C$20/100*(AR38-25)</f>
        <v>161.94197207281132</v>
      </c>
      <c r="AT38" s="239">
        <f ca="1">(1-Constants!$C$17/1000000000*Design!$B$32*1000000) * ($B38+AH38-AG38*AS38/1000) - (AH38+AG38*(1+($A38-25)*Constants!$C$31/100)*IF(ISBLANK(Design!$B$40),Constants!$C$6/1000,Design!$B$40/1000))</f>
        <v>4.6225536735986887</v>
      </c>
      <c r="AU38" s="161">
        <f ca="1">IF(AT38&gt;Design!$C$28,Design!$C$28,AT38)</f>
        <v>3.3223709369024856</v>
      </c>
    </row>
    <row r="39" spans="1:47" s="162" customFormat="1" ht="12.75" customHeight="1" x14ac:dyDescent="0.25">
      <c r="A39" s="154">
        <f>Design!$D$13</f>
        <v>85</v>
      </c>
      <c r="B39" s="155">
        <f t="shared" si="0"/>
        <v>4.8250000000000002</v>
      </c>
      <c r="C39" s="156">
        <f>Design!$D$6</f>
        <v>2.5</v>
      </c>
      <c r="D39" s="156">
        <f ca="1">FORECAST(C39, OFFSET(Design!$C$15:$C$17,MATCH(C39,Design!$B$15:$B$17,1)-1,0,2), OFFSET(Design!$B$15:$B$17,MATCH(C39,Design!$B$15:$B$17,1)-1,0,2))+(M39-25)*Design!$B$18/1000</f>
        <v>0.40201418907716474</v>
      </c>
      <c r="E39" s="215">
        <f ca="1">IF(100*(Design!$C$28+D39+C39*IF(ISBLANK(Design!$B$40),Constants!$C$6,Design!$B$40)/1000*(1+Constants!$C$31/100*(N39-25)))/($B39+D39-C39*O39/1000)&gt;Design!$C$35,Design!$C$35,100*(Design!$C$28+D39+C39*IF(ISBLANK(Design!$B$40),Constants!$C$6,Design!$B$40)/1000*(1+Constants!$C$31/100*(N39-25)))/($B39+D39-C39*O39/1000))</f>
        <v>81.69600977143574</v>
      </c>
      <c r="F39" s="157">
        <f ca="1">IF(($B39-C39*IF(ISBLANK(Design!$B$40),Constants!$C$6,Design!$B$40)/1000*(1+Constants!$C$31/100*(N39-25))-Design!$C$28)/(IF(ISBLANK(Design!$B$39),Design!$B$38,Design!$B$39)/1000000)*E39/100/(IF(ISBLANK(Design!$B$32),Design!$B$31,Design!$B$32)*1000000)&lt;0, 0, ($B39-C39*IF(ISBLANK(Design!$B$40),Constants!$C$6,Design!$B$40)/1000*(1+Constants!$C$31/100*(N39-25))-Design!$C$28)/(IF(ISBLANK(Design!$B$39),Design!$B$38,Design!$B$39)/1000000)*E39/100/(IF(ISBLANK(Design!$B$32),Design!$B$31,Design!$B$32)*1000000))</f>
        <v>0.11636793770599095</v>
      </c>
      <c r="G39" s="207">
        <f>B39*Constants!$C$18/1000+IF(ISBLANK(Design!$B$32),Design!$B$31,Design!$B$32)*1000000*Constants!$D$22/1000000000*(B39-Constants!$C$21)</f>
        <v>1.4103125000000003E-2</v>
      </c>
      <c r="H39" s="207">
        <f>B39*C39*(B39/(Constants!$C$23*1000000000)*IF(ISBLANK(Design!$B$32),Design!$B$31,Design!$B$32)*1000000/2+B39/(Constants!$C$24*1000000000)*IF(ISBLANK(Design!$B$32),Design!$B$31,Design!$B$32)*1000000/2)</f>
        <v>1.5647511735580689E-2</v>
      </c>
      <c r="I39" s="207">
        <f t="shared" ca="1" si="1"/>
        <v>0.93782792672138593</v>
      </c>
      <c r="J39" s="207">
        <f>Constants!$D$22/1000000000*Constants!$C$21*IF(ISBLANK(Design!$B$32),Design!$B$31,Design!$B$32)*1000000</f>
        <v>1.0624999999999999E-2</v>
      </c>
      <c r="K39" s="207">
        <f t="shared" ca="1" si="4"/>
        <v>0.97820356345696657</v>
      </c>
      <c r="L39" s="207">
        <f t="shared" ca="1" si="5"/>
        <v>0.1839615947153152</v>
      </c>
      <c r="M39" s="208">
        <f ca="1">A39+L39*Design!$B$19</f>
        <v>95.485810898772968</v>
      </c>
      <c r="N39" s="208">
        <f ca="1">K39*Design!$C$12+A39</f>
        <v>118.25892115753686</v>
      </c>
      <c r="O39" s="208">
        <f ca="1">Constants!$D$19+Constants!$D$19*Constants!$C$20/100*(N39-25)</f>
        <v>183.63856597194714</v>
      </c>
      <c r="P39" s="207">
        <f ca="1">(1-Constants!$C$17/1000000000*Design!$B$32*1000000) * ($B39+D39-C39*O39/1000) - (D39+C39*(1+($A39-25)*Constants!$C$31/100)*IF(ISBLANK(Design!$B$40),Constants!$C$6/1000,Design!$B$40/1000))</f>
        <v>4.0087920796688721</v>
      </c>
      <c r="Q39" s="213">
        <f ca="1">IF(P39&gt;Design!$C$28,Design!$C$28,P39)</f>
        <v>3.3223709369024856</v>
      </c>
      <c r="R39" s="223">
        <f>2*Design!$D$6/3</f>
        <v>1.6666666666666667</v>
      </c>
      <c r="S39" s="158">
        <f ca="1">FORECAST(R39, OFFSET(Design!$C$15:$C$17,MATCH(R39,Design!$B$15:$B$17,1)-1,0,2), OFFSET(Design!$B$15:$B$17,MATCH(R39,Design!$B$15:$B$17,1)-1,0,2))+(AB39-25)*Design!$B$18/1000</f>
        <v>0.36618503474268033</v>
      </c>
      <c r="T39" s="224">
        <f ca="1">IF(100*(Design!$C$28+S39+R39*IF(ISBLANK(Design!$B$40),Constants!$C$6,Design!$B$40)/1000*(1+Constants!$C$31/100*(AC39-25)))/($B39+S39-R39*AD39/1000)&gt;Design!$C$35,Design!$C$35,100*(Design!$C$28+S39+R39*IF(ISBLANK(Design!$B$40),Constants!$C$6,Design!$B$40)/1000*(1+Constants!$C$31/100*(AC39-25)))/($B39+S39-R39*AD39/1000))</f>
        <v>77.322252031363945</v>
      </c>
      <c r="U39" s="159">
        <f ca="1">IF(($B39-R39*IF(ISBLANK(Design!$B$40),Constants!$C$6,Design!$B$40)/1000*(1+Constants!$C$31/100*(AC39-25))-Design!$C$28)/(Design!$B$39/1000000)*T39/100/(IF(ISBLANK(IF(ISBLANK(Design!$B$39),Design!$B$38,Design!$B$39)),Design!$B$31,Design!$B$32)*1000000)&lt;0,0,($B39-R39*IF(ISBLANK(Design!$B$40),Constants!$C$6,Design!$B$40)/1000*(1+Constants!$C$31/100*(AC39-25))-Design!$C$28)/(IF(ISBLANK(Design!$B$39),Design!$B$38,Design!$B$39)/1000000)*T39/100/(IF(ISBLANK(Design!$B$32),Design!$B$31,Design!$B$32)*1000000))</f>
        <v>0.11538031134976193</v>
      </c>
      <c r="V39" s="225">
        <f>$B39*Constants!$C$18/1000+IF(ISBLANK(Design!$B$32),Design!$B$31,Design!$B$32)*1000000*Constants!$D$22/1000000000*($B39-Constants!$C$21)</f>
        <v>1.4103125000000003E-2</v>
      </c>
      <c r="W39" s="225">
        <f>$B39*R39*($B39/(Constants!$C$23*1000000000)*IF(ISBLANK(Design!$B$32),Design!$B$31,Design!$B$32)*1000000/2+$B39/(Constants!$C$24*1000000000)*IF(ISBLANK(Design!$B$32),Design!$B$31,Design!$B$32)*1000000/2)</f>
        <v>1.0431674490387127E-2</v>
      </c>
      <c r="X39" s="225">
        <f t="shared" ca="1" si="2"/>
        <v>0.36341792999643241</v>
      </c>
      <c r="Y39" s="225">
        <f>Constants!$D$22/1000000000*Constants!$C$21*IF(ISBLANK(Design!$B$32),Design!$B$31,Design!$B$32)*1000000</f>
        <v>1.0624999999999999E-2</v>
      </c>
      <c r="Z39" s="225">
        <f t="shared" ca="1" si="10"/>
        <v>0.39857772948681952</v>
      </c>
      <c r="AA39" s="225">
        <f t="shared" ca="1" si="7"/>
        <v>0.13840419879634569</v>
      </c>
      <c r="AB39" s="226">
        <f ca="1">$A39+AA39*Design!$B$19</f>
        <v>92.8890393313917</v>
      </c>
      <c r="AC39" s="226">
        <f ca="1">Z39*Design!$C$12+$A39</f>
        <v>98.551642802551868</v>
      </c>
      <c r="AD39" s="226">
        <f ca="1">Constants!$D$19+Constants!$D$19*Constants!$C$20/100*(AC39-25)</f>
        <v>169.13400910267819</v>
      </c>
      <c r="AE39" s="225">
        <f ca="1">(1-Constants!$C$17/1000000000*Design!$B$32*1000000) * ($B39+S39-R39*AD39/1000) - (S39+R39*(1+($A39-25)*Constants!$C$31/100)*IF(ISBLANK(Design!$B$40),Constants!$C$6/1000,Design!$B$40/1000))</f>
        <v>4.2314816131637452</v>
      </c>
      <c r="AF39" s="159">
        <f ca="1">IF(AE39&gt;Design!$C$28,Design!$C$28,AE39)</f>
        <v>3.3223709369024856</v>
      </c>
      <c r="AG39" s="160">
        <f>Design!$D$6/3</f>
        <v>0.83333333333333337</v>
      </c>
      <c r="AH39" s="160">
        <f ca="1">FORECAST(AG39, OFFSET(Design!$C$15:$C$17,MATCH(AG39,Design!$B$15:$B$17,1)-1,0,2), OFFSET(Design!$B$15:$B$17,MATCH(AG39,Design!$B$15:$B$17,1)-1,0,2))+(AQ39-25)*Design!$B$18/1000</f>
        <v>0.30543858191227508</v>
      </c>
      <c r="AI39" s="238">
        <f ca="1">IF(100*(Design!$C$28+AH39+AG39*IF(ISBLANK(Design!$B$40),Constants!$C$6,Design!$B$40)/1000*(1+Constants!$C$31/100*(AR39-25)))/($B39+AH39-AG39*AS39/1000)&gt;Design!$C$35,Design!$C$35,100*(Design!$C$28+AH39+AG39*IF(ISBLANK(Design!$B$40),Constants!$C$6,Design!$B$40)/1000*(1+Constants!$C$31/100*(AR39-25)))/($B39+AH39-AG39*AS39/1000))</f>
        <v>73.665634490409332</v>
      </c>
      <c r="AJ39" s="161">
        <f ca="1">IF(($B39-AG39*IF(ISBLANK(Design!$B$40),Constants!$C$6,Design!$B$40)/1000*(1+Constants!$C$31/100*(AR39-25))-Design!$C$28)/(IF(ISBLANK(Design!$B$39),Design!$B$38,Design!$B$39)/1000000)*AI39/100/(IF(ISBLANK(Design!$B$32),Design!$B$31,Design!$B$32)*1000000)&lt;0,0,($B39-AG39*IF(ISBLANK(Design!$B$40),Constants!$C$6,Design!$B$40)/1000*(1+Constants!$C$31/100*(AR39-25))-Design!$C$28)/(IF(ISBLANK(Design!$B$39),Design!$B$38,Design!$B$39)/1000000)*AI39/100/(IF(ISBLANK(Design!$B$32),Design!$B$31,Design!$B$32)*1000000))</f>
        <v>0.11428089445571724</v>
      </c>
      <c r="AK39" s="239">
        <f>$B39*Constants!$C$18/1000+IF(ISBLANK(Design!$B$32),Design!$B$31,Design!$B$32)*1000000*Constants!$D$22/1000000000*($B39-Constants!$C$21)</f>
        <v>1.4103125000000003E-2</v>
      </c>
      <c r="AL39" s="239">
        <f>$B39*AG39*($B39/(Constants!$C$23*1000000000)*IF(ISBLANK(Design!$B$32),Design!$B$31,Design!$B$32)*1000000/2+$B39/(Constants!$C$24*1000000000)*IF(ISBLANK(Design!$B$32),Design!$B$31,Design!$B$32)*1000000/2)</f>
        <v>5.2158372451935634E-3</v>
      </c>
      <c r="AM39" s="239">
        <f t="shared" ca="1" si="3"/>
        <v>8.2996662638803384E-2</v>
      </c>
      <c r="AN39" s="239">
        <f>Constants!$D$22/1000000000*Constants!$C$21*IF(ISBLANK(Design!$B$32),Design!$B$31,Design!$B$32)*1000000</f>
        <v>1.0624999999999999E-2</v>
      </c>
      <c r="AO39" s="239">
        <f t="shared" ca="1" si="11"/>
        <v>0.11294062488399695</v>
      </c>
      <c r="AP39" s="239">
        <f t="shared" ca="1" si="9"/>
        <v>6.7029427140074191E-2</v>
      </c>
      <c r="AQ39" s="240">
        <f ca="1">$A39+AP39*Design!$B$19</f>
        <v>88.820677346984226</v>
      </c>
      <c r="AR39" s="240">
        <f ca="1">AO39*Design!$C$12+$A39</f>
        <v>88.839981246055899</v>
      </c>
      <c r="AS39" s="240">
        <f ca="1">Constants!$D$19+Constants!$D$19*Constants!$C$20/100*(AR39-25)</f>
        <v>161.98622619709715</v>
      </c>
      <c r="AT39" s="239">
        <f ca="1">(1-Constants!$C$17/1000000000*Design!$B$32*1000000) * ($B39+AH39-AG39*AS39/1000) - (AH39+AG39*(1+($A39-25)*Constants!$C$31/100)*IF(ISBLANK(Design!$B$40),Constants!$C$6/1000,Design!$B$40/1000))</f>
        <v>4.4262131839489616</v>
      </c>
      <c r="AU39" s="161">
        <f ca="1">IF(AT39&gt;Design!$C$28,Design!$C$28,AT39)</f>
        <v>3.3223709369024856</v>
      </c>
    </row>
    <row r="40" spans="1:47" s="162" customFormat="1" ht="12.75" customHeight="1" x14ac:dyDescent="0.25">
      <c r="A40" s="154">
        <f>Design!$D$13</f>
        <v>85</v>
      </c>
      <c r="B40" s="155">
        <f t="shared" si="0"/>
        <v>4.62</v>
      </c>
      <c r="C40" s="156">
        <f>Design!$D$6</f>
        <v>2.5</v>
      </c>
      <c r="D40" s="156">
        <f ca="1">FORECAST(C40, OFFSET(Design!$C$15:$C$17,MATCH(C40,Design!$B$15:$B$17,1)-1,0,2), OFFSET(Design!$B$15:$B$17,MATCH(C40,Design!$B$15:$B$17,1)-1,0,2))+(M40-25)*Design!$B$18/1000</f>
        <v>0.40411837628690184</v>
      </c>
      <c r="E40" s="215">
        <f ca="1">IF(100*(Design!$C$28+D40+C40*IF(ISBLANK(Design!$B$40),Constants!$C$6,Design!$B$40)/1000*(1+Constants!$C$31/100*(N40-25)))/($B40+D40-C40*O40/1000)&gt;Design!$C$35,Design!$C$35,100*(Design!$C$28+D40+C40*IF(ISBLANK(Design!$B$40),Constants!$C$6,Design!$B$40)/1000*(1+Constants!$C$31/100*(N40-25)))/($B40+D40-C40*O40/1000))</f>
        <v>85.445251892311816</v>
      </c>
      <c r="F40" s="157">
        <f ca="1">IF(($B40-C40*IF(ISBLANK(Design!$B$40),Constants!$C$6,Design!$B$40)/1000*(1+Constants!$C$31/100*(N40-25))-Design!$C$28)/(IF(ISBLANK(Design!$B$39),Design!$B$38,Design!$B$39)/1000000)*E40/100/(IF(ISBLANK(Design!$B$32),Design!$B$31,Design!$B$32)*1000000)&lt;0, 0, ($B40-C40*IF(ISBLANK(Design!$B$40),Constants!$C$6,Design!$B$40)/1000*(1+Constants!$C$31/100*(N40-25))-Design!$C$28)/(IF(ISBLANK(Design!$B$39),Design!$B$38,Design!$B$39)/1000000)*E40/100/(IF(ISBLANK(Design!$B$32),Design!$B$31,Design!$B$32)*1000000))</f>
        <v>0.10290276229351072</v>
      </c>
      <c r="G40" s="207">
        <f>B40*Constants!$C$18/1000+IF(ISBLANK(Design!$B$32),Design!$B$31,Design!$B$32)*1000000*Constants!$D$22/1000000000*(B40-Constants!$C$21)</f>
        <v>1.30525E-2</v>
      </c>
      <c r="H40" s="207">
        <f>B40*C40*(B40/(Constants!$C$23*1000000000)*IF(ISBLANK(Design!$B$32),Design!$B$31,Design!$B$32)*1000000/2+B40/(Constants!$C$24*1000000000)*IF(ISBLANK(Design!$B$32),Design!$B$31,Design!$B$32)*1000000/2)</f>
        <v>1.4346124706227968E-2</v>
      </c>
      <c r="I40" s="207">
        <f t="shared" ca="1" si="1"/>
        <v>0.98709975939231209</v>
      </c>
      <c r="J40" s="207">
        <f>Constants!$D$22/1000000000*Constants!$C$21*IF(ISBLANK(Design!$B$32),Design!$B$31,Design!$B$32)*1000000</f>
        <v>1.0624999999999999E-2</v>
      </c>
      <c r="K40" s="207">
        <f t="shared" ca="1" si="4"/>
        <v>1.0251233840985401</v>
      </c>
      <c r="L40" s="207">
        <f t="shared" ca="1" si="5"/>
        <v>0.14704602931359517</v>
      </c>
      <c r="M40" s="208">
        <f ca="1">A40+L40*Design!$B$19</f>
        <v>93.38162367087493</v>
      </c>
      <c r="N40" s="208">
        <f ca="1">K40*Design!$C$12+A40</f>
        <v>119.85419505935036</v>
      </c>
      <c r="O40" s="208">
        <f ca="1">Constants!$D$19+Constants!$D$19*Constants!$C$20/100*(N40-25)</f>
        <v>184.81268756368189</v>
      </c>
      <c r="P40" s="207">
        <f ca="1">(1-Constants!$C$17/1000000000*Design!$B$32*1000000) * ($B40+D40-C40*O40/1000) - (D40+C40*(1+($A40-25)*Constants!$C$31/100)*IF(ISBLANK(Design!$B$40),Constants!$C$6/1000,Design!$B$40/1000))</f>
        <v>3.8096045981522431</v>
      </c>
      <c r="Q40" s="213">
        <f ca="1">IF(P40&gt;Design!$C$28,Design!$C$28,P40)</f>
        <v>3.3223709369024856</v>
      </c>
      <c r="R40" s="223">
        <f>2*Design!$D$6/3</f>
        <v>1.6666666666666667</v>
      </c>
      <c r="S40" s="158">
        <f ca="1">FORECAST(R40, OFFSET(Design!$C$15:$C$17,MATCH(R40,Design!$B$15:$B$17,1)-1,0,2), OFFSET(Design!$B$15:$B$17,MATCH(R40,Design!$B$15:$B$17,1)-1,0,2))+(AB40-25)*Design!$B$18/1000</f>
        <v>0.3673425424872695</v>
      </c>
      <c r="T40" s="224">
        <f ca="1">IF(100*(Design!$C$28+S40+R40*IF(ISBLANK(Design!$B$40),Constants!$C$6,Design!$B$40)/1000*(1+Constants!$C$31/100*(AC40-25)))/($B40+S40-R40*AD40/1000)&gt;Design!$C$35,Design!$C$35,100*(Design!$C$28+S40+R40*IF(ISBLANK(Design!$B$40),Constants!$C$6,Design!$B$40)/1000*(1+Constants!$C$31/100*(AC40-25)))/($B40+S40-R40*AD40/1000))</f>
        <v>80.710585071441784</v>
      </c>
      <c r="U40" s="159">
        <f ca="1">IF(($B40-R40*IF(ISBLANK(Design!$B$40),Constants!$C$6,Design!$B$40)/1000*(1+Constants!$C$31/100*(AC40-25))-Design!$C$28)/(Design!$B$39/1000000)*T40/100/(IF(ISBLANK(IF(ISBLANK(Design!$B$39),Design!$B$38,Design!$B$39)),Design!$B$31,Design!$B$32)*1000000)&lt;0,0,($B40-R40*IF(ISBLANK(Design!$B$40),Constants!$C$6,Design!$B$40)/1000*(1+Constants!$C$31/100*(AC40-25))-Design!$C$28)/(IF(ISBLANK(Design!$B$39),Design!$B$38,Design!$B$39)/1000000)*T40/100/(IF(ISBLANK(Design!$B$32),Design!$B$31,Design!$B$32)*1000000))</f>
        <v>0.10272624828062703</v>
      </c>
      <c r="V40" s="225">
        <f>$B40*Constants!$C$18/1000+IF(ISBLANK(Design!$B$32),Design!$B$31,Design!$B$32)*1000000*Constants!$D$22/1000000000*($B40-Constants!$C$21)</f>
        <v>1.30525E-2</v>
      </c>
      <c r="W40" s="225">
        <f>$B40*R40*($B40/(Constants!$C$23*1000000000)*IF(ISBLANK(Design!$B$32),Design!$B$31,Design!$B$32)*1000000/2+$B40/(Constants!$C$24*1000000000)*IF(ISBLANK(Design!$B$32),Design!$B$31,Design!$B$32)*1000000/2)</f>
        <v>9.5640831374853123E-3</v>
      </c>
      <c r="X40" s="225">
        <f t="shared" ca="1" si="2"/>
        <v>0.3801428038414601</v>
      </c>
      <c r="Y40" s="225">
        <f>Constants!$D$22/1000000000*Constants!$C$21*IF(ISBLANK(Design!$B$32),Design!$B$31,Design!$B$32)*1000000</f>
        <v>1.0624999999999999E-2</v>
      </c>
      <c r="Z40" s="225">
        <f t="shared" ca="1" si="10"/>
        <v>0.41338438697894542</v>
      </c>
      <c r="AA40" s="225">
        <f t="shared" ca="1" si="7"/>
        <v>0.11809704538247442</v>
      </c>
      <c r="AB40" s="226">
        <f ca="1">$A40+AA40*Design!$B$19</f>
        <v>91.73153158680104</v>
      </c>
      <c r="AC40" s="226">
        <f ca="1">Z40*Design!$C$12+$A40</f>
        <v>99.055069157284152</v>
      </c>
      <c r="AD40" s="226">
        <f ca="1">Constants!$D$19+Constants!$D$19*Constants!$C$20/100*(AC40-25)</f>
        <v>169.50453089976114</v>
      </c>
      <c r="AE40" s="225">
        <f ca="1">(1-Constants!$C$17/1000000000*Design!$B$32*1000000) * ($B40+S40-R40*AD40/1000) - (S40+R40*(1+($A40-25)*Constants!$C$31/100)*IF(ISBLANK(Design!$B$40),Constants!$C$6/1000,Design!$B$40/1000))</f>
        <v>4.0345536280500882</v>
      </c>
      <c r="AF40" s="159">
        <f ca="1">IF(AE40&gt;Design!$C$28,Design!$C$28,AE40)</f>
        <v>3.3223709369024856</v>
      </c>
      <c r="AG40" s="160">
        <f>Design!$D$6/3</f>
        <v>0.83333333333333337</v>
      </c>
      <c r="AH40" s="160">
        <f ca="1">FORECAST(AG40, OFFSET(Design!$C$15:$C$17,MATCH(AG40,Design!$B$15:$B$17,1)-1,0,2), OFFSET(Design!$B$15:$B$17,MATCH(AG40,Design!$B$15:$B$17,1)-1,0,2))+(AQ40-25)*Design!$B$18/1000</f>
        <v>0.30589141150871924</v>
      </c>
      <c r="AI40" s="238">
        <f ca="1">IF(100*(Design!$C$28+AH40+AG40*IF(ISBLANK(Design!$B$40),Constants!$C$6,Design!$B$40)/1000*(1+Constants!$C$31/100*(AR40-25)))/($B40+AH40-AG40*AS40/1000)&gt;Design!$C$35,Design!$C$35,100*(Design!$C$28+AH40+AG40*IF(ISBLANK(Design!$B$40),Constants!$C$6,Design!$B$40)/1000*(1+Constants!$C$31/100*(AR40-25)))/($B40+AH40-AG40*AS40/1000))</f>
        <v>76.821167499799103</v>
      </c>
      <c r="AJ40" s="161">
        <f ca="1">IF(($B40-AG40*IF(ISBLANK(Design!$B$40),Constants!$C$6,Design!$B$40)/1000*(1+Constants!$C$31/100*(AR40-25))-Design!$C$28)/(IF(ISBLANK(Design!$B$39),Design!$B$38,Design!$B$39)/1000000)*AI40/100/(IF(ISBLANK(Design!$B$32),Design!$B$31,Design!$B$32)*1000000)&lt;0,0,($B40-AG40*IF(ISBLANK(Design!$B$40),Constants!$C$6,Design!$B$40)/1000*(1+Constants!$C$31/100*(AR40-25))-Design!$C$28)/(IF(ISBLANK(Design!$B$39),Design!$B$38,Design!$B$39)/1000000)*AI40/100/(IF(ISBLANK(Design!$B$32),Design!$B$31,Design!$B$32)*1000000))</f>
        <v>0.1023321269404506</v>
      </c>
      <c r="AK40" s="239">
        <f>$B40*Constants!$C$18/1000+IF(ISBLANK(Design!$B$32),Design!$B$31,Design!$B$32)*1000000*Constants!$D$22/1000000000*($B40-Constants!$C$21)</f>
        <v>1.30525E-2</v>
      </c>
      <c r="AL40" s="239">
        <f>$B40*AG40*($B40/(Constants!$C$23*1000000000)*IF(ISBLANK(Design!$B$32),Design!$B$31,Design!$B$32)*1000000/2+$B40/(Constants!$C$24*1000000000)*IF(ISBLANK(Design!$B$32),Design!$B$31,Design!$B$32)*1000000/2)</f>
        <v>4.7820415687426562E-3</v>
      </c>
      <c r="AM40" s="239">
        <f t="shared" ca="1" si="3"/>
        <v>8.6552749470074242E-2</v>
      </c>
      <c r="AN40" s="239">
        <f>Constants!$D$22/1000000000*Constants!$C$21*IF(ISBLANK(Design!$B$32),Design!$B$31,Design!$B$32)*1000000</f>
        <v>1.0624999999999999E-2</v>
      </c>
      <c r="AO40" s="239">
        <f t="shared" ca="1" si="11"/>
        <v>0.1150122910388169</v>
      </c>
      <c r="AP40" s="239">
        <f t="shared" ca="1" si="9"/>
        <v>5.9085048255088569E-2</v>
      </c>
      <c r="AQ40" s="240">
        <f ca="1">$A40+AP40*Design!$B$19</f>
        <v>88.367847750540051</v>
      </c>
      <c r="AR40" s="240">
        <f ca="1">AO40*Design!$C$12+$A40</f>
        <v>88.910417895319767</v>
      </c>
      <c r="AS40" s="240">
        <f ca="1">Constants!$D$19+Constants!$D$19*Constants!$C$20/100*(AR40-25)</f>
        <v>162.03806757095535</v>
      </c>
      <c r="AT40" s="239">
        <f ca="1">(1-Constants!$C$17/1000000000*Design!$B$32*1000000) * ($B40+AH40-AG40*AS40/1000) - (AH40+AG40*(1+($A40-25)*Constants!$C$31/100)*IF(ISBLANK(Design!$B$40),Constants!$C$6/1000,Design!$B$40/1000))</f>
        <v>4.2298650735948886</v>
      </c>
      <c r="AU40" s="161">
        <f ca="1">IF(AT40&gt;Design!$C$28,Design!$C$28,AT40)</f>
        <v>3.3223709369024856</v>
      </c>
    </row>
    <row r="41" spans="1:47" s="162" customFormat="1" ht="12.75" customHeight="1" x14ac:dyDescent="0.25">
      <c r="A41" s="154">
        <f>Design!$D$13</f>
        <v>85</v>
      </c>
      <c r="B41" s="155">
        <f t="shared" si="0"/>
        <v>4.415</v>
      </c>
      <c r="C41" s="156">
        <f>Design!$D$6</f>
        <v>2.5</v>
      </c>
      <c r="D41" s="156">
        <f ca="1">FORECAST(C41, OFFSET(Design!$C$15:$C$17,MATCH(C41,Design!$B$15:$B$17,1)-1,0,2), OFFSET(Design!$B$15:$B$17,MATCH(C41,Design!$B$15:$B$17,1)-1,0,2))+(M41-25)*Design!$B$18/1000</f>
        <v>0.40645247704261522</v>
      </c>
      <c r="E41" s="215">
        <f ca="1">IF(100*(Design!$C$28+D41+C41*IF(ISBLANK(Design!$B$40),Constants!$C$6,Design!$B$40)/1000*(1+Constants!$C$31/100*(N41-25)))/($B41+D41-C41*O41/1000)&gt;Design!$C$35,Design!$C$35,100*(Design!$C$28+D41+C41*IF(ISBLANK(Design!$B$40),Constants!$C$6,Design!$B$40)/1000*(1+Constants!$C$31/100*(N41-25)))/($B41+D41-C41*O41/1000))</f>
        <v>89.558740699666146</v>
      </c>
      <c r="F41" s="157">
        <f ca="1">IF(($B41-C41*IF(ISBLANK(Design!$B$40),Constants!$C$6,Design!$B$40)/1000*(1+Constants!$C$31/100*(N41-25))-Design!$C$28)/(IF(ISBLANK(Design!$B$39),Design!$B$38,Design!$B$39)/1000000)*E41/100/(IF(ISBLANK(Design!$B$32),Design!$B$31,Design!$B$32)*1000000)&lt;0, 0, ($B41-C41*IF(ISBLANK(Design!$B$40),Constants!$C$6,Design!$B$40)/1000*(1+Constants!$C$31/100*(N41-25))-Design!$C$28)/(IF(ISBLANK(Design!$B$39),Design!$B$38,Design!$B$39)/1000000)*E41/100/(IF(ISBLANK(Design!$B$32),Design!$B$31,Design!$B$32)*1000000))</f>
        <v>8.8136745877381725E-2</v>
      </c>
      <c r="G41" s="207">
        <f>B41*Constants!$C$18/1000+IF(ISBLANK(Design!$B$32),Design!$B$31,Design!$B$32)*1000000*Constants!$D$22/1000000000*(B41-Constants!$C$21)</f>
        <v>1.2001875000000002E-2</v>
      </c>
      <c r="H41" s="207">
        <f>B41*C41*(B41/(Constants!$C$23*1000000000)*IF(ISBLANK(Design!$B$32),Design!$B$31,Design!$B$32)*1000000/2+B41/(Constants!$C$24*1000000000)*IF(ISBLANK(Design!$B$32),Design!$B$31,Design!$B$32)*1000000/2)</f>
        <v>1.3101229861315119E-2</v>
      </c>
      <c r="I41" s="207">
        <f t="shared" ca="1" si="1"/>
        <v>1.0419426868851589</v>
      </c>
      <c r="J41" s="207">
        <f>Constants!$D$22/1000000000*Constants!$C$21*IF(ISBLANK(Design!$B$32),Design!$B$31,Design!$B$32)*1000000</f>
        <v>1.0624999999999999E-2</v>
      </c>
      <c r="K41" s="207">
        <f t="shared" ca="1" si="4"/>
        <v>1.0776707917464741</v>
      </c>
      <c r="L41" s="207">
        <f t="shared" ca="1" si="5"/>
        <v>0.10609689265162341</v>
      </c>
      <c r="M41" s="208">
        <f ca="1">A41+L41*Design!$B$19</f>
        <v>91.047522881142527</v>
      </c>
      <c r="N41" s="208">
        <f ca="1">K41*Design!$C$12+A41</f>
        <v>121.64080691938011</v>
      </c>
      <c r="O41" s="208">
        <f ca="1">Constants!$D$19+Constants!$D$19*Constants!$C$20/100*(N41-25)</f>
        <v>186.12763389266377</v>
      </c>
      <c r="P41" s="207">
        <f ca="1">(1-Constants!$C$17/1000000000*Design!$B$32*1000000) * ($B41+D41-C41*O41/1000) - (D41+C41*(1+($A41-25)*Constants!$C$31/100)*IF(ISBLANK(Design!$B$40),Constants!$C$6/1000,Design!$B$40/1000))</f>
        <v>3.6100702460951255</v>
      </c>
      <c r="Q41" s="213">
        <f ca="1">IF(P41&gt;Design!$C$28,Design!$C$28,P41)</f>
        <v>3.3223709369024856</v>
      </c>
      <c r="R41" s="223">
        <f>2*Design!$D$6/3</f>
        <v>1.6666666666666667</v>
      </c>
      <c r="S41" s="158">
        <f ca="1">FORECAST(R41, OFFSET(Design!$C$15:$C$17,MATCH(R41,Design!$B$15:$B$17,1)-1,0,2), OFFSET(Design!$B$15:$B$17,MATCH(R41,Design!$B$15:$B$17,1)-1,0,2))+(AB41-25)*Design!$B$18/1000</f>
        <v>0.36861432859147819</v>
      </c>
      <c r="T41" s="224">
        <f ca="1">IF(100*(Design!$C$28+S41+R41*IF(ISBLANK(Design!$B$40),Constants!$C$6,Design!$B$40)/1000*(1+Constants!$C$31/100*(AC41-25)))/($B41+S41-R41*AD41/1000)&gt;Design!$C$35,Design!$C$35,100*(Design!$C$28+S41+R41*IF(ISBLANK(Design!$B$40),Constants!$C$6,Design!$B$40)/1000*(1+Constants!$C$31/100*(AC41-25)))/($B41+S41-R41*AD41/1000))</f>
        <v>84.408906376619868</v>
      </c>
      <c r="U41" s="159">
        <f ca="1">IF(($B41-R41*IF(ISBLANK(Design!$B$40),Constants!$C$6,Design!$B$40)/1000*(1+Constants!$C$31/100*(AC41-25))-Design!$C$28)/(Design!$B$39/1000000)*T41/100/(IF(ISBLANK(IF(ISBLANK(Design!$B$39),Design!$B$38,Design!$B$39)),Design!$B$31,Design!$B$32)*1000000)&lt;0,0,($B41-R41*IF(ISBLANK(Design!$B$40),Constants!$C$6,Design!$B$40)/1000*(1+Constants!$C$31/100*(AC41-25))-Design!$C$28)/(IF(ISBLANK(Design!$B$39),Design!$B$38,Design!$B$39)/1000000)*T41/100/(IF(ISBLANK(Design!$B$32),Design!$B$31,Design!$B$32)*1000000))</f>
        <v>8.8910046186308878E-2</v>
      </c>
      <c r="V41" s="225">
        <f>$B41*Constants!$C$18/1000+IF(ISBLANK(Design!$B$32),Design!$B$31,Design!$B$32)*1000000*Constants!$D$22/1000000000*($B41-Constants!$C$21)</f>
        <v>1.2001875000000002E-2</v>
      </c>
      <c r="W41" s="225">
        <f>$B41*R41*($B41/(Constants!$C$23*1000000000)*IF(ISBLANK(Design!$B$32),Design!$B$31,Design!$B$32)*1000000/2+$B41/(Constants!$C$24*1000000000)*IF(ISBLANK(Design!$B$32),Design!$B$31,Design!$B$32)*1000000/2)</f>
        <v>8.7341532408767471E-3</v>
      </c>
      <c r="X41" s="225">
        <f t="shared" ca="1" si="2"/>
        <v>0.39849693573668554</v>
      </c>
      <c r="Y41" s="225">
        <f>Constants!$D$22/1000000000*Constants!$C$21*IF(ISBLANK(Design!$B$32),Design!$B$31,Design!$B$32)*1000000</f>
        <v>1.0624999999999999E-2</v>
      </c>
      <c r="Z41" s="225">
        <f t="shared" ca="1" si="10"/>
        <v>0.42985796397756226</v>
      </c>
      <c r="AA41" s="225">
        <f t="shared" ca="1" si="7"/>
        <v>9.5785008466485771E-2</v>
      </c>
      <c r="AB41" s="226">
        <f ca="1">$A41+AA41*Design!$B$19</f>
        <v>90.459745482589682</v>
      </c>
      <c r="AC41" s="226">
        <f ca="1">Z41*Design!$C$12+$A41</f>
        <v>99.615170775237118</v>
      </c>
      <c r="AD41" s="226">
        <f ca="1">Constants!$D$19+Constants!$D$19*Constants!$C$20/100*(AC41-25)</f>
        <v>169.91676569057452</v>
      </c>
      <c r="AE41" s="225">
        <f ca="1">(1-Constants!$C$17/1000000000*Design!$B$32*1000000) * ($B41+S41-R41*AD41/1000) - (S41+R41*(1+($A41-25)*Constants!$C$31/100)*IF(ISBLANK(Design!$B$40),Constants!$C$6/1000,Design!$B$40/1000))</f>
        <v>3.8375542191203214</v>
      </c>
      <c r="AF41" s="159">
        <f ca="1">IF(AE41&gt;Design!$C$28,Design!$C$28,AE41)</f>
        <v>3.3223709369024856</v>
      </c>
      <c r="AG41" s="160">
        <f>Design!$D$6/3</f>
        <v>0.83333333333333337</v>
      </c>
      <c r="AH41" s="160">
        <f ca="1">FORECAST(AG41, OFFSET(Design!$C$15:$C$17,MATCH(AG41,Design!$B$15:$B$17,1)-1,0,2), OFFSET(Design!$B$15:$B$17,MATCH(AG41,Design!$B$15:$B$17,1)-1,0,2))+(AQ41-25)*Design!$B$18/1000</f>
        <v>0.3063862221967123</v>
      </c>
      <c r="AI41" s="238">
        <f ca="1">IF(100*(Design!$C$28+AH41+AG41*IF(ISBLANK(Design!$B$40),Constants!$C$6,Design!$B$40)/1000*(1+Constants!$C$31/100*(AR41-25)))/($B41+AH41-AG41*AS41/1000)&gt;Design!$C$35,Design!$C$35,100*(Design!$C$28+AH41+AG41*IF(ISBLANK(Design!$B$40),Constants!$C$6,Design!$B$40)/1000*(1+Constants!$C$31/100*(AR41-25)))/($B41+AH41-AG41*AS41/1000))</f>
        <v>80.258580050760756</v>
      </c>
      <c r="AJ41" s="161">
        <f ca="1">IF(($B41-AG41*IF(ISBLANK(Design!$B$40),Constants!$C$6,Design!$B$40)/1000*(1+Constants!$C$31/100*(AR41-25))-Design!$C$28)/(IF(ISBLANK(Design!$B$39),Design!$B$38,Design!$B$39)/1000000)*AI41/100/(IF(ISBLANK(Design!$B$32),Design!$B$31,Design!$B$32)*1000000)&lt;0,0,($B41-AG41*IF(ISBLANK(Design!$B$40),Constants!$C$6,Design!$B$40)/1000*(1+Constants!$C$31/100*(AR41-25))-Design!$C$28)/(IF(ISBLANK(Design!$B$39),Design!$B$38,Design!$B$39)/1000000)*AI41/100/(IF(ISBLANK(Design!$B$32),Design!$B$31,Design!$B$32)*1000000))</f>
        <v>8.9313089182010585E-2</v>
      </c>
      <c r="AK41" s="239">
        <f>$B41*Constants!$C$18/1000+IF(ISBLANK(Design!$B$32),Design!$B$31,Design!$B$32)*1000000*Constants!$D$22/1000000000*($B41-Constants!$C$21)</f>
        <v>1.2001875000000002E-2</v>
      </c>
      <c r="AL41" s="239">
        <f>$B41*AG41*($B41/(Constants!$C$23*1000000000)*IF(ISBLANK(Design!$B$32),Design!$B$31,Design!$B$32)*1000000/2+$B41/(Constants!$C$24*1000000000)*IF(ISBLANK(Design!$B$32),Design!$B$31,Design!$B$32)*1000000/2)</f>
        <v>4.3670766204383735E-3</v>
      </c>
      <c r="AM41" s="239">
        <f t="shared" ca="1" si="3"/>
        <v>9.0432267739644426E-2</v>
      </c>
      <c r="AN41" s="239">
        <f>Constants!$D$22/1000000000*Constants!$C$21*IF(ISBLANK(Design!$B$32),Design!$B$31,Design!$B$32)*1000000</f>
        <v>1.0624999999999999E-2</v>
      </c>
      <c r="AO41" s="239">
        <f t="shared" ca="1" si="11"/>
        <v>0.1174262193600828</v>
      </c>
      <c r="AP41" s="239">
        <f t="shared" ca="1" si="9"/>
        <v>5.0404158992051876E-2</v>
      </c>
      <c r="AQ41" s="240">
        <f ca="1">$A41+AP41*Design!$B$19</f>
        <v>87.873037062546956</v>
      </c>
      <c r="AR41" s="240">
        <f ca="1">AO41*Design!$C$12+$A41</f>
        <v>88.99249145824281</v>
      </c>
      <c r="AS41" s="240">
        <f ca="1">Constants!$D$19+Constants!$D$19*Constants!$C$20/100*(AR41-25)</f>
        <v>162.09847371326671</v>
      </c>
      <c r="AT41" s="239">
        <f ca="1">(1-Constants!$C$17/1000000000*Design!$B$32*1000000) * ($B41+AH41-AG41*AS41/1000) - (AH41+AG41*(1+($A41-25)*Constants!$C$31/100)*IF(ISBLANK(Design!$B$40),Constants!$C$6/1000,Design!$B$40/1000))</f>
        <v>4.0335083450729297</v>
      </c>
      <c r="AU41" s="161">
        <f ca="1">IF(AT41&gt;Design!$C$28,Design!$C$28,AT41)</f>
        <v>3.3223709369024856</v>
      </c>
    </row>
    <row r="42" spans="1:47" s="162" customFormat="1" ht="12.75" customHeight="1" x14ac:dyDescent="0.25">
      <c r="A42" s="154">
        <f>Design!$D$13</f>
        <v>85</v>
      </c>
      <c r="B42" s="155">
        <f t="shared" si="0"/>
        <v>4.21</v>
      </c>
      <c r="C42" s="156">
        <f>Design!$D$6</f>
        <v>2.5</v>
      </c>
      <c r="D42" s="156">
        <f ca="1">FORECAST(C42, OFFSET(Design!$C$15:$C$17,MATCH(C42,Design!$B$15:$B$17,1)-1,0,2), OFFSET(Design!$B$15:$B$17,MATCH(C42,Design!$B$15:$B$17,1)-1,0,2))+(M42-25)*Design!$B$18/1000</f>
        <v>0.40905675472464431</v>
      </c>
      <c r="E42" s="215">
        <f ca="1">IF(100*(Design!$C$28+D42+C42*IF(ISBLANK(Design!$B$40),Constants!$C$6,Design!$B$40)/1000*(1+Constants!$C$31/100*(N42-25)))/($B42+D42-C42*O42/1000)&gt;Design!$C$35,Design!$C$35,100*(Design!$C$28+D42+C42*IF(ISBLANK(Design!$B$40),Constants!$C$6,Design!$B$40)/1000*(1+Constants!$C$31/100*(N42-25)))/($B42+D42-C42*O42/1000))</f>
        <v>94.092965471637015</v>
      </c>
      <c r="F42" s="157">
        <f ca="1">IF(($B42-C42*IF(ISBLANK(Design!$B$40),Constants!$C$6,Design!$B$40)/1000*(1+Constants!$C$31/100*(N42-25))-Design!$C$28)/(IF(ISBLANK(Design!$B$39),Design!$B$38,Design!$B$39)/1000000)*E42/100/(IF(ISBLANK(Design!$B$32),Design!$B$31,Design!$B$32)*1000000)&lt;0, 0, ($B42-C42*IF(ISBLANK(Design!$B$40),Constants!$C$6,Design!$B$40)/1000*(1+Constants!$C$31/100*(N42-25))-Design!$C$28)/(IF(ISBLANK(Design!$B$39),Design!$B$38,Design!$B$39)/1000000)*E42/100/(IF(ISBLANK(Design!$B$32),Design!$B$31,Design!$B$32)*1000000))</f>
        <v>7.1869487418894415E-2</v>
      </c>
      <c r="G42" s="207">
        <f>B42*Constants!$C$18/1000+IF(ISBLANK(Design!$B$32),Design!$B$31,Design!$B$32)*1000000*Constants!$D$22/1000000000*(B42-Constants!$C$21)</f>
        <v>1.0951249999999999E-2</v>
      </c>
      <c r="H42" s="207">
        <f>B42*C42*(B42/(Constants!$C$23*1000000000)*IF(ISBLANK(Design!$B$32),Design!$B$31,Design!$B$32)*1000000/2+B42/(Constants!$C$24*1000000000)*IF(ISBLANK(Design!$B$32),Design!$B$31,Design!$B$32)*1000000/2)</f>
        <v>1.1912827200842148E-2</v>
      </c>
      <c r="I42" s="207">
        <f t="shared" ca="1" si="1"/>
        <v>1.1033670978680754</v>
      </c>
      <c r="J42" s="207">
        <f>Constants!$D$22/1000000000*Constants!$C$21*IF(ISBLANK(Design!$B$32),Design!$B$31,Design!$B$32)*1000000</f>
        <v>1.0624999999999999E-2</v>
      </c>
      <c r="K42" s="207">
        <f t="shared" ca="1" si="4"/>
        <v>1.1368561750689177</v>
      </c>
      <c r="L42" s="207">
        <f t="shared" ca="1" si="5"/>
        <v>6.0407809355464574E-2</v>
      </c>
      <c r="M42" s="208">
        <f ca="1">A42+L42*Design!$B$19</f>
        <v>88.443245133261485</v>
      </c>
      <c r="N42" s="208">
        <f ca="1">K42*Design!$C$12+A42</f>
        <v>123.6531099523432</v>
      </c>
      <c r="O42" s="208">
        <f ca="1">Constants!$D$19+Constants!$D$19*Constants!$C$20/100*(N42-25)</f>
        <v>187.60868892492459</v>
      </c>
      <c r="P42" s="207">
        <f ca="1">(1-Constants!$C$17/1000000000*Design!$B$32*1000000) * ($B42+D42-C42*O42/1000) - (D42+C42*(1+($A42-25)*Constants!$C$31/100)*IF(ISBLANK(Design!$B$40),Constants!$C$6/1000,Design!$B$40/1000))</f>
        <v>3.4101267888101647</v>
      </c>
      <c r="Q42" s="329">
        <f ca="1">IF(P42&gt;Design!$C$28,Design!$C$28,P42)</f>
        <v>3.3223709369024856</v>
      </c>
      <c r="R42" s="223">
        <f>2*Design!$D$6/3</f>
        <v>1.6666666666666667</v>
      </c>
      <c r="S42" s="158">
        <f ca="1">FORECAST(R42, OFFSET(Design!$C$15:$C$17,MATCH(R42,Design!$B$15:$B$17,1)-1,0,2), OFFSET(Design!$B$15:$B$17,MATCH(R42,Design!$B$15:$B$17,1)-1,0,2))+(AB42-25)*Design!$B$18/1000</f>
        <v>0.37001815465195886</v>
      </c>
      <c r="T42" s="224">
        <f ca="1">IF(100*(Design!$C$28+S42+R42*IF(ISBLANK(Design!$B$40),Constants!$C$6,Design!$B$40)/1000*(1+Constants!$C$31/100*(AC42-25)))/($B42+S42-R42*AD42/1000)&gt;Design!$C$35,Design!$C$35,100*(Design!$C$28+S42+R42*IF(ISBLANK(Design!$B$40),Constants!$C$6,Design!$B$40)/1000*(1+Constants!$C$31/100*(AC42-25)))/($B42+S42-R42*AD42/1000))</f>
        <v>88.461677321242533</v>
      </c>
      <c r="U42" s="159">
        <f ca="1">IF(($B42-R42*IF(ISBLANK(Design!$B$40),Constants!$C$6,Design!$B$40)/1000*(1+Constants!$C$31/100*(AC42-25))-Design!$C$28)/(Design!$B$39/1000000)*T42/100/(IF(ISBLANK(IF(ISBLANK(Design!$B$39),Design!$B$38,Design!$B$39)),Design!$B$31,Design!$B$32)*1000000)&lt;0,0,($B42-R42*IF(ISBLANK(Design!$B$40),Constants!$C$6,Design!$B$40)/1000*(1+Constants!$C$31/100*(AC42-25))-Design!$C$28)/(IF(ISBLANK(Design!$B$39),Design!$B$38,Design!$B$39)/1000000)*T42/100/(IF(ISBLANK(Design!$B$32),Design!$B$31,Design!$B$32)*1000000))</f>
        <v>7.3764217413203603E-2</v>
      </c>
      <c r="V42" s="225">
        <f>$B42*Constants!$C$18/1000+IF(ISBLANK(Design!$B$32),Design!$B$31,Design!$B$32)*1000000*Constants!$D$22/1000000000*($B42-Constants!$C$21)</f>
        <v>1.0951249999999999E-2</v>
      </c>
      <c r="W42" s="225">
        <f>$B42*R42*($B42/(Constants!$C$23*1000000000)*IF(ISBLANK(Design!$B$32),Design!$B$31,Design!$B$32)*1000000/2+$B42/(Constants!$C$24*1000000000)*IF(ISBLANK(Design!$B$32),Design!$B$31,Design!$B$32)*1000000/2)</f>
        <v>7.9418848005614311E-3</v>
      </c>
      <c r="X42" s="225">
        <f t="shared" ca="1" si="2"/>
        <v>0.41873035585965646</v>
      </c>
      <c r="Y42" s="225">
        <f>Constants!$D$22/1000000000*Constants!$C$21*IF(ISBLANK(Design!$B$32),Design!$B$31,Design!$B$32)*1000000</f>
        <v>1.0624999999999999E-2</v>
      </c>
      <c r="Z42" s="225">
        <f t="shared" ca="1" si="10"/>
        <v>0.44824849066021788</v>
      </c>
      <c r="AA42" s="225">
        <f t="shared" ca="1" si="7"/>
        <v>7.1156481089544726E-2</v>
      </c>
      <c r="AB42" s="226">
        <f ca="1">$A42+AA42*Design!$B$19</f>
        <v>89.055919422104054</v>
      </c>
      <c r="AC42" s="226">
        <f ca="1">Z42*Design!$C$12+$A42</f>
        <v>100.24044868244741</v>
      </c>
      <c r="AD42" s="226">
        <f ca="1">Constants!$D$19+Constants!$D$19*Constants!$C$20/100*(AC42-25)</f>
        <v>170.3769702302813</v>
      </c>
      <c r="AE42" s="225">
        <f ca="1">(1-Constants!$C$17/1000000000*Design!$B$32*1000000) * ($B42+S42-R42*AD42/1000) - (S42+R42*(1+($A42-25)*Constants!$C$31/100)*IF(ISBLANK(Design!$B$40),Constants!$C$6/1000,Design!$B$40/1000))</f>
        <v>3.6404726467681341</v>
      </c>
      <c r="AF42" s="331">
        <f ca="1">IF(AE42&gt;Design!$C$28,Design!$C$28,AE42)</f>
        <v>3.3223709369024856</v>
      </c>
      <c r="AG42" s="160">
        <f>Design!$D$6/3</f>
        <v>0.83333333333333337</v>
      </c>
      <c r="AH42" s="160">
        <f ca="1">FORECAST(AG42, OFFSET(Design!$C$15:$C$17,MATCH(AG42,Design!$B$15:$B$17,1)-1,0,2), OFFSET(Design!$B$15:$B$17,MATCH(AG42,Design!$B$15:$B$17,1)-1,0,2))+(AQ42-25)*Design!$B$18/1000</f>
        <v>0.30692912217341783</v>
      </c>
      <c r="AI42" s="238">
        <f ca="1">IF(100*(Design!$C$28+AH42+AG42*IF(ISBLANK(Design!$B$40),Constants!$C$6,Design!$B$40)/1000*(1+Constants!$C$31/100*(AR42-25)))/($B42+AH42-AG42*AS42/1000)&gt;Design!$C$35,Design!$C$35,100*(Design!$C$28+AH42+AG42*IF(ISBLANK(Design!$B$40),Constants!$C$6,Design!$B$40)/1000*(1+Constants!$C$31/100*(AR42-25)))/($B42+AH42-AG42*AS42/1000))</f>
        <v>84.017314079129662</v>
      </c>
      <c r="AJ42" s="161">
        <f ca="1">IF(($B42-AG42*IF(ISBLANK(Design!$B$40),Constants!$C$6,Design!$B$40)/1000*(1+Constants!$C$31/100*(AR42-25))-Design!$C$28)/(IF(ISBLANK(Design!$B$39),Design!$B$38,Design!$B$39)/1000000)*AI42/100/(IF(ISBLANK(Design!$B$32),Design!$B$31,Design!$B$32)*1000000)&lt;0,0,($B42-AG42*IF(ISBLANK(Design!$B$40),Constants!$C$6,Design!$B$40)/1000*(1+Constants!$C$31/100*(AR42-25))-Design!$C$28)/(IF(ISBLANK(Design!$B$39),Design!$B$38,Design!$B$39)/1000000)*AI42/100/(IF(ISBLANK(Design!$B$32),Design!$B$31,Design!$B$32)*1000000))</f>
        <v>7.5073560582277876E-2</v>
      </c>
      <c r="AK42" s="239">
        <f>$B42*Constants!$C$18/1000+IF(ISBLANK(Design!$B$32),Design!$B$31,Design!$B$32)*1000000*Constants!$D$22/1000000000*($B42-Constants!$C$21)</f>
        <v>1.0951249999999999E-2</v>
      </c>
      <c r="AL42" s="239">
        <f>$B42*AG42*($B42/(Constants!$C$23*1000000000)*IF(ISBLANK(Design!$B$32),Design!$B$31,Design!$B$32)*1000000/2+$B42/(Constants!$C$24*1000000000)*IF(ISBLANK(Design!$B$32),Design!$B$31,Design!$B$32)*1000000/2)</f>
        <v>3.9709424002807156E-3</v>
      </c>
      <c r="AM42" s="239">
        <f t="shared" ca="1" si="3"/>
        <v>9.4681847716957965E-2</v>
      </c>
      <c r="AN42" s="239">
        <f>Constants!$D$22/1000000000*Constants!$C$21*IF(ISBLANK(Design!$B$32),Design!$B$31,Design!$B$32)*1000000</f>
        <v>1.0624999999999999E-2</v>
      </c>
      <c r="AO42" s="239">
        <f t="shared" ca="1" si="11"/>
        <v>0.12022904011723867</v>
      </c>
      <c r="AP42" s="239">
        <f t="shared" ca="1" si="9"/>
        <v>4.0879597997218159E-2</v>
      </c>
      <c r="AQ42" s="240">
        <f ca="1">$A42+AP42*Design!$B$19</f>
        <v>87.330137085841429</v>
      </c>
      <c r="AR42" s="240">
        <f ca="1">AO42*Design!$C$12+$A42</f>
        <v>89.087787363986109</v>
      </c>
      <c r="AS42" s="240">
        <f ca="1">Constants!$D$19+Constants!$D$19*Constants!$C$20/100*(AR42-25)</f>
        <v>162.16861149989379</v>
      </c>
      <c r="AT42" s="239">
        <f ca="1">(1-Constants!$C$17/1000000000*Design!$B$32*1000000) * ($B42+AH42-AG42*AS42/1000) - (AH42+AG42*(1+($A42-25)*Constants!$C$31/100)*IF(ISBLANK(Design!$B$40),Constants!$C$6/1000,Design!$B$40/1000))</f>
        <v>3.8371418077150059</v>
      </c>
      <c r="AU42" s="331">
        <f ca="1">IF(AT42&gt;Design!$C$28,Design!$C$28,AT42)</f>
        <v>3.3223709369024856</v>
      </c>
    </row>
    <row r="43" spans="1:47" s="162" customFormat="1" ht="12.75" customHeight="1" x14ac:dyDescent="0.25">
      <c r="A43" s="154">
        <f>Design!$D$13</f>
        <v>85</v>
      </c>
      <c r="B43" s="155">
        <f t="shared" si="0"/>
        <v>4.0049999999999999</v>
      </c>
      <c r="C43" s="156">
        <f>Design!$D$6</f>
        <v>2.5</v>
      </c>
      <c r="D43" s="156">
        <f ca="1">FORECAST(C43, OFFSET(Design!$C$15:$C$17,MATCH(C43,Design!$B$15:$B$17,1)-1,0,2), OFFSET(Design!$B$15:$B$17,MATCH(C43,Design!$B$15:$B$17,1)-1,0,2))+(M43-25)*Design!$B$18/1000</f>
        <v>0.41001683553976231</v>
      </c>
      <c r="E43" s="215">
        <f ca="1">IF(100*(Design!$C$28+D43+C43*IF(ISBLANK(Design!$B$40),Constants!$C$6,Design!$B$40)/1000*(1+Constants!$C$31/100*(N43-25)))/($B43+D43-C43*O43/1000)&gt;Design!$C$35,Design!$C$35,100*(Design!$C$28+D43+C43*IF(ISBLANK(Design!$B$40),Constants!$C$6,Design!$B$40)/1000*(1+Constants!$C$31/100*(N43-25)))/($B43+D43-C43*O43/1000))</f>
        <v>95.75</v>
      </c>
      <c r="F43" s="157">
        <f ca="1">IF(($B43-C43*IF(ISBLANK(Design!$B$40),Constants!$C$6,Design!$B$40)/1000*(1+Constants!$C$31/100*(N43-25))-Design!$C$28)/(IF(ISBLANK(Design!$B$39),Design!$B$38,Design!$B$39)/1000000)*E43/100/(IF(ISBLANK(Design!$B$32),Design!$B$31,Design!$B$32)*1000000)&lt;0, 0, ($B43-C43*IF(ISBLANK(Design!$B$40),Constants!$C$6,Design!$B$40)/1000*(1+Constants!$C$31/100*(N43-25))-Design!$C$28)/(IF(ISBLANK(Design!$B$39),Design!$B$38,Design!$B$39)/1000000)*E43/100/(IF(ISBLANK(Design!$B$32),Design!$B$31,Design!$B$32)*1000000))</f>
        <v>5.2107212264400973E-2</v>
      </c>
      <c r="G43" s="207">
        <f>B43*Constants!$C$18/1000+IF(ISBLANK(Design!$B$32),Design!$B$31,Design!$B$32)*1000000*Constants!$D$22/1000000000*(B43-Constants!$C$21)</f>
        <v>9.9006250000000014E-3</v>
      </c>
      <c r="H43" s="207">
        <f>B43*C43*(B43/(Constants!$C$23*1000000000)*IF(ISBLANK(Design!$B$32),Design!$B$31,Design!$B$32)*1000000/2+B43/(Constants!$C$24*1000000000)*IF(ISBLANK(Design!$B$32),Design!$B$31,Design!$B$32)*1000000/2)</f>
        <v>1.0780916724809048E-2</v>
      </c>
      <c r="I43" s="207">
        <f t="shared" ca="1" si="1"/>
        <v>1.1257930072315028</v>
      </c>
      <c r="J43" s="207">
        <f>Constants!$D$22/1000000000*Constants!$C$21*IF(ISBLANK(Design!$B$32),Design!$B$31,Design!$B$32)*1000000</f>
        <v>1.0624999999999999E-2</v>
      </c>
      <c r="K43" s="207">
        <f t="shared" ca="1" si="4"/>
        <v>1.1570995489563118</v>
      </c>
      <c r="L43" s="207">
        <f t="shared" ca="1" si="5"/>
        <v>4.3564288776099733E-2</v>
      </c>
      <c r="M43" s="208">
        <f ca="1">A43+L43*Design!$B$19</f>
        <v>87.483164460237688</v>
      </c>
      <c r="N43" s="208">
        <f ca="1">K43*Design!$C$12+A43</f>
        <v>124.34138466451461</v>
      </c>
      <c r="O43" s="208">
        <f ca="1">Constants!$D$19+Constants!$D$19*Constants!$C$20/100*(N43-25)</f>
        <v>188.11525911308274</v>
      </c>
      <c r="P43" s="207">
        <f ca="1">(1-Constants!$C$17/1000000000*Design!$B$32*1000000) * ($B43+D43-C43*O43/1000) - (D43+C43*(1+($A43-25)*Constants!$C$31/100)*IF(ISBLANK(Design!$B$40),Constants!$C$6/1000,Design!$B$40/1000))</f>
        <v>3.2125858829876179</v>
      </c>
      <c r="Q43" s="329">
        <f ca="1">IF(P43&gt;Design!$C$28,Design!$C$28,P43)</f>
        <v>3.2125858829876179</v>
      </c>
      <c r="R43" s="223">
        <f>2*Design!$D$6/3</f>
        <v>1.6666666666666667</v>
      </c>
      <c r="S43" s="158">
        <f ca="1">FORECAST(R43, OFFSET(Design!$C$15:$C$17,MATCH(R43,Design!$B$15:$B$17,1)-1,0,2), OFFSET(Design!$B$15:$B$17,MATCH(R43,Design!$B$15:$B$17,1)-1,0,2))+(AB43-25)*Design!$B$18/1000</f>
        <v>0.37157565413101634</v>
      </c>
      <c r="T43" s="224">
        <f ca="1">IF(100*(Design!$C$28+S43+R43*IF(ISBLANK(Design!$B$40),Constants!$C$6,Design!$B$40)/1000*(1+Constants!$C$31/100*(AC43-25)))/($B43+S43-R43*AD43/1000)&gt;Design!$C$35,Design!$C$35,100*(Design!$C$28+S43+R43*IF(ISBLANK(Design!$B$40),Constants!$C$6,Design!$B$40)/1000*(1+Constants!$C$31/100*(AC43-25)))/($B43+S43-R43*AD43/1000))</f>
        <v>92.922260378810208</v>
      </c>
      <c r="U43" s="159">
        <f ca="1">IF(($B43-R43*IF(ISBLANK(Design!$B$40),Constants!$C$6,Design!$B$40)/1000*(1+Constants!$C$31/100*(AC43-25))-Design!$C$28)/(Design!$B$39/1000000)*T43/100/(IF(ISBLANK(IF(ISBLANK(Design!$B$39),Design!$B$38,Design!$B$39)),Design!$B$31,Design!$B$32)*1000000)&lt;0,0,($B43-R43*IF(ISBLANK(Design!$B$40),Constants!$C$6,Design!$B$40)/1000*(1+Constants!$C$31/100*(AC43-25))-Design!$C$28)/(IF(ISBLANK(Design!$B$39),Design!$B$38,Design!$B$39)/1000000)*T43/100/(IF(ISBLANK(Design!$B$32),Design!$B$31,Design!$B$32)*1000000))</f>
        <v>5.7087558326143852E-2</v>
      </c>
      <c r="V43" s="225">
        <f>$B43*Constants!$C$18/1000+IF(ISBLANK(Design!$B$32),Design!$B$31,Design!$B$32)*1000000*Constants!$D$22/1000000000*($B43-Constants!$C$21)</f>
        <v>9.9006250000000014E-3</v>
      </c>
      <c r="W43" s="225">
        <f>$B43*R43*($B43/(Constants!$C$23*1000000000)*IF(ISBLANK(Design!$B$32),Design!$B$31,Design!$B$32)*1000000/2+$B43/(Constants!$C$24*1000000000)*IF(ISBLANK(Design!$B$32),Design!$B$31,Design!$B$32)*1000000/2)</f>
        <v>7.1872778165393654E-3</v>
      </c>
      <c r="X43" s="225">
        <f t="shared" ca="1" si="2"/>
        <v>0.44114703530356225</v>
      </c>
      <c r="Y43" s="225">
        <f>Constants!$D$22/1000000000*Constants!$C$21*IF(ISBLANK(Design!$B$32),Design!$B$31,Design!$B$32)*1000000</f>
        <v>1.0624999999999999E-2</v>
      </c>
      <c r="Z43" s="225">
        <f t="shared" ca="1" si="10"/>
        <v>0.46885993812010163</v>
      </c>
      <c r="AA43" s="225">
        <f t="shared" ca="1" si="7"/>
        <v>4.3831928825210156E-2</v>
      </c>
      <c r="AB43" s="226">
        <f ca="1">$A43+AA43*Design!$B$19</f>
        <v>87.498419943036978</v>
      </c>
      <c r="AC43" s="226">
        <f ca="1">Z43*Design!$C$12+$A43</f>
        <v>100.94123789608345</v>
      </c>
      <c r="AD43" s="226">
        <f ca="1">Constants!$D$19+Constants!$D$19*Constants!$C$20/100*(AC43-25)</f>
        <v>170.89275109151743</v>
      </c>
      <c r="AE43" s="225">
        <f ca="1">(1-Constants!$C$17/1000000000*Design!$B$32*1000000) * ($B43+S43-R43*AD43/1000) - (S43+R43*(1+($A43-25)*Constants!$C$31/100)*IF(ISBLANK(Design!$B$40),Constants!$C$6/1000,Design!$B$40/1000))</f>
        <v>3.4432958527492179</v>
      </c>
      <c r="AF43" s="331">
        <f ca="1">IF(AE43&gt;Design!$C$28,Design!$C$28,AE43)</f>
        <v>3.3223709369024856</v>
      </c>
      <c r="AG43" s="160">
        <f>Design!$D$6/3</f>
        <v>0.83333333333333337</v>
      </c>
      <c r="AH43" s="160">
        <f ca="1">FORECAST(AG43, OFFSET(Design!$C$15:$C$17,MATCH(AG43,Design!$B$15:$B$17,1)-1,0,2), OFFSET(Design!$B$15:$B$17,MATCH(AG43,Design!$B$15:$B$17,1)-1,0,2))+(AQ43-25)*Design!$B$18/1000</f>
        <v>0.30752746197071557</v>
      </c>
      <c r="AI43" s="238">
        <f ca="1">IF(100*(Design!$C$28+AH43+AG43*IF(ISBLANK(Design!$B$40),Constants!$C$6,Design!$B$40)/1000*(1+Constants!$C$31/100*(AR43-25)))/($B43+AH43-AG43*AS43/1000)&gt;Design!$C$35,Design!$C$35,100*(Design!$C$28+AH43+AG43*IF(ISBLANK(Design!$B$40),Constants!$C$6,Design!$B$40)/1000*(1+Constants!$C$31/100*(AR43-25)))/($B43+AH43-AG43*AS43/1000))</f>
        <v>88.144509094734843</v>
      </c>
      <c r="AJ43" s="161">
        <f ca="1">IF(($B43-AG43*IF(ISBLANK(Design!$B$40),Constants!$C$6,Design!$B$40)/1000*(1+Constants!$C$31/100*(AR43-25))-Design!$C$28)/(IF(ISBLANK(Design!$B$39),Design!$B$38,Design!$B$39)/1000000)*AI43/100/(IF(ISBLANK(Design!$B$32),Design!$B$31,Design!$B$32)*1000000)&lt;0,0,($B43-AG43*IF(ISBLANK(Design!$B$40),Constants!$C$6,Design!$B$40)/1000*(1+Constants!$C$31/100*(AR43-25))-Design!$C$28)/(IF(ISBLANK(Design!$B$39),Design!$B$38,Design!$B$39)/1000000)*AI43/100/(IF(ISBLANK(Design!$B$32),Design!$B$31,Design!$B$32)*1000000))</f>
        <v>5.9433904135230288E-2</v>
      </c>
      <c r="AK43" s="239">
        <f>$B43*Constants!$C$18/1000+IF(ISBLANK(Design!$B$32),Design!$B$31,Design!$B$32)*1000000*Constants!$D$22/1000000000*($B43-Constants!$C$21)</f>
        <v>9.9006250000000014E-3</v>
      </c>
      <c r="AL43" s="239">
        <f>$B43*AG43*($B43/(Constants!$C$23*1000000000)*IF(ISBLANK(Design!$B$32),Design!$B$31,Design!$B$32)*1000000/2+$B43/(Constants!$C$24*1000000000)*IF(ISBLANK(Design!$B$32),Design!$B$31,Design!$B$32)*1000000/2)</f>
        <v>3.5936389082696827E-3</v>
      </c>
      <c r="AM43" s="239">
        <f t="shared" ca="1" si="3"/>
        <v>9.935763001621499E-2</v>
      </c>
      <c r="AN43" s="239">
        <f>Constants!$D$22/1000000000*Constants!$C$21*IF(ISBLANK(Design!$B$32),Design!$B$31,Design!$B$32)*1000000</f>
        <v>1.0624999999999999E-2</v>
      </c>
      <c r="AO43" s="239">
        <f t="shared" ca="1" si="11"/>
        <v>0.12347689392448467</v>
      </c>
      <c r="AP43" s="239">
        <f t="shared" ca="1" si="9"/>
        <v>3.0382408570942449E-2</v>
      </c>
      <c r="AQ43" s="240">
        <f ca="1">$A43+AP43*Design!$B$19</f>
        <v>86.731797288543717</v>
      </c>
      <c r="AR43" s="240">
        <f ca="1">AO43*Design!$C$12+$A43</f>
        <v>89.19821439343248</v>
      </c>
      <c r="AS43" s="240">
        <f ca="1">Constants!$D$19+Constants!$D$19*Constants!$C$20/100*(AR43-25)</f>
        <v>162.24988579356631</v>
      </c>
      <c r="AT43" s="239">
        <f ca="1">(1-Constants!$C$17/1000000000*Design!$B$32*1000000) * ($B43+AH43-AG43*AS43/1000) - (AH43+AG43*(1+($A43-25)*Constants!$C$31/100)*IF(ISBLANK(Design!$B$40),Constants!$C$6/1000,Design!$B$40/1000))</f>
        <v>3.6407640281601279</v>
      </c>
      <c r="AU43" s="331">
        <f ca="1">IF(AT43&gt;Design!$C$28,Design!$C$28,AT43)</f>
        <v>3.3223709369024856</v>
      </c>
    </row>
    <row r="44" spans="1:47" s="162" customFormat="1" ht="12.75" customHeight="1" thickBot="1" x14ac:dyDescent="0.3">
      <c r="A44" s="163">
        <f>Design!$D$13</f>
        <v>85</v>
      </c>
      <c r="B44" s="164">
        <f>Constants!$C$7</f>
        <v>3.8</v>
      </c>
      <c r="C44" s="165">
        <f>Design!$D$6</f>
        <v>2.5</v>
      </c>
      <c r="D44" s="165">
        <f ca="1">FORECAST(C44, OFFSET(Design!$C$15:$C$17,MATCH(C44,Design!$B$15:$B$17,1)-1,0,2), OFFSET(Design!$B$15:$B$17,MATCH(C44,Design!$B$15:$B$17,1)-1,0,2))+(M44-25)*Design!$B$18/1000</f>
        <v>0.41001683553976231</v>
      </c>
      <c r="E44" s="216">
        <f ca="1">IF(100*(Design!$C$28+D44+C44*IF(ISBLANK(Design!$B$40),Constants!$C$6,Design!$B$40)/1000*(1+Constants!$C$31/100*(N44-25)))/($B44+D44-C44*O44/1000)&gt;Design!$C$35,Design!$C$35,100*(Design!$C$28+D44+C44*IF(ISBLANK(Design!$B$40),Constants!$C$6,Design!$B$40)/1000*(1+Constants!$C$31/100*(N44-25)))/($B44+D44-C44*O44/1000))</f>
        <v>95.75</v>
      </c>
      <c r="F44" s="166">
        <f ca="1">IF(($B44-C44*IF(ISBLANK(Design!$B$40),Constants!$C$6,Design!$B$40)/1000*(1+Constants!$C$31/100*(N44-25))-Design!$C$28)/(IF(ISBLANK(Design!$B$39),Design!$B$38,Design!$B$39)/1000000)*E44/100/(IF(ISBLANK(Design!$B$32),Design!$B$31,Design!$B$32)*1000000)&lt;0, 0, ($B44-C44*IF(ISBLANK(Design!$B$40),Constants!$C$6,Design!$B$40)/1000*(1+Constants!$C$31/100*(N44-25))-Design!$C$28)/(IF(ISBLANK(Design!$B$39),Design!$B$38,Design!$B$39)/1000000)*E44/100/(IF(ISBLANK(Design!$B$32),Design!$B$31,Design!$B$32)*1000000))</f>
        <v>3.1118226477109337E-2</v>
      </c>
      <c r="G44" s="209">
        <f>B44*Constants!$C$18/1000+IF(ISBLANK(Design!$B$32),Design!$B$31,Design!$B$32)*1000000*Constants!$D$22/1000000000*(B44-Constants!$C$21)</f>
        <v>8.8499999999999985E-3</v>
      </c>
      <c r="H44" s="209">
        <f>B44*C44*(B44/(Constants!$C$23*1000000000)*IF(ISBLANK(Design!$B$32),Design!$B$31,Design!$B$32)*1000000/2+B44/(Constants!$C$24*1000000000)*IF(ISBLANK(Design!$B$32),Design!$B$31,Design!$B$32)*1000000/2)</f>
        <v>9.7054984332158242E-3</v>
      </c>
      <c r="I44" s="209">
        <f t="shared" ca="1" si="1"/>
        <v>1.1253877061388198</v>
      </c>
      <c r="J44" s="209">
        <f>Constants!$D$22/1000000000*Constants!$C$21*IF(ISBLANK(Design!$B$32),Design!$B$31,Design!$B$32)*1000000</f>
        <v>1.0624999999999999E-2</v>
      </c>
      <c r="K44" s="209">
        <f t="shared" ca="1" si="4"/>
        <v>1.1545682045720358</v>
      </c>
      <c r="L44" s="209">
        <f t="shared" ca="1" si="5"/>
        <v>4.3564288776099733E-2</v>
      </c>
      <c r="M44" s="210">
        <f ca="1">A44+L44*Design!$B$19</f>
        <v>87.483164460237688</v>
      </c>
      <c r="N44" s="210">
        <f ca="1">K44*Design!$C$12+A44</f>
        <v>124.25531895544921</v>
      </c>
      <c r="O44" s="210">
        <f ca="1">Constants!$D$19+Constants!$D$19*Constants!$C$20/100*(N44-25)</f>
        <v>188.05191475121063</v>
      </c>
      <c r="P44" s="209">
        <f ca="1">(1-Constants!$C$17/1000000000*Design!$B$32*1000000) * ($B44+D44-C44*O44/1000) - (D44+C44*(1+($A44-25)*Constants!$C$31/100)*IF(ISBLANK(Design!$B$40),Constants!$C$6/1000,Design!$B$40/1000))</f>
        <v>3.0164500135538495</v>
      </c>
      <c r="Q44" s="330">
        <f ca="1">IF(P44&gt;Design!$C$28,Design!$C$28,P44)</f>
        <v>3.0164500135538495</v>
      </c>
      <c r="R44" s="227">
        <f>2*Design!$D$6/3</f>
        <v>1.6666666666666667</v>
      </c>
      <c r="S44" s="167">
        <f ca="1">FORECAST(R44, OFFSET(Design!$C$15:$C$17,MATCH(R44,Design!$B$15:$B$17,1)-1,0,2), OFFSET(Design!$B$15:$B$17,MATCH(R44,Design!$B$15:$B$17,1)-1,0,2))+(AB44-25)*Design!$B$18/1000</f>
        <v>0.37256982341204797</v>
      </c>
      <c r="T44" s="228">
        <f ca="1">IF(100*(Design!$C$28+S44+R44*IF(ISBLANK(Design!$B$40),Constants!$C$6,Design!$B$40)/1000*(1+Constants!$C$31/100*(AC44-25)))/($B44+S44-R44*AD44/1000)&gt;Design!$C$35,Design!$C$35,100*(Design!$C$28+S44+R44*IF(ISBLANK(Design!$B$40),Constants!$C$6,Design!$B$40)/1000*(1+Constants!$C$31/100*(AC44-25)))/($B44+S44-R44*AD44/1000))</f>
        <v>95.75</v>
      </c>
      <c r="U44" s="168">
        <f ca="1">IF(($B44-R44*IF(ISBLANK(Design!$B$40),Constants!$C$6,Design!$B$40)/1000*(1+Constants!$C$31/100*(AC44-25))-Design!$C$28)/(Design!$B$39/1000000)*T44/100/(IF(ISBLANK(IF(ISBLANK(Design!$B$39),Design!$B$38,Design!$B$39)),Design!$B$31,Design!$B$32)*1000000)&lt;0,0,($B44-R44*IF(ISBLANK(Design!$B$40),Constants!$C$6,Design!$B$40)/1000*(1+Constants!$C$31/100*(AC44-25))-Design!$C$28)/(IF(ISBLANK(Design!$B$39),Design!$B$38,Design!$B$39)/1000000)*T44/100/(IF(ISBLANK(Design!$B$32),Design!$B$31,Design!$B$32)*1000000))</f>
        <v>3.7817278129037353E-2</v>
      </c>
      <c r="V44" s="229">
        <f>$B44*Constants!$C$18/1000+IF(ISBLANK(Design!$B$32),Design!$B$31,Design!$B$32)*1000000*Constants!$D$22/1000000000*($B44-Constants!$C$21)</f>
        <v>8.8499999999999985E-3</v>
      </c>
      <c r="W44" s="229">
        <f>$B44*R44*($B44/(Constants!$C$23*1000000000)*IF(ISBLANK(Design!$B$32),Design!$B$31,Design!$B$32)*1000000/2+$B44/(Constants!$C$24*1000000000)*IF(ISBLANK(Design!$B$32),Design!$B$31,Design!$B$32)*1000000/2)</f>
        <v>6.4703322888105489E-3</v>
      </c>
      <c r="X44" s="229">
        <f t="shared" ca="1" si="2"/>
        <v>0.45537618868181606</v>
      </c>
      <c r="Y44" s="229">
        <f>Constants!$D$22/1000000000*Constants!$C$21*IF(ISBLANK(Design!$B$32),Design!$B$31,Design!$B$32)*1000000</f>
        <v>1.0624999999999999E-2</v>
      </c>
      <c r="Z44" s="229">
        <f t="shared" ca="1" si="10"/>
        <v>0.48132152097062658</v>
      </c>
      <c r="AA44" s="229">
        <f t="shared" ca="1" si="7"/>
        <v>2.6390362491686723E-2</v>
      </c>
      <c r="AB44" s="230">
        <f ca="1">$A44+AA44*Design!$B$19</f>
        <v>86.504250662026138</v>
      </c>
      <c r="AC44" s="230">
        <f ca="1">Z44*Design!$C$12+$A44</f>
        <v>101.36493171300131</v>
      </c>
      <c r="AD44" s="230">
        <f ca="1">Constants!$D$19+Constants!$D$19*Constants!$C$20/100*(AC44-25)</f>
        <v>171.20458974076897</v>
      </c>
      <c r="AE44" s="229">
        <f ca="1">(1-Constants!$C$17/1000000000*Design!$B$32*1000000) * ($B44+S44-R44*AD44/1000) - (S44+R44*(1+($A44-25)*Constants!$C$31/100)*IF(ISBLANK(Design!$B$40),Constants!$C$6/1000,Design!$B$40/1000))</f>
        <v>3.2464684580436773</v>
      </c>
      <c r="AF44" s="332">
        <f ca="1">IF(AE44&gt;Design!$C$28,Design!$C$28,AE44)</f>
        <v>3.2464684580436773</v>
      </c>
      <c r="AG44" s="169">
        <f>Design!$D$6/3</f>
        <v>0.83333333333333337</v>
      </c>
      <c r="AH44" s="169">
        <f ca="1">FORECAST(AG44, OFFSET(Design!$C$15:$C$17,MATCH(AG44,Design!$B$15:$B$17,1)-1,0,2), OFFSET(Design!$B$15:$B$17,MATCH(AG44,Design!$B$15:$B$17,1)-1,0,2))+(AQ44-25)*Design!$B$18/1000</f>
        <v>0.30819016631482909</v>
      </c>
      <c r="AI44" s="242">
        <f ca="1">IF(100*(Design!$C$28+AH44+AG44*IF(ISBLANK(Design!$B$40),Constants!$C$6,Design!$B$40)/1000*(1+Constants!$C$31/100*(AR44-25)))/($B44+AH44-AG44*AS44/1000)&gt;Design!$C$35,Design!$C$35,100*(Design!$C$28+AH44+AG44*IF(ISBLANK(Design!$B$40),Constants!$C$6,Design!$B$40)/1000*(1+Constants!$C$31/100*(AR44-25)))/($B44+AH44-AG44*AS44/1000))</f>
        <v>92.696970136370808</v>
      </c>
      <c r="AJ44" s="170">
        <f ca="1">IF(($B44-AG44*IF(ISBLANK(Design!$B$40),Constants!$C$6,Design!$B$40)/1000*(1+Constants!$C$31/100*(AR44-25))-Design!$C$28)/(IF(ISBLANK(Design!$B$39),Design!$B$38,Design!$B$39)/1000000)*AI44/100/(IF(ISBLANK(Design!$B$32),Design!$B$31,Design!$B$32)*1000000)&lt;0,0,($B44-AG44*IF(ISBLANK(Design!$B$40),Constants!$C$6,Design!$B$40)/1000*(1+Constants!$C$31/100*(AR44-25))-Design!$C$28)/(IF(ISBLANK(Design!$B$39),Design!$B$38,Design!$B$39)/1000000)*AI44/100/(IF(ISBLANK(Design!$B$32),Design!$B$31,Design!$B$32)*1000000))</f>
        <v>4.2177517857550854E-2</v>
      </c>
      <c r="AK44" s="243">
        <f>$B44*Constants!$C$18/1000+IF(ISBLANK(Design!$B$32),Design!$B$31,Design!$B$32)*1000000*Constants!$D$22/1000000000*($B44-Constants!$C$21)</f>
        <v>8.8499999999999985E-3</v>
      </c>
      <c r="AL44" s="243">
        <f>$B44*AG44*($B44/(Constants!$C$23*1000000000)*IF(ISBLANK(Design!$B$32),Design!$B$31,Design!$B$32)*1000000/2+$B44/(Constants!$C$24*1000000000)*IF(ISBLANK(Design!$B$32),Design!$B$31,Design!$B$32)*1000000/2)</f>
        <v>3.2351661444052745E-3</v>
      </c>
      <c r="AM44" s="243">
        <f t="shared" ca="1" si="3"/>
        <v>0.10452784587588802</v>
      </c>
      <c r="AN44" s="243">
        <f>Constants!$D$22/1000000000*Constants!$C$21*IF(ISBLANK(Design!$B$32),Design!$B$31,Design!$B$32)*1000000</f>
        <v>1.0624999999999999E-2</v>
      </c>
      <c r="AO44" s="243">
        <f t="shared" ca="1" si="11"/>
        <v>0.12723801202029331</v>
      </c>
      <c r="AP44" s="243">
        <f t="shared" ca="1" si="9"/>
        <v>1.875601656895038E-2</v>
      </c>
      <c r="AQ44" s="244">
        <f ca="1">$A44+AP44*Design!$B$19</f>
        <v>86.069092944430167</v>
      </c>
      <c r="AR44" s="244">
        <f ca="1">AO44*Design!$C$12+$A44</f>
        <v>89.326092408689973</v>
      </c>
      <c r="AS44" s="244">
        <f ca="1">Constants!$D$19+Constants!$D$19*Constants!$C$20/100*(AR44-25)</f>
        <v>162.34400401279584</v>
      </c>
      <c r="AT44" s="243">
        <f ca="1">(1-Constants!$C$17/1000000000*Design!$B$32*1000000) * ($B44+AH44-AG44*AS44/1000) - (AH44+AG44*(1+($A44-25)*Constants!$C$31/100)*IF(ISBLANK(Design!$B$40),Constants!$C$6/1000,Design!$B$40/1000))</f>
        <v>3.4443732647297431</v>
      </c>
      <c r="AU44" s="332">
        <f ca="1">IF(AT44&gt;Design!$C$28,Design!$C$28,AT44)</f>
        <v>3.3223709369024856</v>
      </c>
    </row>
    <row r="45" spans="1:47" s="292" customFormat="1" ht="18" customHeight="1" x14ac:dyDescent="0.3">
      <c r="A45" s="300" t="s">
        <v>298</v>
      </c>
      <c r="B45" s="293"/>
      <c r="C45" s="294"/>
      <c r="D45" s="294"/>
      <c r="E45" s="295"/>
      <c r="F45" s="296"/>
      <c r="G45" s="296"/>
      <c r="H45" s="296"/>
      <c r="I45" s="296"/>
      <c r="J45" s="296"/>
      <c r="K45" s="296"/>
      <c r="L45" s="296"/>
      <c r="M45" s="296"/>
      <c r="N45" s="295"/>
      <c r="O45" s="295"/>
      <c r="P45" s="296"/>
      <c r="Q45" s="296"/>
      <c r="R45" s="294"/>
      <c r="S45" s="294"/>
      <c r="T45" s="295"/>
      <c r="U45" s="296"/>
      <c r="V45" s="296"/>
      <c r="W45" s="296"/>
      <c r="X45" s="296"/>
      <c r="Y45" s="296"/>
      <c r="Z45" s="296"/>
      <c r="AA45" s="296"/>
      <c r="AB45" s="296"/>
      <c r="AC45" s="295"/>
      <c r="AD45" s="295"/>
      <c r="AE45" s="296"/>
      <c r="AF45" s="296"/>
      <c r="AG45" s="294"/>
      <c r="AH45" s="294"/>
      <c r="AI45" s="295"/>
      <c r="AJ45" s="296"/>
      <c r="AK45" s="296"/>
      <c r="AL45" s="296"/>
      <c r="AM45" s="296"/>
      <c r="AN45" s="296"/>
      <c r="AO45" s="296"/>
      <c r="AP45" s="296"/>
      <c r="AQ45" s="296"/>
      <c r="AR45" s="295"/>
      <c r="AS45" s="295"/>
      <c r="AT45" s="296"/>
      <c r="AU45" s="297"/>
    </row>
    <row r="46" spans="1:47" ht="16.2" thickBot="1" x14ac:dyDescent="0.35">
      <c r="A46" s="261" t="s">
        <v>224</v>
      </c>
      <c r="B46" s="298" t="s">
        <v>117</v>
      </c>
      <c r="C46" s="254" t="s">
        <v>103</v>
      </c>
      <c r="D46" s="254" t="s">
        <v>249</v>
      </c>
      <c r="E46" s="245" t="s">
        <v>247</v>
      </c>
      <c r="F46" s="245" t="s">
        <v>248</v>
      </c>
      <c r="G46" s="245" t="s">
        <v>104</v>
      </c>
      <c r="H46" s="245" t="s">
        <v>105</v>
      </c>
      <c r="I46" s="245" t="s">
        <v>106</v>
      </c>
      <c r="J46" s="245" t="s">
        <v>212</v>
      </c>
      <c r="K46" s="245" t="s">
        <v>107</v>
      </c>
      <c r="L46" s="245" t="s">
        <v>269</v>
      </c>
      <c r="M46" s="245" t="s">
        <v>299</v>
      </c>
      <c r="N46" s="245" t="s">
        <v>300</v>
      </c>
      <c r="O46" s="245" t="s">
        <v>122</v>
      </c>
      <c r="P46" s="245" t="s">
        <v>261</v>
      </c>
      <c r="Q46" s="262" t="s">
        <v>260</v>
      </c>
      <c r="R46" s="254" t="s">
        <v>103</v>
      </c>
      <c r="S46" s="254" t="s">
        <v>249</v>
      </c>
      <c r="T46" s="245" t="s">
        <v>247</v>
      </c>
      <c r="U46" s="245" t="s">
        <v>248</v>
      </c>
      <c r="V46" s="245" t="s">
        <v>104</v>
      </c>
      <c r="W46" s="245" t="s">
        <v>105</v>
      </c>
      <c r="X46" s="245" t="s">
        <v>106</v>
      </c>
      <c r="Y46" s="245" t="s">
        <v>212</v>
      </c>
      <c r="Z46" s="245" t="s">
        <v>107</v>
      </c>
      <c r="AA46" s="245" t="s">
        <v>269</v>
      </c>
      <c r="AB46" s="245" t="s">
        <v>299</v>
      </c>
      <c r="AC46" s="245" t="s">
        <v>300</v>
      </c>
      <c r="AD46" s="245" t="s">
        <v>122</v>
      </c>
      <c r="AE46" s="245" t="s">
        <v>261</v>
      </c>
      <c r="AF46" s="262" t="s">
        <v>260</v>
      </c>
      <c r="AG46" s="254" t="s">
        <v>103</v>
      </c>
      <c r="AH46" s="254" t="s">
        <v>249</v>
      </c>
      <c r="AI46" s="245" t="s">
        <v>247</v>
      </c>
      <c r="AJ46" s="245" t="s">
        <v>248</v>
      </c>
      <c r="AK46" s="245" t="s">
        <v>104</v>
      </c>
      <c r="AL46" s="245" t="s">
        <v>105</v>
      </c>
      <c r="AM46" s="245" t="s">
        <v>106</v>
      </c>
      <c r="AN46" s="245" t="s">
        <v>212</v>
      </c>
      <c r="AO46" s="245" t="s">
        <v>107</v>
      </c>
      <c r="AP46" s="245" t="s">
        <v>269</v>
      </c>
      <c r="AQ46" s="245" t="s">
        <v>299</v>
      </c>
      <c r="AR46" s="245" t="s">
        <v>300</v>
      </c>
      <c r="AS46" s="245" t="s">
        <v>122</v>
      </c>
      <c r="AT46" s="245" t="s">
        <v>261</v>
      </c>
      <c r="AU46" s="262" t="s">
        <v>260</v>
      </c>
    </row>
    <row r="47" spans="1:47" ht="12.75" customHeight="1" x14ac:dyDescent="0.3">
      <c r="A47" s="201">
        <f>Design!$D$13</f>
        <v>85</v>
      </c>
      <c r="B47" s="202">
        <f t="shared" ref="B47:B86" si="12">$B48+$AU$88</f>
        <v>12.000000000000002</v>
      </c>
      <c r="C47" s="203">
        <f>Design!$D$6</f>
        <v>2.5</v>
      </c>
      <c r="D47" s="203">
        <f ca="1">FORECAST(C47, OFFSET(Design!$C$15:$C$17,MATCH(C47,Design!$B$15:$B$17,1)-1,0,2), OFFSET(Design!$B$15:$B$17,MATCH(C47,Design!$B$15:$B$17,1)-1,0,2))+(M47-25)*Design!$B$18/1000</f>
        <v>0.37621762033278183</v>
      </c>
      <c r="E47" s="214">
        <f ca="1">IF(100*(Design!$C$28+D47+C47*IF(ISBLANK(Design!$B$40),Constants!$C$6,Design!$B$40)/1000*(1+Constants!$C$31/100*(N47-25)))/($B47+D47-C47*O47/1000)&gt;Design!$C$35,Design!$C$35,100*(Design!$C$28+D47+C47*IF(ISBLANK(Design!$B$40),Constants!$C$6,Design!$B$40)/1000*(1+Constants!$C$31/100*(N47-25)))/($B47+D47-C47*O47/1000))</f>
        <v>32.322895879772446</v>
      </c>
      <c r="F47" s="204">
        <f ca="1">IF(($B47-C47*IF(ISBLANK(Design!$B$40),Constants!$C$6,Design!$B$40)/1000*(1+Constants!$C$31/100*(N47-25))-Design!$C$28)/(IF(ISBLANK(Design!$B$39),Design!$B$38,Design!$B$39)/1000000)*E47/100/(IF(ISBLANK(Design!$B$32),Design!$B$31,Design!$B$32)*1000000)&lt;0,0,($B47-C47*IF(ISBLANK(Design!$B$40),Constants!$C$6,Design!$B$40)/1000*(1+Constants!$C$31/100*(N47-25))-Design!$C$28)/(IF(ISBLANK(Design!$B$39),Design!$B$38,Design!$B$39)/1000000)*E47/100/(IF(ISBLANK(Design!$B$32),Design!$B$31,Design!$B$32)*1000000))</f>
        <v>0.29435289823049582</v>
      </c>
      <c r="G47" s="205">
        <f>B47*Constants!$C$18/1000+IF(ISBLANK(Design!$B$32),Design!$B$31,Design!$B$32)*1000000*Constants!$D$22/1000000000*(B47-Constants!$C$21)</f>
        <v>5.087500000000001E-2</v>
      </c>
      <c r="H47" s="205">
        <f>B47*C47*(B47/(Constants!$C$23*1000000000)*IF(ISBLANK(Design!$B$32),Design!$B$31,Design!$B$32)*1000000/2+B47/(Constants!$C$24*1000000000)*IF(ISBLANK(Design!$B$32),Design!$B$31,Design!$B$32)*1000000/2)</f>
        <v>9.6786133960047038E-2</v>
      </c>
      <c r="I47" s="205">
        <f t="shared" ref="I47:I87" ca="1" si="13">IF($D$115,1,E47/100*(C47^2+F47^2/12)*O47/1000)</f>
        <v>0.34750211263815678</v>
      </c>
      <c r="J47" s="205">
        <f>Constants!$D$22/1000000000*Constants!$C$21*IF(ISBLANK(Design!$B$32),Design!$B$31,Design!$B$32)*1000000</f>
        <v>1.0624999999999999E-2</v>
      </c>
      <c r="K47" s="205">
        <f ca="1">SUM(G47:J47)</f>
        <v>0.50578824659820387</v>
      </c>
      <c r="L47" s="205">
        <f ca="1">C47*D47*(1-E47/100)</f>
        <v>0.63653297657814789</v>
      </c>
      <c r="M47" s="206">
        <f ca="1">$A47+L47*Design!$B$19</f>
        <v>121.28237966495442</v>
      </c>
      <c r="N47" s="206">
        <f ca="1">K47*Design!$C$12+A47</f>
        <v>102.19680038433893</v>
      </c>
      <c r="O47" s="206">
        <f ca="1">Constants!$D$19+Constants!$D$19*Constants!$C$20/100*(N47-25)</f>
        <v>171.81684508287344</v>
      </c>
      <c r="P47" s="205">
        <f ca="1">(1-Constants!$D$17/1000000000*Design!$B$32*1000000) * ($B47+D47-C47*O47/1000) - (D47+C47*(1+($A47-25)*Constants!$C$31/100)*IF(ISBLANK(Design!$B$40),Constants!$C$6/1000,Design!$B$40/1000))</f>
        <v>10.400515469144642</v>
      </c>
      <c r="Q47" s="204">
        <f ca="1">IF(P47&gt;Design!$C$28,Design!$C$28,P47)</f>
        <v>3.3223709369024856</v>
      </c>
      <c r="R47" s="218">
        <f>2*Design!$D$6/3</f>
        <v>1.6666666666666667</v>
      </c>
      <c r="S47" s="218">
        <f ca="1">FORECAST(R47, OFFSET(Design!$C$15:$C$17,MATCH(R47,Design!$B$15:$B$17,1)-1,0,2), OFFSET(Design!$B$15:$B$17,MATCH(R47,Design!$B$15:$B$17,1)-1,0,2))+(AB47-25)*Design!$B$18/1000</f>
        <v>0.35115633676882541</v>
      </c>
      <c r="T47" s="219">
        <f ca="1">IF(100*(Design!$C$28+S47+R47*IF(ISBLANK(Design!$B$40),Constants!$C$6,Design!$B$40)/1000*(1+Constants!$C$31/100*(AC47-25)))/($B47+S47-R47*AD47/1000)&gt;Design!$C$35,Design!$C$35,100*(Design!$C$28+S47+R47*IF(ISBLANK(Design!$B$40),Constants!$C$6,Design!$B$40)/1000*(1+Constants!$C$31/100*(AC47-25)))/($B47+S47-R47*AD47/1000))</f>
        <v>31.301441894942645</v>
      </c>
      <c r="U47" s="220">
        <f ca="1">IF(($B47-R47*IF(ISBLANK(Design!$B$40),Constants!$C$6,Design!$B$40)/1000*(1+Constants!$C$31/100*(AC47-25))-Design!$C$28)/(IF(ISBLANK(Design!$B$39),Design!$B$38,Design!$B$39)/1000000)*T47/100/(IF(ISBLANK(Design!$B$32),Design!$B$31,Design!$B$32)*1000000)&lt;0,0,($B47-R47*IF(ISBLANK(Design!$B$40),Constants!$C$6,Design!$B$40)/1000*(1+Constants!$C$31/100*(AC47-25))-Design!$C$28)/(IF(ISBLANK(Design!$B$39),Design!$B$38,Design!$B$39)/1000000)*T47/100/(IF(ISBLANK(Design!$B$32),Design!$B$31,Design!$B$32)*1000000))</f>
        <v>0.2869566203322475</v>
      </c>
      <c r="V47" s="221">
        <f>$B47*Constants!$C$18/1000+IF(ISBLANK(Design!$B$32),Design!$B$31,Design!$B$32)*1000000*Constants!$D$22/1000000000*($B47-Constants!$C$21)</f>
        <v>5.087500000000001E-2</v>
      </c>
      <c r="W47" s="221">
        <f>$B47*R47*($B47/(Constants!$C$23*1000000000)*IF(ISBLANK(Design!$B$32),Design!$B$31,Design!$B$32)*1000000/2+$B47/(Constants!$C$24*1000000000)*IF(ISBLANK(Design!$B$32),Design!$B$31,Design!$B$32)*1000000/2)</f>
        <v>6.4524089306698021E-2</v>
      </c>
      <c r="X47" s="221">
        <f t="shared" ref="X47:X87" ca="1" si="14">IF($D$115,1,T47/100*(R47^2+U47^2/12)*AD47/1000)</f>
        <v>0.14463250182716686</v>
      </c>
      <c r="Y47" s="221">
        <f>Constants!$D$22/1000000000*Constants!$C$21*IF(ISBLANK(Design!$B$32),Design!$B$31,Design!$B$32)*1000000</f>
        <v>1.0624999999999999E-2</v>
      </c>
      <c r="Z47" s="221">
        <f ca="1">SUM(V47:Y47)</f>
        <v>0.27065659113386487</v>
      </c>
      <c r="AA47" s="221">
        <f ca="1">R47*S47*(1-T47/100)</f>
        <v>0.40206556675787075</v>
      </c>
      <c r="AB47" s="222">
        <f ca="1">$A47+AA47*Design!$B$19</f>
        <v>107.91773730519863</v>
      </c>
      <c r="AC47" s="222">
        <f ca="1">Z47*Design!$C$12+$A47</f>
        <v>94.202324098551401</v>
      </c>
      <c r="AD47" s="222">
        <f ca="1">Constants!$D$19+Constants!$D$19*Constants!$C$20/100*(AC47-25)</f>
        <v>165.93291053653383</v>
      </c>
      <c r="AE47" s="221">
        <f ca="1">(1-Constants!$D$17/1000000000*Design!$B$32*1000000) * ($B47+S47-R47*AD47/1000) - (S47+R47*(1+($A47-25)*Constants!$C$31/100)*IF(ISBLANK(Design!$B$40),Constants!$C$6/1000,Design!$B$40/1000))</f>
        <v>10.594120689473105</v>
      </c>
      <c r="AF47" s="220">
        <f ca="1">IF(AE47&gt;Design!$C$28,Design!$C$28,AE47)</f>
        <v>3.3223709369024856</v>
      </c>
      <c r="AG47" s="232">
        <f>Design!$D$6/3</f>
        <v>0.83333333333333337</v>
      </c>
      <c r="AH47" s="232">
        <f ca="1">FORECAST(AG47, OFFSET(Design!$C$15:$C$17,MATCH(AG47,Design!$B$15:$B$17,1)-1,0,2), OFFSET(Design!$B$15:$B$17,MATCH(AG47,Design!$B$15:$B$17,1)-1,0,2))+(AQ47-25)*Design!$B$18/1000</f>
        <v>0.29933523689001751</v>
      </c>
      <c r="AI47" s="233">
        <f ca="1">IF(100*(Design!$C$28+AH47+AG47*IF(ISBLANK(Design!$B$40),Constants!$C$6,Design!$B$40)/1000*(1+Constants!$C$31/100*(AR47-25)))/($B47+AH47-AG47*AS47/1000)&gt;Design!$C$35,Design!$C$35,100*(Design!$C$28+AH47+AG47*IF(ISBLANK(Design!$B$40),Constants!$C$6,Design!$B$40)/1000*(1+Constants!$C$31/100*(AR47-25)))/($B47+AH47-AG47*AS47/1000))</f>
        <v>30.203076359619335</v>
      </c>
      <c r="AJ47" s="234">
        <f ca="1">IF(($B47-AG47*IF(ISBLANK(Design!$B$40),Constants!$C$6,Design!$B$40)/1000*(1+Constants!$C$31/100*(AR47-25))-Design!$C$28)/(IF(ISBLANK(Design!$B$39),Design!$B$38,Design!$B$39)/1000000)*AI47/100/(IF(ISBLANK(Design!$B$32),Design!$B$31,Design!$B$32)*1000000)&lt;0,0,($B47-AG47*IF(ISBLANK(Design!$B$40),Constants!$C$6,Design!$B$40)/1000*(1+Constants!$C$31/100*(AR47-25))-Design!$C$28)/(IF(ISBLANK(Design!$B$39),Design!$B$38,Design!$B$39)/1000000)*AI47/100/(IF(ISBLANK(Design!$B$32),Design!$B$31,Design!$B$32)*1000000))</f>
        <v>0.27862496247694074</v>
      </c>
      <c r="AK47" s="235">
        <f>$B47*Constants!$C$18/1000+IF(ISBLANK(Design!$B$32),Design!$B$31,Design!$B$32)*1000000*Constants!$D$22/1000000000*($B47-Constants!$C$21)</f>
        <v>5.087500000000001E-2</v>
      </c>
      <c r="AL47" s="235">
        <f>$B47*AG47*($B47/(Constants!$C$23*1000000000)*IF(ISBLANK(Design!$B$32),Design!$B$31,Design!$B$32)*1000000/2+$B47/(Constants!$C$24*1000000000)*IF(ISBLANK(Design!$B$32),Design!$B$31,Design!$B$32)*1000000/2)</f>
        <v>3.226204465334901E-2</v>
      </c>
      <c r="AM47" s="235">
        <f t="shared" ref="AM47:AM87" ca="1" si="15">IF($D$115,1,AI47/100*(AG47^2+AJ47^2/12)*AS47/1000)</f>
        <v>3.4372572859445609E-2</v>
      </c>
      <c r="AN47" s="235">
        <f>Constants!$D$22/1000000000*Constants!$C$21*IF(ISBLANK(Design!$B$32),Design!$B$31,Design!$B$32)*1000000</f>
        <v>1.0624999999999999E-2</v>
      </c>
      <c r="AO47" s="235">
        <f ca="1">SUM(AK47:AN47)</f>
        <v>0.12813461751279462</v>
      </c>
      <c r="AP47" s="235">
        <f ca="1">AG47*AH47*(1-AI47/100)</f>
        <v>0.17410565560073174</v>
      </c>
      <c r="AQ47" s="236">
        <f ca="1">$A47+AP47*Design!$B$19</f>
        <v>94.924022369241712</v>
      </c>
      <c r="AR47" s="236">
        <f ca="1">AO47*Design!$C$12+$A47</f>
        <v>89.35657699543502</v>
      </c>
      <c r="AS47" s="236">
        <f ca="1">Constants!$D$19+Constants!$D$19*Constants!$C$20/100*(AR47-25)</f>
        <v>162.36644066864017</v>
      </c>
      <c r="AT47" s="235">
        <f ca="1">(1-Constants!$D$17/1000000000*Design!$B$32*1000000) * ($B47+AH47-AG47*AS47/1000) - (AH47+AG47*(1+($A47-25)*Constants!$C$31/100)*IF(ISBLANK(Design!$B$40),Constants!$C$6/1000,Design!$B$40/1000))</f>
        <v>10.779260427187847</v>
      </c>
      <c r="AU47" s="234">
        <f ca="1">IF(AT47&gt;Design!$C$28,Design!$C$28,AT47)</f>
        <v>3.3223709369024856</v>
      </c>
    </row>
    <row r="48" spans="1:47" ht="12.75" customHeight="1" x14ac:dyDescent="0.3">
      <c r="A48" s="154">
        <f>Design!$D$13</f>
        <v>85</v>
      </c>
      <c r="B48" s="155">
        <f t="shared" si="12"/>
        <v>11.795000000000002</v>
      </c>
      <c r="C48" s="156">
        <f>Design!$D$6</f>
        <v>2.5</v>
      </c>
      <c r="D48" s="156">
        <f ca="1">FORECAST(C48, OFFSET(Design!$C$15:$C$17,MATCH(C48,Design!$B$15:$B$17,1)-1,0,2), OFFSET(Design!$B$15:$B$17,MATCH(C48,Design!$B$15:$B$17,1)-1,0,2))+(M48-25)*Design!$B$18/1000</f>
        <v>0.37649481915758726</v>
      </c>
      <c r="E48" s="215">
        <f ca="1">IF(100*(Design!$C$28+D48+C48*IF(ISBLANK(Design!$B$40),Constants!$C$6,Design!$B$40)/1000*(1+Constants!$C$31/100*(N48-25)))/($B48+D48-C48*O48/1000)&gt;Design!$C$35,Design!$C$35,100*(Design!$C$28+D48+C48*IF(ISBLANK(Design!$B$40),Constants!$C$6,Design!$B$40)/1000*(1+Constants!$C$31/100*(N48-25)))/($B48+D48-C48*O48/1000))</f>
        <v>32.889399039530474</v>
      </c>
      <c r="F48" s="157">
        <f ca="1">IF(($B48-C48*IF(ISBLANK(Design!$B$40),Constants!$C$6,Design!$B$40)/1000*(1+Constants!$C$31/100*(N48-25))-Design!$C$28)/(IF(ISBLANK(Design!$B$39),Design!$B$38,Design!$B$39)/1000000)*E48/100/(IF(ISBLANK(Design!$B$32),Design!$B$31,Design!$B$32)*1000000)&lt;0,0,($B48-C48*IF(ISBLANK(Design!$B$40),Constants!$C$6,Design!$B$40)/1000*(1+Constants!$C$31/100*(N48-25))-Design!$C$28)/(IF(ISBLANK(Design!$B$39),Design!$B$38,Design!$B$39)/1000000)*E48/100/(IF(ISBLANK(Design!$B$32),Design!$B$31,Design!$B$32)*1000000))</f>
        <v>0.29229970506089814</v>
      </c>
      <c r="G48" s="207">
        <f>B48*Constants!$C$18/1000+IF(ISBLANK(Design!$B$32),Design!$B$31,Design!$B$32)*1000000*Constants!$D$22/1000000000*(B48-Constants!$C$21)</f>
        <v>4.9824375000000011E-2</v>
      </c>
      <c r="H48" s="207">
        <f>B48*C48*(B48/(Constants!$C$23*1000000000)*IF(ISBLANK(Design!$B$32),Design!$B$31,Design!$B$32)*1000000/2+B48/(Constants!$C$24*1000000000)*IF(ISBLANK(Design!$B$32),Design!$B$31,Design!$B$32)*1000000/2)</f>
        <v>9.3507520475298686E-2</v>
      </c>
      <c r="I48" s="207">
        <f t="shared" ca="1" si="13"/>
        <v>0.35368220708507997</v>
      </c>
      <c r="J48" s="207">
        <f>Constants!$D$22/1000000000*Constants!$C$21*IF(ISBLANK(Design!$B$32),Design!$B$31,Design!$B$32)*1000000</f>
        <v>1.0624999999999999E-2</v>
      </c>
      <c r="K48" s="207">
        <f t="shared" ref="K48" ca="1" si="16">SUM(G48:J48)</f>
        <v>0.5076391025603787</v>
      </c>
      <c r="L48" s="207">
        <f t="shared" ref="L48:L87" ca="1" si="17">C48*D48*(1-E48/100)</f>
        <v>0.63166983930422438</v>
      </c>
      <c r="M48" s="208">
        <f ca="1">$A48+L48*Design!$B$19</f>
        <v>121.00518084034078</v>
      </c>
      <c r="N48" s="208">
        <f ca="1">K48*Design!$C$12+A48</f>
        <v>102.25972948705288</v>
      </c>
      <c r="O48" s="208">
        <f ca="1">Constants!$D$19+Constants!$D$19*Constants!$C$20/100*(N48-25)</f>
        <v>171.86316090247092</v>
      </c>
      <c r="P48" s="207">
        <f ca="1">(1-Constants!$D$17/1000000000*Design!$B$32*1000000) * ($B48+D48-C48*O48/1000) - (D48+C48*(1+($A48-25)*Constants!$C$31/100)*IF(ISBLANK(Design!$B$40),Constants!$C$6/1000,Design!$B$40/1000))</f>
        <v>10.212810959807204</v>
      </c>
      <c r="Q48" s="157">
        <f ca="1">IF(P48&gt;Design!$C$28,Design!$C$28,P48)</f>
        <v>3.3223709369024856</v>
      </c>
      <c r="R48" s="158">
        <f>2*Design!$D$6/3</f>
        <v>1.6666666666666667</v>
      </c>
      <c r="S48" s="158">
        <f ca="1">FORECAST(R48, OFFSET(Design!$C$15:$C$17,MATCH(R48,Design!$B$15:$B$17,1)-1,0,2), OFFSET(Design!$B$15:$B$17,MATCH(R48,Design!$B$15:$B$17,1)-1,0,2))+(AB48-25)*Design!$B$18/1000</f>
        <v>0.35132597191512238</v>
      </c>
      <c r="T48" s="224">
        <f ca="1">IF(100*(Design!$C$28+S48+R48*IF(ISBLANK(Design!$B$40),Constants!$C$6,Design!$B$40)/1000*(1+Constants!$C$31/100*(AC48-25)))/($B48+S48-R48*AD48/1000)&gt;Design!$C$35,Design!$C$35,100*(Design!$C$28+S48+R48*IF(ISBLANK(Design!$B$40),Constants!$C$6,Design!$B$40)/1000*(1+Constants!$C$31/100*(AC48-25)))/($B48+S48-R48*AD48/1000))</f>
        <v>31.842867855582341</v>
      </c>
      <c r="U48" s="159">
        <f ca="1">IF(($B48-R48*IF(ISBLANK(Design!$B$40),Constants!$C$6,Design!$B$40)/1000*(1+Constants!$C$31/100*(AC48-25))-Design!$C$28)/(IF(ISBLANK(Design!$B$39),Design!$B$38,Design!$B$39)/1000000)*T48/100/(IF(ISBLANK(Design!$B$32),Design!$B$31,Design!$B$32)*1000000)&lt;0,0,($B48-R48*IF(ISBLANK(Design!$B$40),Constants!$C$6,Design!$B$40)/1000*(1+Constants!$C$31/100*(AC48-25))-Design!$C$28)/(IF(ISBLANK(Design!$B$39),Design!$B$38,Design!$B$39)/1000000)*T48/100/(IF(ISBLANK(Design!$B$32),Design!$B$31,Design!$B$32)*1000000))</f>
        <v>0.28493884963265659</v>
      </c>
      <c r="V48" s="225">
        <f>$B48*Constants!$C$18/1000+IF(ISBLANK(Design!$B$32),Design!$B$31,Design!$B$32)*1000000*Constants!$D$22/1000000000*($B48-Constants!$C$21)</f>
        <v>4.9824375000000011E-2</v>
      </c>
      <c r="W48" s="225">
        <f>$B48*R48*($B48/(Constants!$C$23*1000000000)*IF(ISBLANK(Design!$B$32),Design!$B$31,Design!$B$32)*1000000/2+$B48/(Constants!$C$24*1000000000)*IF(ISBLANK(Design!$B$32),Design!$B$31,Design!$B$32)*1000000/2)</f>
        <v>6.2338346983532467E-2</v>
      </c>
      <c r="X48" s="225">
        <f t="shared" ca="1" si="14"/>
        <v>0.14711236644714459</v>
      </c>
      <c r="Y48" s="225">
        <f>Constants!$D$22/1000000000*Constants!$C$21*IF(ISBLANK(Design!$B$32),Design!$B$31,Design!$B$32)*1000000</f>
        <v>1.0624999999999999E-2</v>
      </c>
      <c r="Z48" s="225">
        <f t="shared" ref="Z48" ca="1" si="18">SUM(V48:Y48)</f>
        <v>0.26990008843067703</v>
      </c>
      <c r="AA48" s="225">
        <f t="shared" ref="AA48:AA87" ca="1" si="19">R48*S48*(1-T48/100)</f>
        <v>0.39908951155974942</v>
      </c>
      <c r="AB48" s="226">
        <f ca="1">$A48+AA48*Design!$B$19</f>
        <v>107.74810215890571</v>
      </c>
      <c r="AC48" s="226">
        <f ca="1">Z48*Design!$C$12+$A48</f>
        <v>94.17660300664302</v>
      </c>
      <c r="AD48" s="226">
        <f ca="1">Constants!$D$19+Constants!$D$19*Constants!$C$20/100*(AC48-25)</f>
        <v>165.91397981288927</v>
      </c>
      <c r="AE48" s="225">
        <f ca="1">(1-Constants!$D$17/1000000000*Design!$B$32*1000000) * ($B48+S48-R48*AD48/1000) - (S48+R48*(1+($A48-25)*Constants!$C$31/100)*IF(ISBLANK(Design!$B$40),Constants!$C$6/1000,Design!$B$40/1000))</f>
        <v>10.406560139839225</v>
      </c>
      <c r="AF48" s="159">
        <f ca="1">IF(AE48&gt;Design!$C$28,Design!$C$28,AE48)</f>
        <v>3.3223709369024856</v>
      </c>
      <c r="AG48" s="160">
        <f>Design!$D$6/3</f>
        <v>0.83333333333333337</v>
      </c>
      <c r="AH48" s="160">
        <f ca="1">FORECAST(AG48, OFFSET(Design!$C$15:$C$17,MATCH(AG48,Design!$B$15:$B$17,1)-1,0,2), OFFSET(Design!$B$15:$B$17,MATCH(AG48,Design!$B$15:$B$17,1)-1,0,2))+(AQ48-25)*Design!$B$18/1000</f>
        <v>0.29940654089970098</v>
      </c>
      <c r="AI48" s="238">
        <f ca="1">IF(100*(Design!$C$28+AH48+AG48*IF(ISBLANK(Design!$B$40),Constants!$C$6,Design!$B$40)/1000*(1+Constants!$C$31/100*(AR48-25)))/($B48+AH48-AG48*AS48/1000)&gt;Design!$C$35,Design!$C$35,100*(Design!$C$28+AH48+AG48*IF(ISBLANK(Design!$B$40),Constants!$C$6,Design!$B$40)/1000*(1+Constants!$C$31/100*(AR48-25)))/($B48+AH48-AG48*AS48/1000))</f>
        <v>30.721069402288894</v>
      </c>
      <c r="AJ48" s="161">
        <f ca="1">IF(($B48-AG48*IF(ISBLANK(Design!$B$40),Constants!$C$6,Design!$B$40)/1000*(1+Constants!$C$31/100*(AR48-25))-Design!$C$28)/(IF(ISBLANK(Design!$B$39),Design!$B$38,Design!$B$39)/1000000)*AI48/100/(IF(ISBLANK(Design!$B$32),Design!$B$31,Design!$B$32)*1000000)&lt;0,0,($B48-AG48*IF(ISBLANK(Design!$B$40),Constants!$C$6,Design!$B$40)/1000*(1+Constants!$C$31/100*(AR48-25))-Design!$C$28)/(IF(ISBLANK(Design!$B$39),Design!$B$38,Design!$B$39)/1000000)*AI48/100/(IF(ISBLANK(Design!$B$32),Design!$B$31,Design!$B$32)*1000000))</f>
        <v>0.27666812655104933</v>
      </c>
      <c r="AK48" s="239">
        <f>$B48*Constants!$C$18/1000+IF(ISBLANK(Design!$B$32),Design!$B$31,Design!$B$32)*1000000*Constants!$D$22/1000000000*($B48-Constants!$C$21)</f>
        <v>4.9824375000000011E-2</v>
      </c>
      <c r="AL48" s="239">
        <f>$B48*AG48*($B48/(Constants!$C$23*1000000000)*IF(ISBLANK(Design!$B$32),Design!$B$31,Design!$B$32)*1000000/2+$B48/(Constants!$C$24*1000000000)*IF(ISBLANK(Design!$B$32),Design!$B$31,Design!$B$32)*1000000/2)</f>
        <v>3.1169173491766233E-2</v>
      </c>
      <c r="AM48" s="239">
        <f t="shared" ca="1" si="15"/>
        <v>3.4949115175051469E-2</v>
      </c>
      <c r="AN48" s="239">
        <f>Constants!$D$22/1000000000*Constants!$C$21*IF(ISBLANK(Design!$B$32),Design!$B$31,Design!$B$32)*1000000</f>
        <v>1.0624999999999999E-2</v>
      </c>
      <c r="AO48" s="239">
        <f t="shared" ref="AO48" ca="1" si="20">SUM(AK48:AN48)</f>
        <v>0.12656766366681771</v>
      </c>
      <c r="AP48" s="239">
        <f t="shared" ref="AP48:AP87" ca="1" si="21">AG48*AH48*(1-AI48/100)</f>
        <v>0.17285470806242614</v>
      </c>
      <c r="AQ48" s="240">
        <f ca="1">$A48+AP48*Design!$B$19</f>
        <v>94.852718359558295</v>
      </c>
      <c r="AR48" s="240">
        <f ca="1">AO48*Design!$C$12+$A48</f>
        <v>89.303300564671801</v>
      </c>
      <c r="AS48" s="240">
        <f ca="1">Constants!$D$19+Constants!$D$19*Constants!$C$20/100*(AR48-25)</f>
        <v>162.32722921559844</v>
      </c>
      <c r="AT48" s="239">
        <f ca="1">(1-Constants!$D$17/1000000000*Design!$B$32*1000000) * ($B48+AH48-AG48*AS48/1000) - (AH48+AG48*(1+($A48-25)*Constants!$C$31/100)*IF(ISBLANK(Design!$B$40),Constants!$C$6/1000,Design!$B$40/1000))</f>
        <v>10.591709265079967</v>
      </c>
      <c r="AU48" s="161">
        <f ca="1">IF(AT48&gt;Design!$C$28,Design!$C$28,AT48)</f>
        <v>3.3223709369024856</v>
      </c>
    </row>
    <row r="49" spans="1:47" ht="12.75" customHeight="1" x14ac:dyDescent="0.3">
      <c r="A49" s="154">
        <f>Design!$D$13</f>
        <v>85</v>
      </c>
      <c r="B49" s="155">
        <f t="shared" si="12"/>
        <v>11.590000000000002</v>
      </c>
      <c r="C49" s="156">
        <f>Design!$D$6</f>
        <v>2.5</v>
      </c>
      <c r="D49" s="156">
        <f ca="1">FORECAST(C49, OFFSET(Design!$C$15:$C$17,MATCH(C49,Design!$B$15:$B$17,1)-1,0,2), OFFSET(Design!$B$15:$B$17,MATCH(C49,Design!$B$15:$B$17,1)-1,0,2))+(M49-25)*Design!$B$18/1000</f>
        <v>0.37678236822659039</v>
      </c>
      <c r="E49" s="215">
        <f ca="1">IF(100*(Design!$C$28+D49+C49*IF(ISBLANK(Design!$B$40),Constants!$C$6,Design!$B$40)/1000*(1+Constants!$C$31/100*(N49-25)))/($B49+D49-C49*O49/1000)&gt;Design!$C$35,Design!$C$35,100*(Design!$C$28+D49+C49*IF(ISBLANK(Design!$B$40),Constants!$C$6,Design!$B$40)/1000*(1+Constants!$C$31/100*(N49-25)))/($B49+D49-C49*O49/1000))</f>
        <v>33.476173872152565</v>
      </c>
      <c r="F49" s="157">
        <f ca="1">IF(($B49-C49*IF(ISBLANK(Design!$B$40),Constants!$C$6,Design!$B$40)/1000*(1+Constants!$C$31/100*(N49-25))-Design!$C$28)/(IF(ISBLANK(Design!$B$39),Design!$B$38,Design!$B$39)/1000000)*E49/100/(IF(ISBLANK(Design!$B$32),Design!$B$31,Design!$B$32)*1000000)&lt;0,0,($B49-C49*IF(ISBLANK(Design!$B$40),Constants!$C$6,Design!$B$40)/1000*(1+Constants!$C$31/100*(N49-25))-Design!$C$28)/(IF(ISBLANK(Design!$B$39),Design!$B$38,Design!$B$39)/1000000)*E49/100/(IF(ISBLANK(Design!$B$32),Design!$B$31,Design!$B$32)*1000000))</f>
        <v>0.29017360243104978</v>
      </c>
      <c r="G49" s="207">
        <f>B49*Constants!$C$18/1000+IF(ISBLANK(Design!$B$32),Design!$B$31,Design!$B$32)*1000000*Constants!$D$22/1000000000*(B49-Constants!$C$21)</f>
        <v>4.8773750000000005E-2</v>
      </c>
      <c r="H49" s="207">
        <f>B49*C49*(B49/(Constants!$C$23*1000000000)*IF(ISBLANK(Design!$B$32),Design!$B$31,Design!$B$32)*1000000/2+B49/(Constants!$C$24*1000000000)*IF(ISBLANK(Design!$B$32),Design!$B$31,Design!$B$32)*1000000/2)</f>
        <v>9.0285399174990233E-2</v>
      </c>
      <c r="I49" s="207">
        <f t="shared" ca="1" si="13"/>
        <v>0.36009862236214502</v>
      </c>
      <c r="J49" s="207">
        <f>Constants!$D$22/1000000000*Constants!$C$21*IF(ISBLANK(Design!$B$32),Design!$B$31,Design!$B$32)*1000000</f>
        <v>1.0624999999999999E-2</v>
      </c>
      <c r="K49" s="207">
        <f ca="1">SUM(G49:J49)</f>
        <v>0.50978277153713525</v>
      </c>
      <c r="L49" s="207">
        <f t="shared" ca="1" si="17"/>
        <v>0.62662511879860727</v>
      </c>
      <c r="M49" s="208">
        <f ca="1">$A49+L49*Design!$B$19</f>
        <v>120.71763177152062</v>
      </c>
      <c r="N49" s="208">
        <f ca="1">K49*Design!$C$12+A49</f>
        <v>102.3326142322626</v>
      </c>
      <c r="O49" s="208">
        <f ca="1">Constants!$D$19+Constants!$D$19*Constants!$C$20/100*(N49-25)</f>
        <v>171.91680407494528</v>
      </c>
      <c r="P49" s="207">
        <f ca="1">(1-Constants!$D$17/1000000000*Design!$B$32*1000000) * ($B49+D49-C49*O49/1000) - (D49+C49*(1+($A49-25)*Constants!$C$31/100)*IF(ISBLANK(Design!$B$40),Constants!$C$6/1000,Design!$B$40/1000))</f>
        <v>10.025088809379305</v>
      </c>
      <c r="Q49" s="157">
        <f ca="1">IF(P49&gt;Design!$C$28,Design!$C$28,P49)</f>
        <v>3.3223709369024856</v>
      </c>
      <c r="R49" s="158">
        <f>2*Design!$D$6/3</f>
        <v>1.6666666666666667</v>
      </c>
      <c r="S49" s="158">
        <f ca="1">FORECAST(R49, OFFSET(Design!$C$15:$C$17,MATCH(R49,Design!$B$15:$B$17,1)-1,0,2), OFFSET(Design!$B$15:$B$17,MATCH(R49,Design!$B$15:$B$17,1)-1,0,2))+(AB49-25)*Design!$B$18/1000</f>
        <v>0.35150175588833427</v>
      </c>
      <c r="T49" s="224">
        <f ca="1">IF(100*(Design!$C$28+S49+R49*IF(ISBLANK(Design!$B$40),Constants!$C$6,Design!$B$40)/1000*(1+Constants!$C$31/100*(AC49-25)))/($B49+S49-R49*AD49/1000)&gt;Design!$C$35,Design!$C$35,100*(Design!$C$28+S49+R49*IF(ISBLANK(Design!$B$40),Constants!$C$6,Design!$B$40)/1000*(1+Constants!$C$31/100*(AC49-25)))/($B49+S49-R49*AD49/1000))</f>
        <v>32.403367737765798</v>
      </c>
      <c r="U49" s="159">
        <f ca="1">IF(($B49-R49*IF(ISBLANK(Design!$B$40),Constants!$C$6,Design!$B$40)/1000*(1+Constants!$C$31/100*(AC49-25))-Design!$C$28)/(IF(ISBLANK(Design!$B$39),Design!$B$38,Design!$B$39)/1000000)*T49/100/(IF(ISBLANK(Design!$B$32),Design!$B$31,Design!$B$32)*1000000)&lt;0,0,($B49-R49*IF(ISBLANK(Design!$B$40),Constants!$C$6,Design!$B$40)/1000*(1+Constants!$C$31/100*(AC49-25))-Design!$C$28)/(IF(ISBLANK(Design!$B$39),Design!$B$38,Design!$B$39)/1000000)*T49/100/(IF(ISBLANK(Design!$B$32),Design!$B$31,Design!$B$32)*1000000))</f>
        <v>0.28285011960343182</v>
      </c>
      <c r="V49" s="225">
        <f>$B49*Constants!$C$18/1000+IF(ISBLANK(Design!$B$32),Design!$B$31,Design!$B$32)*1000000*Constants!$D$22/1000000000*($B49-Constants!$C$21)</f>
        <v>4.8773750000000005E-2</v>
      </c>
      <c r="W49" s="225">
        <f>$B49*R49*($B49/(Constants!$C$23*1000000000)*IF(ISBLANK(Design!$B$32),Design!$B$31,Design!$B$32)*1000000/2+$B49/(Constants!$C$24*1000000000)*IF(ISBLANK(Design!$B$32),Design!$B$31,Design!$B$32)*1000000/2)</f>
        <v>6.019026611666016E-2</v>
      </c>
      <c r="X49" s="225">
        <f t="shared" ca="1" si="14"/>
        <v>0.14968233744005624</v>
      </c>
      <c r="Y49" s="225">
        <f>Constants!$D$22/1000000000*Constants!$C$21*IF(ISBLANK(Design!$B$32),Design!$B$31,Design!$B$32)*1000000</f>
        <v>1.0624999999999999E-2</v>
      </c>
      <c r="Z49" s="225">
        <f ca="1">SUM(V49:Y49)</f>
        <v>0.26927135355671639</v>
      </c>
      <c r="AA49" s="225">
        <f t="shared" ca="1" si="19"/>
        <v>0.39600558220522242</v>
      </c>
      <c r="AB49" s="226">
        <f ca="1">$A49+AA49*Design!$B$19</f>
        <v>107.57231818569768</v>
      </c>
      <c r="AC49" s="226">
        <f ca="1">Z49*Design!$C$12+$A49</f>
        <v>94.155226020928353</v>
      </c>
      <c r="AD49" s="226">
        <f ca="1">Constants!$D$19+Constants!$D$19*Constants!$C$20/100*(AC49-25)</f>
        <v>165.89824635140326</v>
      </c>
      <c r="AE49" s="225">
        <f ca="1">(1-Constants!$D$17/1000000000*Design!$B$32*1000000) * ($B49+S49-R49*AD49/1000) - (S49+R49*(1+($A49-25)*Constants!$C$31/100)*IF(ISBLANK(Design!$B$40),Constants!$C$6/1000,Design!$B$40/1000))</f>
        <v>10.218994191730269</v>
      </c>
      <c r="AF49" s="159">
        <f ca="1">IF(AE49&gt;Design!$C$28,Design!$C$28,AE49)</f>
        <v>3.3223709369024856</v>
      </c>
      <c r="AG49" s="160">
        <f>Design!$D$6/3</f>
        <v>0.83333333333333337</v>
      </c>
      <c r="AH49" s="160">
        <f ca="1">FORECAST(AG49, OFFSET(Design!$C$15:$C$17,MATCH(AG49,Design!$B$15:$B$17,1)-1,0,2), OFFSET(Design!$B$15:$B$17,MATCH(AG49,Design!$B$15:$B$17,1)-1,0,2))+(AQ49-25)*Design!$B$18/1000</f>
        <v>0.29948036916854304</v>
      </c>
      <c r="AI49" s="238">
        <f ca="1">IF(100*(Design!$C$28+AH49+AG49*IF(ISBLANK(Design!$B$40),Constants!$C$6,Design!$B$40)/1000*(1+Constants!$C$31/100*(AR49-25)))/($B49+AH49-AG49*AS49/1000)&gt;Design!$C$35,Design!$C$35,100*(Design!$C$28+AH49+AG49*IF(ISBLANK(Design!$B$40),Constants!$C$6,Design!$B$40)/1000*(1+Constants!$C$31/100*(AR49-25)))/($B49+AH49-AG49*AS49/1000))</f>
        <v>31.257140191714591</v>
      </c>
      <c r="AJ49" s="161">
        <f ca="1">IF(($B49-AG49*IF(ISBLANK(Design!$B$40),Constants!$C$6,Design!$B$40)/1000*(1+Constants!$C$31/100*(AR49-25))-Design!$C$28)/(IF(ISBLANK(Design!$B$39),Design!$B$38,Design!$B$39)/1000000)*AI49/100/(IF(ISBLANK(Design!$B$32),Design!$B$31,Design!$B$32)*1000000)&lt;0,0,($B49-AG49*IF(ISBLANK(Design!$B$40),Constants!$C$6,Design!$B$40)/1000*(1+Constants!$C$31/100*(AR49-25))-Design!$C$28)/(IF(ISBLANK(Design!$B$39),Design!$B$38,Design!$B$39)/1000000)*AI49/100/(IF(ISBLANK(Design!$B$32),Design!$B$31,Design!$B$32)*1000000))</f>
        <v>0.27464299304907408</v>
      </c>
      <c r="AK49" s="239">
        <f>$B49*Constants!$C$18/1000+IF(ISBLANK(Design!$B$32),Design!$B$31,Design!$B$32)*1000000*Constants!$D$22/1000000000*($B49-Constants!$C$21)</f>
        <v>4.8773750000000005E-2</v>
      </c>
      <c r="AL49" s="239">
        <f>$B49*AG49*($B49/(Constants!$C$23*1000000000)*IF(ISBLANK(Design!$B$32),Design!$B$31,Design!$B$32)*1000000/2+$B49/(Constants!$C$24*1000000000)*IF(ISBLANK(Design!$B$32),Design!$B$31,Design!$B$32)*1000000/2)</f>
        <v>3.009513305833008E-2</v>
      </c>
      <c r="AM49" s="239">
        <f t="shared" ca="1" si="15"/>
        <v>3.5545868564761524E-2</v>
      </c>
      <c r="AN49" s="239">
        <f>Constants!$D$22/1000000000*Constants!$C$21*IF(ISBLANK(Design!$B$32),Design!$B$31,Design!$B$32)*1000000</f>
        <v>1.0624999999999999E-2</v>
      </c>
      <c r="AO49" s="239">
        <f ca="1">SUM(AK49:AN49)</f>
        <v>0.12503975162309161</v>
      </c>
      <c r="AP49" s="239">
        <f t="shared" ca="1" si="21"/>
        <v>0.17155947527572263</v>
      </c>
      <c r="AQ49" s="240">
        <f ca="1">$A49+AP49*Design!$B$19</f>
        <v>94.778890090716189</v>
      </c>
      <c r="AR49" s="240">
        <f ca="1">AO49*Design!$C$12+$A49</f>
        <v>89.25135155518511</v>
      </c>
      <c r="AS49" s="240">
        <f ca="1">Constants!$D$19+Constants!$D$19*Constants!$C$20/100*(AR49-25)</f>
        <v>162.28899474461625</v>
      </c>
      <c r="AT49" s="239">
        <f ca="1">(1-Constants!$D$17/1000000000*Design!$B$32*1000000) * ($B49+AH49-AG49*AS49/1000) - (AH49+AG49*(1+($A49-25)*Constants!$C$31/100)*IF(ISBLANK(Design!$B$40),Constants!$C$6/1000,Design!$B$40/1000))</f>
        <v>10.404157143461241</v>
      </c>
      <c r="AU49" s="161">
        <f ca="1">IF(AT49&gt;Design!$C$28,Design!$C$28,AT49)</f>
        <v>3.3223709369024856</v>
      </c>
    </row>
    <row r="50" spans="1:47" ht="12.75" customHeight="1" x14ac:dyDescent="0.3">
      <c r="A50" s="154">
        <f>Design!$D$13</f>
        <v>85</v>
      </c>
      <c r="B50" s="155">
        <f t="shared" si="12"/>
        <v>11.385000000000002</v>
      </c>
      <c r="C50" s="156">
        <f>Design!$D$6</f>
        <v>2.5</v>
      </c>
      <c r="D50" s="156">
        <f ca="1">FORECAST(C50, OFFSET(Design!$C$15:$C$17,MATCH(C50,Design!$B$15:$B$17,1)-1,0,2), OFFSET(Design!$B$15:$B$17,MATCH(C50,Design!$B$15:$B$17,1)-1,0,2))+(M50-25)*Design!$B$18/1000</f>
        <v>0.37708085859001239</v>
      </c>
      <c r="E50" s="215">
        <f ca="1">IF(100*(Design!$C$28+D50+C50*IF(ISBLANK(Design!$B$40),Constants!$C$6,Design!$B$40)/1000*(1+Constants!$C$31/100*(N50-25)))/($B50+D50-C50*O50/1000)&gt;Design!$C$35,Design!$C$35,100*(Design!$C$28+D50+C50*IF(ISBLANK(Design!$B$40),Constants!$C$6,Design!$B$40)/1000*(1+Constants!$C$31/100*(N50-25)))/($B50+D50-C50*O50/1000))</f>
        <v>34.084328959823281</v>
      </c>
      <c r="F50" s="157">
        <f ca="1">IF(($B50-C50*IF(ISBLANK(Design!$B$40),Constants!$C$6,Design!$B$40)/1000*(1+Constants!$C$31/100*(N50-25))-Design!$C$28)/(IF(ISBLANK(Design!$B$39),Design!$B$38,Design!$B$39)/1000000)*E50/100/(IF(ISBLANK(Design!$B$32),Design!$B$31,Design!$B$32)*1000000)&lt;0,0,($B50-C50*IF(ISBLANK(Design!$B$40),Constants!$C$6,Design!$B$40)/1000*(1+Constants!$C$31/100*(N50-25))-Design!$C$28)/(IF(ISBLANK(Design!$B$39),Design!$B$38,Design!$B$39)/1000000)*E50/100/(IF(ISBLANK(Design!$B$32),Design!$B$31,Design!$B$32)*1000000))</f>
        <v>0.28797060287912568</v>
      </c>
      <c r="G50" s="207">
        <f>B50*Constants!$C$18/1000+IF(ISBLANK(Design!$B$32),Design!$B$31,Design!$B$32)*1000000*Constants!$D$22/1000000000*(B50-Constants!$C$21)</f>
        <v>4.7723125000000005E-2</v>
      </c>
      <c r="H50" s="207">
        <f>B50*C50*(B50/(Constants!$C$23*1000000000)*IF(ISBLANK(Design!$B$32),Design!$B$31,Design!$B$32)*1000000/2+B50/(Constants!$C$24*1000000000)*IF(ISBLANK(Design!$B$32),Design!$B$31,Design!$B$32)*1000000/2)</f>
        <v>8.7119770059121651E-2</v>
      </c>
      <c r="I50" s="207">
        <f t="shared" ca="1" si="13"/>
        <v>0.36676499942501678</v>
      </c>
      <c r="J50" s="207">
        <f>Constants!$D$22/1000000000*Constants!$C$21*IF(ISBLANK(Design!$B$32),Design!$B$31,Design!$B$32)*1000000</f>
        <v>1.0624999999999999E-2</v>
      </c>
      <c r="K50" s="207">
        <f t="shared" ref="K50:K87" ca="1" si="22">SUM(G50:J50)</f>
        <v>0.51223289448413845</v>
      </c>
      <c r="L50" s="207">
        <f t="shared" ca="1" si="17"/>
        <v>0.6213884457591663</v>
      </c>
      <c r="M50" s="208">
        <f ca="1">$A50+L50*Design!$B$19</f>
        <v>120.41914140827248</v>
      </c>
      <c r="N50" s="208">
        <f ca="1">K50*Design!$C$12+A50</f>
        <v>102.41591841246071</v>
      </c>
      <c r="O50" s="208">
        <f ca="1">Constants!$D$19+Constants!$D$19*Constants!$C$20/100*(N50-25)</f>
        <v>171.97811595157108</v>
      </c>
      <c r="P50" s="207">
        <f ca="1">(1-Constants!$D$17/1000000000*Design!$B$32*1000000) * ($B50+D50-C50*O50/1000) - (D50+C50*(1+($A50-25)*Constants!$C$31/100)*IF(ISBLANK(Design!$B$40),Constants!$C$6/1000,Design!$B$40/1000))</f>
        <v>9.8373481867806323</v>
      </c>
      <c r="Q50" s="157">
        <f ca="1">IF(P50&gt;Design!$C$28,Design!$C$28,P50)</f>
        <v>3.3223709369024856</v>
      </c>
      <c r="R50" s="158">
        <f>2*Design!$D$6/3</f>
        <v>1.6666666666666667</v>
      </c>
      <c r="S50" s="158">
        <f ca="1">FORECAST(R50, OFFSET(Design!$C$15:$C$17,MATCH(R50,Design!$B$15:$B$17,1)-1,0,2), OFFSET(Design!$B$15:$B$17,MATCH(R50,Design!$B$15:$B$17,1)-1,0,2))+(AB50-25)*Design!$B$18/1000</f>
        <v>0.35168402902426632</v>
      </c>
      <c r="T50" s="224">
        <f ca="1">IF(100*(Design!$C$28+S50+R50*IF(ISBLANK(Design!$B$40),Constants!$C$6,Design!$B$40)/1000*(1+Constants!$C$31/100*(AC50-25)))/($B50+S50-R50*AD50/1000)&gt;Design!$C$35,Design!$C$35,100*(Design!$C$28+S50+R50*IF(ISBLANK(Design!$B$40),Constants!$C$6,Design!$B$40)/1000*(1+Constants!$C$31/100*(AC50-25)))/($B50+S50-R50*AD50/1000))</f>
        <v>32.983967060343431</v>
      </c>
      <c r="U50" s="159">
        <f ca="1">IF(($B50-R50*IF(ISBLANK(Design!$B$40),Constants!$C$6,Design!$B$40)/1000*(1+Constants!$C$31/100*(AC50-25))-Design!$C$28)/(IF(ISBLANK(Design!$B$39),Design!$B$38,Design!$B$39)/1000000)*T50/100/(IF(ISBLANK(Design!$B$32),Design!$B$31,Design!$B$32)*1000000)&lt;0,0,($B50-R50*IF(ISBLANK(Design!$B$40),Constants!$C$6,Design!$B$40)/1000*(1+Constants!$C$31/100*(AC50-25))-Design!$C$28)/(IF(ISBLANK(Design!$B$39),Design!$B$38,Design!$B$39)/1000000)*T50/100/(IF(ISBLANK(Design!$B$32),Design!$B$31,Design!$B$32)*1000000))</f>
        <v>0.28068660717004401</v>
      </c>
      <c r="V50" s="225">
        <f>$B50*Constants!$C$18/1000+IF(ISBLANK(Design!$B$32),Design!$B$31,Design!$B$32)*1000000*Constants!$D$22/1000000000*($B50-Constants!$C$21)</f>
        <v>4.7723125000000005E-2</v>
      </c>
      <c r="W50" s="225">
        <f>$B50*R50*($B50/(Constants!$C$23*1000000000)*IF(ISBLANK(Design!$B$32),Design!$B$31,Design!$B$32)*1000000/2+$B50/(Constants!$C$24*1000000000)*IF(ISBLANK(Design!$B$32),Design!$B$31,Design!$B$32)*1000000/2)</f>
        <v>5.8079846706081101E-2</v>
      </c>
      <c r="X50" s="225">
        <f t="shared" ca="1" si="14"/>
        <v>0.15234736718033307</v>
      </c>
      <c r="Y50" s="225">
        <f>Constants!$D$22/1000000000*Constants!$C$21*IF(ISBLANK(Design!$B$32),Design!$B$31,Design!$B$32)*1000000</f>
        <v>1.0624999999999999E-2</v>
      </c>
      <c r="Z50" s="225">
        <f t="shared" ref="Z50:Z87" ca="1" si="23">SUM(V50:Y50)</f>
        <v>0.26877533888641414</v>
      </c>
      <c r="AA50" s="225">
        <f t="shared" ca="1" si="19"/>
        <v>0.39280780789068948</v>
      </c>
      <c r="AB50" s="226">
        <f ca="1">$A50+AA50*Design!$B$19</f>
        <v>107.3900450497693</v>
      </c>
      <c r="AC50" s="226">
        <f ca="1">Z50*Design!$C$12+$A50</f>
        <v>94.138361522138084</v>
      </c>
      <c r="AD50" s="226">
        <f ca="1">Constants!$D$19+Constants!$D$19*Constants!$C$20/100*(AC50-25)</f>
        <v>165.88583408029365</v>
      </c>
      <c r="AE50" s="225">
        <f ca="1">(1-Constants!$D$17/1000000000*Design!$B$32*1000000) * ($B50+S50-R50*AD50/1000) - (S50+R50*(1+($A50-25)*Constants!$C$31/100)*IF(ISBLANK(Design!$B$40),Constants!$C$6/1000,Design!$B$40/1000))</f>
        <v>10.031422627227158</v>
      </c>
      <c r="AF50" s="159">
        <f ca="1">IF(AE50&gt;Design!$C$28,Design!$C$28,AE50)</f>
        <v>3.3223709369024856</v>
      </c>
      <c r="AG50" s="160">
        <f>Design!$D$6/3</f>
        <v>0.83333333333333337</v>
      </c>
      <c r="AH50" s="160">
        <f ca="1">FORECAST(AG50, OFFSET(Design!$C$15:$C$17,MATCH(AG50,Design!$B$15:$B$17,1)-1,0,2), OFFSET(Design!$B$15:$B$17,MATCH(AG50,Design!$B$15:$B$17,1)-1,0,2))+(AQ50-25)*Design!$B$18/1000</f>
        <v>0.29955685810765487</v>
      </c>
      <c r="AI50" s="238">
        <f ca="1">IF(100*(Design!$C$28+AH50+AG50*IF(ISBLANK(Design!$B$40),Constants!$C$6,Design!$B$40)/1000*(1+Constants!$C$31/100*(AR50-25)))/($B50+AH50-AG50*AS50/1000)&gt;Design!$C$35,Design!$C$35,100*(Design!$C$28+AH50+AG50*IF(ISBLANK(Design!$B$40),Constants!$C$6,Design!$B$40)/1000*(1+Constants!$C$31/100*(AR50-25)))/($B50+AH50-AG50*AS50/1000))</f>
        <v>31.81225154842739</v>
      </c>
      <c r="AJ50" s="161">
        <f ca="1">IF(($B50-AG50*IF(ISBLANK(Design!$B$40),Constants!$C$6,Design!$B$40)/1000*(1+Constants!$C$31/100*(AR50-25))-Design!$C$28)/(IF(ISBLANK(Design!$B$39),Design!$B$38,Design!$B$39)/1000000)*AI50/100/(IF(ISBLANK(Design!$B$32),Design!$B$31,Design!$B$32)*1000000)&lt;0,0,($B50-AG50*IF(ISBLANK(Design!$B$40),Constants!$C$6,Design!$B$40)/1000*(1+Constants!$C$31/100*(AR50-25))-Design!$C$28)/(IF(ISBLANK(Design!$B$39),Design!$B$38,Design!$B$39)/1000000)*AI50/100/(IF(ISBLANK(Design!$B$32),Design!$B$31,Design!$B$32)*1000000))</f>
        <v>0.27254591997309846</v>
      </c>
      <c r="AK50" s="239">
        <f>$B50*Constants!$C$18/1000+IF(ISBLANK(Design!$B$32),Design!$B$31,Design!$B$32)*1000000*Constants!$D$22/1000000000*($B50-Constants!$C$21)</f>
        <v>4.7723125000000005E-2</v>
      </c>
      <c r="AL50" s="239">
        <f>$B50*AG50*($B50/(Constants!$C$23*1000000000)*IF(ISBLANK(Design!$B$32),Design!$B$31,Design!$B$32)*1000000/2+$B50/(Constants!$C$24*1000000000)*IF(ISBLANK(Design!$B$32),Design!$B$31,Design!$B$32)*1000000/2)</f>
        <v>2.903992335304055E-2</v>
      </c>
      <c r="AM50" s="239">
        <f t="shared" ca="1" si="15"/>
        <v>3.6163910507675728E-2</v>
      </c>
      <c r="AN50" s="239">
        <f>Constants!$D$22/1000000000*Constants!$C$21*IF(ISBLANK(Design!$B$32),Design!$B$31,Design!$B$32)*1000000</f>
        <v>1.0624999999999999E-2</v>
      </c>
      <c r="AO50" s="239">
        <f t="shared" ref="AO50:AO87" ca="1" si="24">SUM(AK50:AN50)</f>
        <v>0.12355195886071628</v>
      </c>
      <c r="AP50" s="239">
        <f t="shared" ca="1" si="21"/>
        <v>0.17021756406323499</v>
      </c>
      <c r="AQ50" s="240">
        <f ca="1">$A50+AP50*Design!$B$19</f>
        <v>94.702401151604391</v>
      </c>
      <c r="AR50" s="240">
        <f ca="1">AO50*Design!$C$12+$A50</f>
        <v>89.200766601264348</v>
      </c>
      <c r="AS50" s="240">
        <f ca="1">Constants!$D$19+Constants!$D$19*Constants!$C$20/100*(AR50-25)</f>
        <v>162.25176421853058</v>
      </c>
      <c r="AT50" s="239">
        <f ca="1">(1-Constants!$D$17/1000000000*Design!$B$32*1000000) * ($B50+AH50-AG50*AS50/1000) - (AH50+AG50*(1+($A50-25)*Constants!$C$31/100)*IF(ISBLANK(Design!$B$40),Constants!$C$6/1000,Design!$B$40/1000))</f>
        <v>10.216604030177555</v>
      </c>
      <c r="AU50" s="161">
        <f ca="1">IF(AT50&gt;Design!$C$28,Design!$C$28,AT50)</f>
        <v>3.3223709369024856</v>
      </c>
    </row>
    <row r="51" spans="1:47" ht="12.75" customHeight="1" x14ac:dyDescent="0.3">
      <c r="A51" s="154">
        <f>Design!$D$13</f>
        <v>85</v>
      </c>
      <c r="B51" s="155">
        <f t="shared" si="12"/>
        <v>11.180000000000001</v>
      </c>
      <c r="C51" s="156">
        <f>Design!$D$6</f>
        <v>2.5</v>
      </c>
      <c r="D51" s="156">
        <f ca="1">FORECAST(C51, OFFSET(Design!$C$15:$C$17,MATCH(C51,Design!$B$15:$B$17,1)-1,0,2), OFFSET(Design!$B$15:$B$17,MATCH(C51,Design!$B$15:$B$17,1)-1,0,2))+(M51-25)*Design!$B$18/1000</f>
        <v>0.37739092721942979</v>
      </c>
      <c r="E51" s="215">
        <f ca="1">IF(100*(Design!$C$28+D51+C51*IF(ISBLANK(Design!$B$40),Constants!$C$6,Design!$B$40)/1000*(1+Constants!$C$31/100*(N51-25)))/($B51+D51-C51*O51/1000)&gt;Design!$C$35,Design!$C$35,100*(Design!$C$28+D51+C51*IF(ISBLANK(Design!$B$40),Constants!$C$6,Design!$B$40)/1000*(1+Constants!$C$31/100*(N51-25)))/($B51+D51-C51*O51/1000))</f>
        <v>34.715055310502919</v>
      </c>
      <c r="F51" s="157">
        <f ca="1">IF(($B51-C51*IF(ISBLANK(Design!$B$40),Constants!$C$6,Design!$B$40)/1000*(1+Constants!$C$31/100*(N51-25))-Design!$C$28)/(IF(ISBLANK(Design!$B$39),Design!$B$38,Design!$B$39)/1000000)*E51/100/(IF(ISBLANK(Design!$B$32),Design!$B$31,Design!$B$32)*1000000)&lt;0,0,($B51-C51*IF(ISBLANK(Design!$B$40),Constants!$C$6,Design!$B$40)/1000*(1+Constants!$C$31/100*(N51-25))-Design!$C$28)/(IF(ISBLANK(Design!$B$39),Design!$B$38,Design!$B$39)/1000000)*E51/100/(IF(ISBLANK(Design!$B$32),Design!$B$31,Design!$B$32)*1000000))</f>
        <v>0.28568642289934332</v>
      </c>
      <c r="G51" s="207">
        <f>B51*Constants!$C$18/1000+IF(ISBLANK(Design!$B$32),Design!$B$31,Design!$B$32)*1000000*Constants!$D$22/1000000000*(B51-Constants!$C$21)</f>
        <v>4.6672500000000013E-2</v>
      </c>
      <c r="H51" s="207">
        <f>B51*C51*(B51/(Constants!$C$23*1000000000)*IF(ISBLANK(Design!$B$32),Design!$B$31,Design!$B$32)*1000000/2+B51/(Constants!$C$24*1000000000)*IF(ISBLANK(Design!$B$32),Design!$B$31,Design!$B$32)*1000000/2)</f>
        <v>8.4010633127692927E-2</v>
      </c>
      <c r="I51" s="207">
        <f t="shared" ca="1" si="13"/>
        <v>0.37369605093542857</v>
      </c>
      <c r="J51" s="207">
        <f>Constants!$D$22/1000000000*Constants!$C$21*IF(ISBLANK(Design!$B$32),Design!$B$31,Design!$B$32)*1000000</f>
        <v>1.0624999999999999E-2</v>
      </c>
      <c r="K51" s="207">
        <f t="shared" ca="1" si="22"/>
        <v>0.51500418406312154</v>
      </c>
      <c r="L51" s="207">
        <f t="shared" ca="1" si="17"/>
        <v>0.61594864524596238</v>
      </c>
      <c r="M51" s="208">
        <f ca="1">$A51+L51*Design!$B$19</f>
        <v>120.10907277901985</v>
      </c>
      <c r="N51" s="208">
        <f ca="1">K51*Design!$C$12+A51</f>
        <v>102.51014225814613</v>
      </c>
      <c r="O51" s="208">
        <f ca="1">Constants!$D$19+Constants!$D$19*Constants!$C$20/100*(N51-25)</f>
        <v>172.04746470199555</v>
      </c>
      <c r="P51" s="207">
        <f ca="1">(1-Constants!$D$17/1000000000*Design!$B$32*1000000) * ($B51+D51-C51*O51/1000) - (D51+C51*(1+($A51-25)*Constants!$C$31/100)*IF(ISBLANK(Design!$B$40),Constants!$C$6/1000,Design!$B$40/1000))</f>
        <v>9.6495881956805363</v>
      </c>
      <c r="Q51" s="157">
        <f ca="1">IF(P51&gt;Design!$C$28,Design!$C$28,P51)</f>
        <v>3.3223709369024856</v>
      </c>
      <c r="R51" s="158">
        <f>2*Design!$D$6/3</f>
        <v>1.6666666666666667</v>
      </c>
      <c r="S51" s="158">
        <f ca="1">FORECAST(R51, OFFSET(Design!$C$15:$C$17,MATCH(R51,Design!$B$15:$B$17,1)-1,0,2), OFFSET(Design!$B$15:$B$17,MATCH(R51,Design!$B$15:$B$17,1)-1,0,2))+(AB51-25)*Design!$B$18/1000</f>
        <v>0.35187315724027357</v>
      </c>
      <c r="T51" s="224">
        <f ca="1">IF(100*(Design!$C$28+S51+R51*IF(ISBLANK(Design!$B$40),Constants!$C$6,Design!$B$40)/1000*(1+Constants!$C$31/100*(AC51-25)))/($B51+S51-R51*AD51/1000)&gt;Design!$C$35,Design!$C$35,100*(Design!$C$28+S51+R51*IF(ISBLANK(Design!$B$40),Constants!$C$6,Design!$B$40)/1000*(1+Constants!$C$31/100*(AC51-25)))/($B51+S51-R51*AD51/1000))</f>
        <v>33.585766177531212</v>
      </c>
      <c r="U51" s="159">
        <f ca="1">IF(($B51-R51*IF(ISBLANK(Design!$B$40),Constants!$C$6,Design!$B$40)/1000*(1+Constants!$C$31/100*(AC51-25))-Design!$C$28)/(IF(ISBLANK(Design!$B$39),Design!$B$38,Design!$B$39)/1000000)*T51/100/(IF(ISBLANK(Design!$B$32),Design!$B$31,Design!$B$32)*1000000)&lt;0,0,($B51-R51*IF(ISBLANK(Design!$B$40),Constants!$C$6,Design!$B$40)/1000*(1+Constants!$C$31/100*(AC51-25))-Design!$C$28)/(IF(ISBLANK(Design!$B$39),Design!$B$38,Design!$B$39)/1000000)*T51/100/(IF(ISBLANK(Design!$B$32),Design!$B$31,Design!$B$32)*1000000))</f>
        <v>0.27844420985244767</v>
      </c>
      <c r="V51" s="225">
        <f>$B51*Constants!$C$18/1000+IF(ISBLANK(Design!$B$32),Design!$B$31,Design!$B$32)*1000000*Constants!$D$22/1000000000*($B51-Constants!$C$21)</f>
        <v>4.6672500000000013E-2</v>
      </c>
      <c r="W51" s="225">
        <f>$B51*R51*($B51/(Constants!$C$23*1000000000)*IF(ISBLANK(Design!$B$32),Design!$B$31,Design!$B$32)*1000000/2+$B51/(Constants!$C$24*1000000000)*IF(ISBLANK(Design!$B$32),Design!$B$31,Design!$B$32)*1000000/2)</f>
        <v>5.6007088751795289E-2</v>
      </c>
      <c r="X51" s="225">
        <f t="shared" ca="1" si="14"/>
        <v>0.155112777795259</v>
      </c>
      <c r="Y51" s="225">
        <f>Constants!$D$22/1000000000*Constants!$C$21*IF(ISBLANK(Design!$B$32),Design!$B$31,Design!$B$32)*1000000</f>
        <v>1.0624999999999999E-2</v>
      </c>
      <c r="Z51" s="225">
        <f t="shared" ca="1" si="23"/>
        <v>0.26841736654705428</v>
      </c>
      <c r="AA51" s="225">
        <f t="shared" ca="1" si="19"/>
        <v>0.38948976901343091</v>
      </c>
      <c r="AB51" s="226">
        <f ca="1">$A51+AA51*Design!$B$19</f>
        <v>107.20091683376556</v>
      </c>
      <c r="AC51" s="226">
        <f ca="1">Z51*Design!$C$12+$A51</f>
        <v>94.126190462599851</v>
      </c>
      <c r="AD51" s="226">
        <f ca="1">Constants!$D$19+Constants!$D$19*Constants!$C$20/100*(AC51-25)</f>
        <v>165.87687618047349</v>
      </c>
      <c r="AE51" s="225">
        <f ca="1">(1-Constants!$D$17/1000000000*Design!$B$32*1000000) * ($B51+S51-R51*AD51/1000) - (S51+R51*(1+($A51-25)*Constants!$C$31/100)*IF(ISBLANK(Design!$B$40),Constants!$C$6/1000,Design!$B$40/1000))</f>
        <v>9.8438452121260234</v>
      </c>
      <c r="AF51" s="159">
        <f ca="1">IF(AE51&gt;Design!$C$28,Design!$C$28,AE51)</f>
        <v>3.3223709369024856</v>
      </c>
      <c r="AG51" s="160">
        <f>Design!$D$6/3</f>
        <v>0.83333333333333337</v>
      </c>
      <c r="AH51" s="160">
        <f ca="1">FORECAST(AG51, OFFSET(Design!$C$15:$C$17,MATCH(AG51,Design!$B$15:$B$17,1)-1,0,2), OFFSET(Design!$B$15:$B$17,MATCH(AG51,Design!$B$15:$B$17,1)-1,0,2))+(AQ51-25)*Design!$B$18/1000</f>
        <v>0.2996361541342083</v>
      </c>
      <c r="AI51" s="238">
        <f ca="1">IF(100*(Design!$C$28+AH51+AG51*IF(ISBLANK(Design!$B$40),Constants!$C$6,Design!$B$40)/1000*(1+Constants!$C$31/100*(AR51-25)))/($B51+AH51-AG51*AS51/1000)&gt;Design!$C$35,Design!$C$35,100*(Design!$C$28+AH51+AG51*IF(ISBLANK(Design!$B$40),Constants!$C$6,Design!$B$40)/1000*(1+Constants!$C$31/100*(AR51-25)))/($B51+AH51-AG51*AS51/1000))</f>
        <v>32.387435879170738</v>
      </c>
      <c r="AJ51" s="161">
        <f ca="1">IF(($B51-AG51*IF(ISBLANK(Design!$B$40),Constants!$C$6,Design!$B$40)/1000*(1+Constants!$C$31/100*(AR51-25))-Design!$C$28)/(IF(ISBLANK(Design!$B$39),Design!$B$38,Design!$B$39)/1000000)*AI51/100/(IF(ISBLANK(Design!$B$32),Design!$B$31,Design!$B$32)*1000000)&lt;0,0,($B51-AG51*IF(ISBLANK(Design!$B$40),Constants!$C$6,Design!$B$40)/1000*(1+Constants!$C$31/100*(AR51-25))-Design!$C$28)/(IF(ISBLANK(Design!$B$39),Design!$B$38,Design!$B$39)/1000000)*AI51/100/(IF(ISBLANK(Design!$B$32),Design!$B$31,Design!$B$32)*1000000))</f>
        <v>0.27037300181614038</v>
      </c>
      <c r="AK51" s="239">
        <f>$B51*Constants!$C$18/1000+IF(ISBLANK(Design!$B$32),Design!$B$31,Design!$B$32)*1000000*Constants!$D$22/1000000000*($B51-Constants!$C$21)</f>
        <v>4.6672500000000013E-2</v>
      </c>
      <c r="AL51" s="239">
        <f>$B51*AG51*($B51/(Constants!$C$23*1000000000)*IF(ISBLANK(Design!$B$32),Design!$B$31,Design!$B$32)*1000000/2+$B51/(Constants!$C$24*1000000000)*IF(ISBLANK(Design!$B$32),Design!$B$31,Design!$B$32)*1000000/2)</f>
        <v>2.8003544375897645E-2</v>
      </c>
      <c r="AM51" s="239">
        <f t="shared" ca="1" si="15"/>
        <v>3.6804396570459884E-2</v>
      </c>
      <c r="AN51" s="239">
        <f>Constants!$D$22/1000000000*Constants!$C$21*IF(ISBLANK(Design!$B$32),Design!$B$31,Design!$B$32)*1000000</f>
        <v>1.0624999999999999E-2</v>
      </c>
      <c r="AO51" s="239">
        <f t="shared" ca="1" si="24"/>
        <v>0.12210544094635753</v>
      </c>
      <c r="AP51" s="239">
        <f t="shared" ca="1" si="21"/>
        <v>0.16882640570264865</v>
      </c>
      <c r="AQ51" s="240">
        <f ca="1">$A51+AP51*Design!$B$19</f>
        <v>94.623105125050969</v>
      </c>
      <c r="AR51" s="240">
        <f ca="1">AO51*Design!$C$12+$A51</f>
        <v>89.151584992176154</v>
      </c>
      <c r="AS51" s="240">
        <f ca="1">Constants!$D$19+Constants!$D$19*Constants!$C$20/100*(AR51-25)</f>
        <v>162.21556655424166</v>
      </c>
      <c r="AT51" s="239">
        <f ca="1">(1-Constants!$D$17/1000000000*Design!$B$32*1000000) * ($B51+AH51-AG51*AS51/1000) - (AH51+AG51*(1+($A51-25)*Constants!$C$31/100)*IF(ISBLANK(Design!$B$40),Constants!$C$6/1000,Design!$B$40/1000))</f>
        <v>10.029049890734321</v>
      </c>
      <c r="AU51" s="161">
        <f ca="1">IF(AT51&gt;Design!$C$28,Design!$C$28,AT51)</f>
        <v>3.3223709369024856</v>
      </c>
    </row>
    <row r="52" spans="1:47" ht="12.75" customHeight="1" x14ac:dyDescent="0.3">
      <c r="A52" s="154">
        <f>Design!$D$13</f>
        <v>85</v>
      </c>
      <c r="B52" s="155">
        <f t="shared" si="12"/>
        <v>10.975000000000001</v>
      </c>
      <c r="C52" s="156">
        <f>Design!$D$6</f>
        <v>2.5</v>
      </c>
      <c r="D52" s="156">
        <f ca="1">FORECAST(C52, OFFSET(Design!$C$15:$C$17,MATCH(C52,Design!$B$15:$B$17,1)-1,0,2), OFFSET(Design!$B$15:$B$17,MATCH(C52,Design!$B$15:$B$17,1)-1,0,2))+(M52-25)*Design!$B$18/1000</f>
        <v>0.37771326156072738</v>
      </c>
      <c r="E52" s="215">
        <f ca="1">IF(100*(Design!$C$28+D52+C52*IF(ISBLANK(Design!$B$40),Constants!$C$6,Design!$B$40)/1000*(1+Constants!$C$31/100*(N52-25)))/($B52+D52-C52*O52/1000)&gt;Design!$C$35,Design!$C$35,100*(Design!$C$28+D52+C52*IF(ISBLANK(Design!$B$40),Constants!$C$6,Design!$B$40)/1000*(1+Constants!$C$31/100*(N52-25)))/($B52+D52-C52*O52/1000))</f>
        <v>35.369634173487611</v>
      </c>
      <c r="F52" s="157">
        <f ca="1">IF(($B52-C52*IF(ISBLANK(Design!$B$40),Constants!$C$6,Design!$B$40)/1000*(1+Constants!$C$31/100*(N52-25))-Design!$C$28)/(IF(ISBLANK(Design!$B$39),Design!$B$38,Design!$B$39)/1000000)*E52/100/(IF(ISBLANK(Design!$B$32),Design!$B$31,Design!$B$32)*1000000)&lt;0,0,($B52-C52*IF(ISBLANK(Design!$B$40),Constants!$C$6,Design!$B$40)/1000*(1+Constants!$C$31/100*(N52-25))-Design!$C$28)/(IF(ISBLANK(Design!$B$39),Design!$B$38,Design!$B$39)/1000000)*E52/100/(IF(ISBLANK(Design!$B$32),Design!$B$31,Design!$B$32)*1000000))</f>
        <v>0.28331645491713864</v>
      </c>
      <c r="G52" s="207">
        <f>B52*Constants!$C$18/1000+IF(ISBLANK(Design!$B$32),Design!$B$31,Design!$B$32)*1000000*Constants!$D$22/1000000000*(B52-Constants!$C$21)</f>
        <v>4.5621875000000006E-2</v>
      </c>
      <c r="H52" s="207">
        <f>B52*C52*(B52/(Constants!$C$23*1000000000)*IF(ISBLANK(Design!$B$32),Design!$B$31,Design!$B$32)*1000000/2+B52/(Constants!$C$24*1000000000)*IF(ISBLANK(Design!$B$32),Design!$B$31,Design!$B$32)*1000000/2)</f>
        <v>8.0957988380704088E-2</v>
      </c>
      <c r="I52" s="207">
        <f t="shared" ca="1" si="13"/>
        <v>0.38090766874561854</v>
      </c>
      <c r="J52" s="207">
        <f>Constants!$D$22/1000000000*Constants!$C$21*IF(ISBLANK(Design!$B$32),Design!$B$31,Design!$B$32)*1000000</f>
        <v>1.0624999999999999E-2</v>
      </c>
      <c r="K52" s="207">
        <f t="shared" ca="1" si="22"/>
        <v>0.51811253212632258</v>
      </c>
      <c r="L52" s="207">
        <f t="shared" ca="1" si="17"/>
        <v>0.61029365680487413</v>
      </c>
      <c r="M52" s="208">
        <f ca="1">$A52+L52*Design!$B$19</f>
        <v>119.78673843787783</v>
      </c>
      <c r="N52" s="208">
        <f ca="1">K52*Design!$C$12+A52</f>
        <v>102.61582609229497</v>
      </c>
      <c r="O52" s="208">
        <f ca="1">Constants!$D$19+Constants!$D$19*Constants!$C$20/100*(N52-25)</f>
        <v>172.1252480039291</v>
      </c>
      <c r="P52" s="207">
        <f ca="1">(1-Constants!$D$17/1000000000*Design!$B$32*1000000) * ($B52+D52-C52*O52/1000) - (D52+C52*(1+($A52-25)*Constants!$C$31/100)*IF(ISBLANK(Design!$B$40),Constants!$C$6/1000,Design!$B$40/1000))</f>
        <v>9.4618078679583526</v>
      </c>
      <c r="Q52" s="157">
        <f ca="1">IF(P52&gt;Design!$C$28,Design!$C$28,P52)</f>
        <v>3.3223709369024856</v>
      </c>
      <c r="R52" s="158">
        <f>2*Design!$D$6/3</f>
        <v>1.6666666666666667</v>
      </c>
      <c r="S52" s="158">
        <f ca="1">FORECAST(R52, OFFSET(Design!$C$15:$C$17,MATCH(R52,Design!$B$15:$B$17,1)-1,0,2), OFFSET(Design!$B$15:$B$17,MATCH(R52,Design!$B$15:$B$17,1)-1,0,2))+(AB52-25)*Design!$B$18/1000</f>
        <v>0.35206953448413159</v>
      </c>
      <c r="T52" s="224">
        <f ca="1">IF(100*(Design!$C$28+S52+R52*IF(ISBLANK(Design!$B$40),Constants!$C$6,Design!$B$40)/1000*(1+Constants!$C$31/100*(AC52-25)))/($B52+S52-R52*AD52/1000)&gt;Design!$C$35,Design!$C$35,100*(Design!$C$28+S52+R52*IF(ISBLANK(Design!$B$40),Constants!$C$6,Design!$B$40)/1000*(1+Constants!$C$31/100*(AC52-25)))/($B52+S52-R52*AD52/1000))</f>
        <v>34.20994722966649</v>
      </c>
      <c r="U52" s="159">
        <f ca="1">IF(($B52-R52*IF(ISBLANK(Design!$B$40),Constants!$C$6,Design!$B$40)/1000*(1+Constants!$C$31/100*(AC52-25))-Design!$C$28)/(IF(ISBLANK(Design!$B$39),Design!$B$38,Design!$B$39)/1000000)*T52/100/(IF(ISBLANK(Design!$B$32),Design!$B$31,Design!$B$32)*1000000)&lt;0,0,($B52-R52*IF(ISBLANK(Design!$B$40),Constants!$C$6,Design!$B$40)/1000*(1+Constants!$C$31/100*(AC52-25))-Design!$C$28)/(IF(ISBLANK(Design!$B$39),Design!$B$38,Design!$B$39)/1000000)*T52/100/(IF(ISBLANK(Design!$B$32),Design!$B$31,Design!$B$32)*1000000))</f>
        <v>0.27611851977212282</v>
      </c>
      <c r="V52" s="225">
        <f>$B52*Constants!$C$18/1000+IF(ISBLANK(Design!$B$32),Design!$B$31,Design!$B$32)*1000000*Constants!$D$22/1000000000*($B52-Constants!$C$21)</f>
        <v>4.5621875000000006E-2</v>
      </c>
      <c r="W52" s="225">
        <f>$B52*R52*($B52/(Constants!$C$23*1000000000)*IF(ISBLANK(Design!$B$32),Design!$B$31,Design!$B$32)*1000000/2+$B52/(Constants!$C$24*1000000000)*IF(ISBLANK(Design!$B$32),Design!$B$31,Design!$B$32)*1000000/2)</f>
        <v>5.3971992253802732E-2</v>
      </c>
      <c r="X52" s="225">
        <f t="shared" ca="1" si="14"/>
        <v>0.15798429633423128</v>
      </c>
      <c r="Y52" s="225">
        <f>Constants!$D$22/1000000000*Constants!$C$21*IF(ISBLANK(Design!$B$32),Design!$B$31,Design!$B$32)*1000000</f>
        <v>1.0624999999999999E-2</v>
      </c>
      <c r="Z52" s="225">
        <f t="shared" ca="1" si="23"/>
        <v>0.26820316358803398</v>
      </c>
      <c r="AA52" s="225">
        <f t="shared" ca="1" si="19"/>
        <v>0.38604455420896289</v>
      </c>
      <c r="AB52" s="226">
        <f ca="1">$A52+AA52*Design!$B$19</f>
        <v>107.00453958991088</v>
      </c>
      <c r="AC52" s="226">
        <f ca="1">Z52*Design!$C$12+$A52</f>
        <v>94.118907561993154</v>
      </c>
      <c r="AD52" s="226">
        <f ca="1">Constants!$D$19+Constants!$D$19*Constants!$C$20/100*(AC52-25)</f>
        <v>165.87151596562697</v>
      </c>
      <c r="AE52" s="225">
        <f ca="1">(1-Constants!$D$17/1000000000*Design!$B$32*1000000) * ($B52+S52-R52*AD52/1000) - (S52+R52*(1+($A52-25)*Constants!$C$31/100)*IF(ISBLANK(Design!$B$40),Constants!$C$6/1000,Design!$B$40/1000))</f>
        <v>9.6562616943879362</v>
      </c>
      <c r="AF52" s="159">
        <f ca="1">IF(AE52&gt;Design!$C$28,Design!$C$28,AE52)</f>
        <v>3.3223709369024856</v>
      </c>
      <c r="AG52" s="160">
        <f>Design!$D$6/3</f>
        <v>0.83333333333333337</v>
      </c>
      <c r="AH52" s="160">
        <f ca="1">FORECAST(AG52, OFFSET(Design!$C$15:$C$17,MATCH(AG52,Design!$B$15:$B$17,1)-1,0,2), OFFSET(Design!$B$15:$B$17,MATCH(AG52,Design!$B$15:$B$17,1)-1,0,2))+(AQ52-25)*Design!$B$18/1000</f>
        <v>0.29971841460573012</v>
      </c>
      <c r="AI52" s="238">
        <f ca="1">IF(100*(Design!$C$28+AH52+AG52*IF(ISBLANK(Design!$B$40),Constants!$C$6,Design!$B$40)/1000*(1+Constants!$C$31/100*(AR52-25)))/($B52+AH52-AG52*AS52/1000)&gt;Design!$C$35,Design!$C$35,100*(Design!$C$28+AH52+AG52*IF(ISBLANK(Design!$B$40),Constants!$C$6,Design!$B$40)/1000*(1+Constants!$C$31/100*(AR52-25)))/($B52+AH52-AG52*AS52/1000))</f>
        <v>32.983801576909144</v>
      </c>
      <c r="AJ52" s="161">
        <f ca="1">IF(($B52-AG52*IF(ISBLANK(Design!$B$40),Constants!$C$6,Design!$B$40)/1000*(1+Constants!$C$31/100*(AR52-25))-Design!$C$28)/(IF(ISBLANK(Design!$B$39),Design!$B$38,Design!$B$39)/1000000)*AI52/100/(IF(ISBLANK(Design!$B$32),Design!$B$31,Design!$B$32)*1000000)&lt;0,0,($B52-AG52*IF(ISBLANK(Design!$B$40),Constants!$C$6,Design!$B$40)/1000*(1+Constants!$C$31/100*(AR52-25))-Design!$C$28)/(IF(ISBLANK(Design!$B$39),Design!$B$38,Design!$B$39)/1000000)*AI52/100/(IF(ISBLANK(Design!$B$32),Design!$B$31,Design!$B$32)*1000000))</f>
        <v>0.26812004529896954</v>
      </c>
      <c r="AK52" s="239">
        <f>$B52*Constants!$C$18/1000+IF(ISBLANK(Design!$B$32),Design!$B$31,Design!$B$32)*1000000*Constants!$D$22/1000000000*($B52-Constants!$C$21)</f>
        <v>4.5621875000000006E-2</v>
      </c>
      <c r="AL52" s="239">
        <f>$B52*AG52*($B52/(Constants!$C$23*1000000000)*IF(ISBLANK(Design!$B$32),Design!$B$31,Design!$B$32)*1000000/2+$B52/(Constants!$C$24*1000000000)*IF(ISBLANK(Design!$B$32),Design!$B$31,Design!$B$32)*1000000/2)</f>
        <v>2.6985996126901366E-2</v>
      </c>
      <c r="AM52" s="239">
        <f t="shared" ca="1" si="15"/>
        <v>3.7468567622728988E-2</v>
      </c>
      <c r="AN52" s="239">
        <f>Constants!$D$22/1000000000*Constants!$C$21*IF(ISBLANK(Design!$B$32),Design!$B$31,Design!$B$32)*1000000</f>
        <v>1.0624999999999999E-2</v>
      </c>
      <c r="AO52" s="239">
        <f t="shared" ca="1" si="24"/>
        <v>0.12070143874963035</v>
      </c>
      <c r="AP52" s="239">
        <f t="shared" ca="1" si="21"/>
        <v>0.16738323953559853</v>
      </c>
      <c r="AQ52" s="240">
        <f ca="1">$A52+AP52*Design!$B$19</f>
        <v>94.54084465352912</v>
      </c>
      <c r="AR52" s="240">
        <f ca="1">AO52*Design!$C$12+$A52</f>
        <v>89.103848917487426</v>
      </c>
      <c r="AS52" s="240">
        <f ca="1">Constants!$D$19+Constants!$D$19*Constants!$C$20/100*(AR52-25)</f>
        <v>162.18043280327075</v>
      </c>
      <c r="AT52" s="239">
        <f ca="1">(1-Constants!$D$17/1000000000*Design!$B$32*1000000) * ($B52+AH52-AG52*AS52/1000) - (AH52+AG52*(1+($A52-25)*Constants!$C$31/100)*IF(ISBLANK(Design!$B$40),Constants!$C$6/1000,Design!$B$40/1000))</f>
        <v>9.8414946880793526</v>
      </c>
      <c r="AU52" s="161">
        <f ca="1">IF(AT52&gt;Design!$C$28,Design!$C$28,AT52)</f>
        <v>3.3223709369024856</v>
      </c>
    </row>
    <row r="53" spans="1:47" ht="12.75" customHeight="1" x14ac:dyDescent="0.3">
      <c r="A53" s="154">
        <f>Design!$D$13</f>
        <v>85</v>
      </c>
      <c r="B53" s="155">
        <f t="shared" si="12"/>
        <v>10.770000000000001</v>
      </c>
      <c r="C53" s="156">
        <f>Design!$D$6</f>
        <v>2.5</v>
      </c>
      <c r="D53" s="156">
        <f ca="1">FORECAST(C53, OFFSET(Design!$C$15:$C$17,MATCH(C53,Design!$B$15:$B$17,1)-1,0,2), OFFSET(Design!$B$15:$B$17,MATCH(C53,Design!$B$15:$B$17,1)-1,0,2))+(M53-25)*Design!$B$18/1000</f>
        <v>0.37804860464032652</v>
      </c>
      <c r="E53" s="215">
        <f ca="1">IF(100*(Design!$C$28+D53+C53*IF(ISBLANK(Design!$B$40),Constants!$C$6,Design!$B$40)/1000*(1+Constants!$C$31/100*(N53-25)))/($B53+D53-C53*O53/1000)&gt;Design!$C$35,Design!$C$35,100*(Design!$C$28+D53+C53*IF(ISBLANK(Design!$B$40),Constants!$C$6,Design!$B$40)/1000*(1+Constants!$C$31/100*(N53-25)))/($B53+D53-C53*O53/1000))</f>
        <v>36.049445762702319</v>
      </c>
      <c r="F53" s="157">
        <f ca="1">IF(($B53-C53*IF(ISBLANK(Design!$B$40),Constants!$C$6,Design!$B$40)/1000*(1+Constants!$C$31/100*(N53-25))-Design!$C$28)/(IF(ISBLANK(Design!$B$39),Design!$B$38,Design!$B$39)/1000000)*E53/100/(IF(ISBLANK(Design!$B$32),Design!$B$31,Design!$B$32)*1000000)&lt;0,0,($B53-C53*IF(ISBLANK(Design!$B$40),Constants!$C$6,Design!$B$40)/1000*(1+Constants!$C$31/100*(N53-25))-Design!$C$28)/(IF(ISBLANK(Design!$B$39),Design!$B$38,Design!$B$39)/1000000)*E53/100/(IF(ISBLANK(Design!$B$32),Design!$B$31,Design!$B$32)*1000000))</f>
        <v>0.28085573601536334</v>
      </c>
      <c r="G53" s="207">
        <f>B53*Constants!$C$18/1000+IF(ISBLANK(Design!$B$32),Design!$B$31,Design!$B$32)*1000000*Constants!$D$22/1000000000*(B53-Constants!$C$21)</f>
        <v>4.4571250000000007E-2</v>
      </c>
      <c r="H53" s="207">
        <f>B53*C53*(B53/(Constants!$C$23*1000000000)*IF(ISBLANK(Design!$B$32),Design!$B$31,Design!$B$32)*1000000/2+B53/(Constants!$C$24*1000000000)*IF(ISBLANK(Design!$B$32),Design!$B$31,Design!$B$32)*1000000/2)</f>
        <v>7.796183581815512E-2</v>
      </c>
      <c r="I53" s="207">
        <f t="shared" ca="1" si="13"/>
        <v>0.38841704459981002</v>
      </c>
      <c r="J53" s="207">
        <f>Constants!$D$22/1000000000*Constants!$C$21*IF(ISBLANK(Design!$B$32),Design!$B$31,Design!$B$32)*1000000</f>
        <v>1.0624999999999999E-2</v>
      </c>
      <c r="K53" s="207">
        <f t="shared" ca="1" si="22"/>
        <v>0.5215751304179651</v>
      </c>
      <c r="L53" s="207">
        <f t="shared" ca="1" si="17"/>
        <v>0.60441044488464768</v>
      </c>
      <c r="M53" s="208">
        <f ca="1">$A53+L53*Design!$B$19</f>
        <v>119.45139535842492</v>
      </c>
      <c r="N53" s="208">
        <f ca="1">K53*Design!$C$12+A53</f>
        <v>102.73355443421082</v>
      </c>
      <c r="O53" s="208">
        <f ca="1">Constants!$D$19+Constants!$D$19*Constants!$C$20/100*(N53-25)</f>
        <v>172.21189606357916</v>
      </c>
      <c r="P53" s="207">
        <f ca="1">(1-Constants!$D$17/1000000000*Design!$B$32*1000000) * ($B53+D53-C53*O53/1000) - (D53+C53*(1+($A53-25)*Constants!$C$31/100)*IF(ISBLANK(Design!$B$40),Constants!$C$6/1000,Design!$B$40/1000))</f>
        <v>9.2740061563601373</v>
      </c>
      <c r="Q53" s="157">
        <f ca="1">IF(P53&gt;Design!$C$28,Design!$C$28,P53)</f>
        <v>3.3223709369024856</v>
      </c>
      <c r="R53" s="158">
        <f>2*Design!$D$6/3</f>
        <v>1.6666666666666667</v>
      </c>
      <c r="S53" s="158">
        <f ca="1">FORECAST(R53, OFFSET(Design!$C$15:$C$17,MATCH(R53,Design!$B$15:$B$17,1)-1,0,2), OFFSET(Design!$B$15:$B$17,MATCH(R53,Design!$B$15:$B$17,1)-1,0,2))+(AB53-25)*Design!$B$18/1000</f>
        <v>0.35227358546961929</v>
      </c>
      <c r="T53" s="224">
        <f ca="1">IF(100*(Design!$C$28+S53+R53*IF(ISBLANK(Design!$B$40),Constants!$C$6,Design!$B$40)/1000*(1+Constants!$C$31/100*(AC53-25)))/($B53+S53-R53*AD53/1000)&gt;Design!$C$35,Design!$C$35,100*(Design!$C$28+S53+R53*IF(ISBLANK(Design!$B$40),Constants!$C$6,Design!$B$40)/1000*(1+Constants!$C$31/100*(AC53-25)))/($B53+S53-R53*AD53/1000))</f>
        <v>34.857781883051636</v>
      </c>
      <c r="U53" s="159">
        <f ca="1">IF(($B53-R53*IF(ISBLANK(Design!$B$40),Constants!$C$6,Design!$B$40)/1000*(1+Constants!$C$31/100*(AC53-25))-Design!$C$28)/(IF(ISBLANK(Design!$B$39),Design!$B$38,Design!$B$39)/1000000)*T53/100/(IF(ISBLANK(Design!$B$32),Design!$B$31,Design!$B$32)*1000000)&lt;0,0,($B53-R53*IF(ISBLANK(Design!$B$40),Constants!$C$6,Design!$B$40)/1000*(1+Constants!$C$31/100*(AC53-25))-Design!$C$28)/(IF(ISBLANK(Design!$B$39),Design!$B$38,Design!$B$39)/1000000)*T53/100/(IF(ISBLANK(Design!$B$32),Design!$B$31,Design!$B$32)*1000000))</f>
        <v>0.27370479470325537</v>
      </c>
      <c r="V53" s="225">
        <f>$B53*Constants!$C$18/1000+IF(ISBLANK(Design!$B$32),Design!$B$31,Design!$B$32)*1000000*Constants!$D$22/1000000000*($B53-Constants!$C$21)</f>
        <v>4.4571250000000007E-2</v>
      </c>
      <c r="W53" s="225">
        <f>$B53*R53*($B53/(Constants!$C$23*1000000000)*IF(ISBLANK(Design!$B$32),Design!$B$31,Design!$B$32)*1000000/2+$B53/(Constants!$C$24*1000000000)*IF(ISBLANK(Design!$B$32),Design!$B$31,Design!$B$32)*1000000/2)</f>
        <v>5.1974557212103416E-2</v>
      </c>
      <c r="X53" s="225">
        <f t="shared" ca="1" si="14"/>
        <v>0.16096809403058093</v>
      </c>
      <c r="Y53" s="225">
        <f>Constants!$D$22/1000000000*Constants!$C$21*IF(ISBLANK(Design!$B$32),Design!$B$31,Design!$B$32)*1000000</f>
        <v>1.0624999999999999E-2</v>
      </c>
      <c r="Z53" s="225">
        <f t="shared" ca="1" si="23"/>
        <v>0.26813890124268436</v>
      </c>
      <c r="AA53" s="225">
        <f t="shared" ca="1" si="19"/>
        <v>0.3824647123583565</v>
      </c>
      <c r="AB53" s="226">
        <f ca="1">$A53+AA53*Design!$B$19</f>
        <v>106.80048860442632</v>
      </c>
      <c r="AC53" s="226">
        <f ca="1">Z53*Design!$C$12+$A53</f>
        <v>94.116722642251261</v>
      </c>
      <c r="AD53" s="226">
        <f ca="1">Constants!$D$19+Constants!$D$19*Constants!$C$20/100*(AC53-25)</f>
        <v>165.86990786469693</v>
      </c>
      <c r="AE53" s="225">
        <f ca="1">(1-Constants!$D$17/1000000000*Design!$B$32*1000000) * ($B53+S53-R53*AD53/1000) - (S53+R53*(1+($A53-25)*Constants!$C$31/100)*IF(ISBLANK(Design!$B$40),Constants!$C$6/1000,Design!$B$40/1000))</f>
        <v>9.4686718024080889</v>
      </c>
      <c r="AF53" s="159">
        <f ca="1">IF(AE53&gt;Design!$C$28,Design!$C$28,AE53)</f>
        <v>3.3223709369024856</v>
      </c>
      <c r="AG53" s="160">
        <f>Design!$D$6/3</f>
        <v>0.83333333333333337</v>
      </c>
      <c r="AH53" s="160">
        <f ca="1">FORECAST(AG53, OFFSET(Design!$C$15:$C$17,MATCH(AG53,Design!$B$15:$B$17,1)-1,0,2), OFFSET(Design!$B$15:$B$17,MATCH(AG53,Design!$B$15:$B$17,1)-1,0,2))+(AQ53-25)*Design!$B$18/1000</f>
        <v>0.2998038088610373</v>
      </c>
      <c r="AI53" s="238">
        <f ca="1">IF(100*(Design!$C$28+AH53+AG53*IF(ISBLANK(Design!$B$40),Constants!$C$6,Design!$B$40)/1000*(1+Constants!$C$31/100*(AR53-25)))/($B53+AH53-AG53*AS53/1000)&gt;Design!$C$35,Design!$C$35,100*(Design!$C$28+AH53+AG53*IF(ISBLANK(Design!$B$40),Constants!$C$6,Design!$B$40)/1000*(1+Constants!$C$31/100*(AR53-25)))/($B53+AH53-AG53*AS53/1000))</f>
        <v>33.602540140160244</v>
      </c>
      <c r="AJ53" s="161">
        <f ca="1">IF(($B53-AG53*IF(ISBLANK(Design!$B$40),Constants!$C$6,Design!$B$40)/1000*(1+Constants!$C$31/100*(AR53-25))-Design!$C$28)/(IF(ISBLANK(Design!$B$39),Design!$B$38,Design!$B$39)/1000000)*AI53/100/(IF(ISBLANK(Design!$B$32),Design!$B$31,Design!$B$32)*1000000)&lt;0,0,($B53-AG53*IF(ISBLANK(Design!$B$40),Constants!$C$6,Design!$B$40)/1000*(1+Constants!$C$31/100*(AR53-25))-Design!$C$28)/(IF(ISBLANK(Design!$B$39),Design!$B$38,Design!$B$39)/1000000)*AI53/100/(IF(ISBLANK(Design!$B$32),Design!$B$31,Design!$B$32)*1000000))</f>
        <v>0.2657825423766606</v>
      </c>
      <c r="AK53" s="239">
        <f>$B53*Constants!$C$18/1000+IF(ISBLANK(Design!$B$32),Design!$B$31,Design!$B$32)*1000000*Constants!$D$22/1000000000*($B53-Constants!$C$21)</f>
        <v>4.4571250000000007E-2</v>
      </c>
      <c r="AL53" s="239">
        <f>$B53*AG53*($B53/(Constants!$C$23*1000000000)*IF(ISBLANK(Design!$B$32),Design!$B$31,Design!$B$32)*1000000/2+$B53/(Constants!$C$24*1000000000)*IF(ISBLANK(Design!$B$32),Design!$B$31,Design!$B$32)*1000000/2)</f>
        <v>2.5987278606051708E-2</v>
      </c>
      <c r="AM53" s="239">
        <f t="shared" ca="1" si="15"/>
        <v>3.8157757868820717E-2</v>
      </c>
      <c r="AN53" s="239">
        <f>Constants!$D$22/1000000000*Constants!$C$21*IF(ISBLANK(Design!$B$32),Design!$B$31,Design!$B$32)*1000000</f>
        <v>1.0624999999999999E-2</v>
      </c>
      <c r="AO53" s="239">
        <f t="shared" ca="1" si="24"/>
        <v>0.11934128647487244</v>
      </c>
      <c r="AP53" s="239">
        <f t="shared" ca="1" si="21"/>
        <v>0.1658850947056483</v>
      </c>
      <c r="AQ53" s="240">
        <f ca="1">$A53+AP53*Design!$B$19</f>
        <v>94.455450398221956</v>
      </c>
      <c r="AR53" s="240">
        <f ca="1">AO53*Design!$C$12+$A53</f>
        <v>89.057603740145666</v>
      </c>
      <c r="AS53" s="240">
        <f ca="1">Constants!$D$19+Constants!$D$19*Constants!$C$20/100*(AR53-25)</f>
        <v>162.14639635274722</v>
      </c>
      <c r="AT53" s="239">
        <f ca="1">(1-Constants!$D$17/1000000000*Design!$B$32*1000000) * ($B53+AH53-AG53*AS53/1000) - (AH53+AG53*(1+($A53-25)*Constants!$C$31/100)*IF(ISBLANK(Design!$B$40),Constants!$C$6/1000,Design!$B$40/1000))</f>
        <v>9.6539383823611775</v>
      </c>
      <c r="AU53" s="161">
        <f ca="1">IF(AT53&gt;Design!$C$28,Design!$C$28,AT53)</f>
        <v>3.3223709369024856</v>
      </c>
    </row>
    <row r="54" spans="1:47" ht="12.75" customHeight="1" x14ac:dyDescent="0.3">
      <c r="A54" s="154">
        <f>Design!$D$13</f>
        <v>85</v>
      </c>
      <c r="B54" s="155">
        <f t="shared" si="12"/>
        <v>10.565000000000001</v>
      </c>
      <c r="C54" s="156">
        <f>Design!$D$6</f>
        <v>2.5</v>
      </c>
      <c r="D54" s="156">
        <f ca="1">FORECAST(C54, OFFSET(Design!$C$15:$C$17,MATCH(C54,Design!$B$15:$B$17,1)-1,0,2), OFFSET(Design!$B$15:$B$17,MATCH(C54,Design!$B$15:$B$17,1)-1,0,2))+(M54-25)*Design!$B$18/1000</f>
        <v>0.37839776080484627</v>
      </c>
      <c r="E54" s="215">
        <f ca="1">IF(100*(Design!$C$28+D54+C54*IF(ISBLANK(Design!$B$40),Constants!$C$6,Design!$B$40)/1000*(1+Constants!$C$31/100*(N54-25)))/($B54+D54-C54*O54/1000)&gt;Design!$C$35,Design!$C$35,100*(Design!$C$28+D54+C54*IF(ISBLANK(Design!$B$40),Constants!$C$6,Design!$B$40)/1000*(1+Constants!$C$31/100*(N54-25)))/($B54+D54-C54*O54/1000))</f>
        <v>36.755979013348501</v>
      </c>
      <c r="F54" s="157">
        <f ca="1">IF(($B54-C54*IF(ISBLANK(Design!$B$40),Constants!$C$6,Design!$B$40)/1000*(1+Constants!$C$31/100*(N54-25))-Design!$C$28)/(IF(ISBLANK(Design!$B$39),Design!$B$38,Design!$B$39)/1000000)*E54/100/(IF(ISBLANK(Design!$B$32),Design!$B$31,Design!$B$32)*1000000)&lt;0,0,($B54-C54*IF(ISBLANK(Design!$B$40),Constants!$C$6,Design!$B$40)/1000*(1+Constants!$C$31/100*(N54-25))-Design!$C$28)/(IF(ISBLANK(Design!$B$39),Design!$B$38,Design!$B$39)/1000000)*E54/100/(IF(ISBLANK(Design!$B$32),Design!$B$31,Design!$B$32)*1000000))</f>
        <v>0.27829891296279163</v>
      </c>
      <c r="G54" s="207">
        <f>B54*Constants!$C$18/1000+IF(ISBLANK(Design!$B$32),Design!$B$31,Design!$B$32)*1000000*Constants!$D$22/1000000000*(B54-Constants!$C$21)</f>
        <v>4.3520625000000007E-2</v>
      </c>
      <c r="H54" s="207">
        <f>B54*C54*(B54/(Constants!$C$23*1000000000)*IF(ISBLANK(Design!$B$32),Design!$B$31,Design!$B$32)*1000000/2+B54/(Constants!$C$24*1000000000)*IF(ISBLANK(Design!$B$32),Design!$B$31,Design!$B$32)*1000000/2)</f>
        <v>7.5022175440046038E-2</v>
      </c>
      <c r="I54" s="207">
        <f t="shared" ca="1" si="13"/>
        <v>0.39624280599104683</v>
      </c>
      <c r="J54" s="207">
        <f>Constants!$D$22/1000000000*Constants!$C$21*IF(ISBLANK(Design!$B$32),Design!$B$31,Design!$B$32)*1000000</f>
        <v>1.0624999999999999E-2</v>
      </c>
      <c r="K54" s="207">
        <f t="shared" ca="1" si="22"/>
        <v>0.52541060643109283</v>
      </c>
      <c r="L54" s="207">
        <f t="shared" ca="1" si="17"/>
        <v>0.59828489814109076</v>
      </c>
      <c r="M54" s="208">
        <f ca="1">$A54+L54*Design!$B$19</f>
        <v>119.10223919404217</v>
      </c>
      <c r="N54" s="208">
        <f ca="1">K54*Design!$C$12+A54</f>
        <v>102.86396061865716</v>
      </c>
      <c r="O54" s="208">
        <f ca="1">Constants!$D$19+Constants!$D$19*Constants!$C$20/100*(N54-25)</f>
        <v>172.30787501533166</v>
      </c>
      <c r="P54" s="207">
        <f ca="1">(1-Constants!$D$17/1000000000*Design!$B$32*1000000) * ($B54+D54-C54*O54/1000) - (D54+C54*(1+($A54-25)*Constants!$C$31/100)*IF(ISBLANK(Design!$B$40),Constants!$C$6/1000,Design!$B$40/1000))</f>
        <v>9.0861819262340173</v>
      </c>
      <c r="Q54" s="157">
        <f ca="1">IF(P54&gt;Design!$C$28,Design!$C$28,P54)</f>
        <v>3.3223709369024856</v>
      </c>
      <c r="R54" s="158">
        <f>2*Design!$D$6/3</f>
        <v>1.6666666666666667</v>
      </c>
      <c r="S54" s="158">
        <f ca="1">FORECAST(R54, OFFSET(Design!$C$15:$C$17,MATCH(R54,Design!$B$15:$B$17,1)-1,0,2), OFFSET(Design!$B$15:$B$17,MATCH(R54,Design!$B$15:$B$17,1)-1,0,2))+(AB54-25)*Design!$B$18/1000</f>
        <v>0.35248576873874282</v>
      </c>
      <c r="T54" s="224">
        <f ca="1">IF(100*(Design!$C$28+S54+R54*IF(ISBLANK(Design!$B$40),Constants!$C$6,Design!$B$40)/1000*(1+Constants!$C$31/100*(AC54-25)))/($B54+S54-R54*AD54/1000)&gt;Design!$C$35,Design!$C$35,100*(Design!$C$28+S54+R54*IF(ISBLANK(Design!$B$40),Constants!$C$6,Design!$B$40)/1000*(1+Constants!$C$31/100*(AC54-25)))/($B54+S54-R54*AD54/1000))</f>
        <v>35.53063996537162</v>
      </c>
      <c r="U54" s="159">
        <f ca="1">IF(($B54-R54*IF(ISBLANK(Design!$B$40),Constants!$C$6,Design!$B$40)/1000*(1+Constants!$C$31/100*(AC54-25))-Design!$C$28)/(IF(ISBLANK(Design!$B$39),Design!$B$38,Design!$B$39)/1000000)*T54/100/(IF(ISBLANK(Design!$B$32),Design!$B$31,Design!$B$32)*1000000)&lt;0,0,($B54-R54*IF(ISBLANK(Design!$B$40),Constants!$C$6,Design!$B$40)/1000*(1+Constants!$C$31/100*(AC54-25))-Design!$C$28)/(IF(ISBLANK(Design!$B$39),Design!$B$38,Design!$B$39)/1000000)*T54/100/(IF(ISBLANK(Design!$B$32),Design!$B$31,Design!$B$32)*1000000))</f>
        <v>0.27119792576845581</v>
      </c>
      <c r="V54" s="225">
        <f>$B54*Constants!$C$18/1000+IF(ISBLANK(Design!$B$32),Design!$B$31,Design!$B$32)*1000000*Constants!$D$22/1000000000*($B54-Constants!$C$21)</f>
        <v>4.3520625000000007E-2</v>
      </c>
      <c r="W54" s="225">
        <f>$B54*R54*($B54/(Constants!$C$23*1000000000)*IF(ISBLANK(Design!$B$32),Design!$B$31,Design!$B$32)*1000000/2+$B54/(Constants!$C$24*1000000000)*IF(ISBLANK(Design!$B$32),Design!$B$31,Design!$B$32)*1000000/2)</f>
        <v>5.0014783626697375E-2</v>
      </c>
      <c r="X54" s="225">
        <f t="shared" ca="1" si="14"/>
        <v>0.16407083022262689</v>
      </c>
      <c r="Y54" s="225">
        <f>Constants!$D$22/1000000000*Constants!$C$21*IF(ISBLANK(Design!$B$32),Design!$B$31,Design!$B$32)*1000000</f>
        <v>1.0624999999999999E-2</v>
      </c>
      <c r="Z54" s="225">
        <f t="shared" ca="1" si="23"/>
        <v>0.26823123884932426</v>
      </c>
      <c r="AA54" s="225">
        <f t="shared" ca="1" si="19"/>
        <v>0.37874219886501281</v>
      </c>
      <c r="AB54" s="226">
        <f ca="1">$A54+AA54*Design!$B$19</f>
        <v>106.58830533530573</v>
      </c>
      <c r="AC54" s="226">
        <f ca="1">Z54*Design!$C$12+$A54</f>
        <v>94.119862120877031</v>
      </c>
      <c r="AD54" s="226">
        <f ca="1">Constants!$D$19+Constants!$D$19*Constants!$C$20/100*(AC54-25)</f>
        <v>165.8722185209655</v>
      </c>
      <c r="AE54" s="225">
        <f ca="1">(1-Constants!$D$17/1000000000*Design!$B$32*1000000) * ($B54+S54-R54*AD54/1000) - (S54+R54*(1+($A54-25)*Constants!$C$31/100)*IF(ISBLANK(Design!$B$40),Constants!$C$6/1000,Design!$B$40/1000))</f>
        <v>9.2810752430794032</v>
      </c>
      <c r="AF54" s="159">
        <f ca="1">IF(AE54&gt;Design!$C$28,Design!$C$28,AE54)</f>
        <v>3.3223709369024856</v>
      </c>
      <c r="AG54" s="160">
        <f>Design!$D$6/3</f>
        <v>0.83333333333333337</v>
      </c>
      <c r="AH54" s="160">
        <f ca="1">FORECAST(AG54, OFFSET(Design!$C$15:$C$17,MATCH(AG54,Design!$B$15:$B$17,1)-1,0,2), OFFSET(Design!$B$15:$B$17,MATCH(AG54,Design!$B$15:$B$17,1)-1,0,2))+(AQ54-25)*Design!$B$18/1000</f>
        <v>0.29989251938228434</v>
      </c>
      <c r="AI54" s="238">
        <f ca="1">IF(100*(Design!$C$28+AH54+AG54*IF(ISBLANK(Design!$B$40),Constants!$C$6,Design!$B$40)/1000*(1+Constants!$C$31/100*(AR54-25)))/($B54+AH54-AG54*AS54/1000)&gt;Design!$C$35,Design!$C$35,100*(Design!$C$28+AH54+AG54*IF(ISBLANK(Design!$B$40),Constants!$C$6,Design!$B$40)/1000*(1+Constants!$C$31/100*(AR54-25)))/($B54+AH54-AG54*AS54/1000))</f>
        <v>34.244934107737102</v>
      </c>
      <c r="AJ54" s="161">
        <f ca="1">IF(($B54-AG54*IF(ISBLANK(Design!$B$40),Constants!$C$6,Design!$B$40)/1000*(1+Constants!$C$31/100*(AR54-25))-Design!$C$28)/(IF(ISBLANK(Design!$B$39),Design!$B$38,Design!$B$39)/1000000)*AI54/100/(IF(ISBLANK(Design!$B$32),Design!$B$31,Design!$B$32)*1000000)&lt;0,0,($B54-AG54*IF(ISBLANK(Design!$B$40),Constants!$C$6,Design!$B$40)/1000*(1+Constants!$C$31/100*(AR54-25))-Design!$C$28)/(IF(ISBLANK(Design!$B$39),Design!$B$38,Design!$B$39)/1000000)*AI54/100/(IF(ISBLANK(Design!$B$32),Design!$B$31,Design!$B$32)*1000000))</f>
        <v>0.26335564014973512</v>
      </c>
      <c r="AK54" s="239">
        <f>$B54*Constants!$C$18/1000+IF(ISBLANK(Design!$B$32),Design!$B$31,Design!$B$32)*1000000*Constants!$D$22/1000000000*($B54-Constants!$C$21)</f>
        <v>4.3520625000000007E-2</v>
      </c>
      <c r="AL54" s="239">
        <f>$B54*AG54*($B54/(Constants!$C$23*1000000000)*IF(ISBLANK(Design!$B$32),Design!$B$31,Design!$B$32)*1000000/2+$B54/(Constants!$C$24*1000000000)*IF(ISBLANK(Design!$B$32),Design!$B$31,Design!$B$32)*1000000/2)</f>
        <v>2.5007391813348687E-2</v>
      </c>
      <c r="AM54" s="239">
        <f t="shared" ca="1" si="15"/>
        <v>3.8873403805974822E-2</v>
      </c>
      <c r="AN54" s="239">
        <f>Constants!$D$22/1000000000*Constants!$C$21*IF(ISBLANK(Design!$B$32),Design!$B$31,Design!$B$32)*1000000</f>
        <v>1.0624999999999999E-2</v>
      </c>
      <c r="AO54" s="239">
        <f t="shared" ca="1" si="24"/>
        <v>0.1180264206193235</v>
      </c>
      <c r="AP54" s="239">
        <f t="shared" ca="1" si="21"/>
        <v>0.1643287697714903</v>
      </c>
      <c r="AQ54" s="240">
        <f ca="1">$A54+AP54*Design!$B$19</f>
        <v>94.366739876974947</v>
      </c>
      <c r="AR54" s="240">
        <f ca="1">AO54*Design!$C$12+$A54</f>
        <v>89.012898301056993</v>
      </c>
      <c r="AS54" s="240">
        <f ca="1">Constants!$D$19+Constants!$D$19*Constants!$C$20/100*(AR54-25)</f>
        <v>162.11349314957795</v>
      </c>
      <c r="AT54" s="239">
        <f ca="1">(1-Constants!$D$17/1000000000*Design!$B$32*1000000) * ($B54+AH54-AG54*AS54/1000) - (AH54+AG54*(1+($A54-25)*Constants!$C$31/100)*IF(ISBLANK(Design!$B$40),Constants!$C$6/1000,Design!$B$40/1000))</f>
        <v>9.4663809306592857</v>
      </c>
      <c r="AU54" s="161">
        <f ca="1">IF(AT54&gt;Design!$C$28,Design!$C$28,AT54)</f>
        <v>3.3223709369024856</v>
      </c>
    </row>
    <row r="55" spans="1:47" ht="12.75" customHeight="1" x14ac:dyDescent="0.3">
      <c r="A55" s="154">
        <f>Design!$D$13</f>
        <v>85</v>
      </c>
      <c r="B55" s="155">
        <f t="shared" si="12"/>
        <v>10.360000000000001</v>
      </c>
      <c r="C55" s="156">
        <f>Design!$D$6</f>
        <v>2.5</v>
      </c>
      <c r="D55" s="156">
        <f ca="1">FORECAST(C55, OFFSET(Design!$C$15:$C$17,MATCH(C55,Design!$B$15:$B$17,1)-1,0,2), OFFSET(Design!$B$15:$B$17,MATCH(C55,Design!$B$15:$B$17,1)-1,0,2))+(M55-25)*Design!$B$18/1000</f>
        <v>0.37876160218792376</v>
      </c>
      <c r="E55" s="215">
        <f ca="1">IF(100*(Design!$C$28+D55+C55*IF(ISBLANK(Design!$B$40),Constants!$C$6,Design!$B$40)/1000*(1+Constants!$C$31/100*(N55-25)))/($B55+D55-C55*O55/1000)&gt;Design!$C$35,Design!$C$35,100*(Design!$C$28+D55+C55*IF(ISBLANK(Design!$B$40),Constants!$C$6,Design!$B$40)/1000*(1+Constants!$C$31/100*(N55-25)))/($B55+D55-C55*O55/1000))</f>
        <v>37.490842517832448</v>
      </c>
      <c r="F55" s="157">
        <f ca="1">IF(($B55-C55*IF(ISBLANK(Design!$B$40),Constants!$C$6,Design!$B$40)/1000*(1+Constants!$C$31/100*(N55-25))-Design!$C$28)/(IF(ISBLANK(Design!$B$39),Design!$B$38,Design!$B$39)/1000000)*E55/100/(IF(ISBLANK(Design!$B$32),Design!$B$31,Design!$B$32)*1000000)&lt;0,0,($B55-C55*IF(ISBLANK(Design!$B$40),Constants!$C$6,Design!$B$40)/1000*(1+Constants!$C$31/100*(N55-25))-Design!$C$28)/(IF(ISBLANK(Design!$B$39),Design!$B$38,Design!$B$39)/1000000)*E55/100/(IF(ISBLANK(Design!$B$32),Design!$B$31,Design!$B$32)*1000000))</f>
        <v>0.27564020302386344</v>
      </c>
      <c r="G55" s="207">
        <f>B55*Constants!$C$18/1000+IF(ISBLANK(Design!$B$32),Design!$B$31,Design!$B$32)*1000000*Constants!$D$22/1000000000*(B55-Constants!$C$21)</f>
        <v>4.2470000000000008E-2</v>
      </c>
      <c r="H55" s="207">
        <f>B55*C55*(B55/(Constants!$C$23*1000000000)*IF(ISBLANK(Design!$B$32),Design!$B$31,Design!$B$32)*1000000/2+B55/(Constants!$C$24*1000000000)*IF(ISBLANK(Design!$B$32),Design!$B$31,Design!$B$32)*1000000/2)</f>
        <v>7.2139007246376827E-2</v>
      </c>
      <c r="I55" s="207">
        <f t="shared" ca="1" si="13"/>
        <v>0.40440516944395377</v>
      </c>
      <c r="J55" s="207">
        <f>Constants!$D$22/1000000000*Constants!$C$21*IF(ISBLANK(Design!$B$32),Design!$B$31,Design!$B$32)*1000000</f>
        <v>1.0624999999999999E-2</v>
      </c>
      <c r="K55" s="207">
        <f t="shared" ca="1" si="22"/>
        <v>0.52963917669033056</v>
      </c>
      <c r="L55" s="207">
        <f t="shared" ca="1" si="17"/>
        <v>0.5919017159840757</v>
      </c>
      <c r="M55" s="208">
        <f ca="1">$A55+L55*Design!$B$19</f>
        <v>118.73839781109231</v>
      </c>
      <c r="N55" s="208">
        <f ca="1">K55*Design!$C$12+A55</f>
        <v>103.00773200747125</v>
      </c>
      <c r="O55" s="208">
        <f ca="1">Constants!$D$19+Constants!$D$19*Constants!$C$20/100*(N55-25)</f>
        <v>172.41369075749884</v>
      </c>
      <c r="P55" s="207">
        <f ca="1">(1-Constants!$D$17/1000000000*Design!$B$32*1000000) * ($B55+D55-C55*O55/1000) - (D55+C55*(1+($A55-25)*Constants!$C$31/100)*IF(ISBLANK(Design!$B$40),Constants!$C$6/1000,Design!$B$40/1000))</f>
        <v>8.8983339462062503</v>
      </c>
      <c r="Q55" s="157">
        <f ca="1">IF(P55&gt;Design!$C$28,Design!$C$28,P55)</f>
        <v>3.3223709369024856</v>
      </c>
      <c r="R55" s="158">
        <f>2*Design!$D$6/3</f>
        <v>1.6666666666666667</v>
      </c>
      <c r="S55" s="158">
        <f ca="1">FORECAST(R55, OFFSET(Design!$C$15:$C$17,MATCH(R55,Design!$B$15:$B$17,1)-1,0,2), OFFSET(Design!$B$15:$B$17,MATCH(R55,Design!$B$15:$B$17,1)-1,0,2))+(AB55-25)*Design!$B$18/1000</f>
        <v>0.35270658009701128</v>
      </c>
      <c r="T55" s="224">
        <f ca="1">IF(100*(Design!$C$28+S55+R55*IF(ISBLANK(Design!$B$40),Constants!$C$6,Design!$B$40)/1000*(1+Constants!$C$31/100*(AC55-25)))/($B55+S55-R55*AD55/1000)&gt;Design!$C$35,Design!$C$35,100*(Design!$C$28+S55+R55*IF(ISBLANK(Design!$B$40),Constants!$C$6,Design!$B$40)/1000*(1+Constants!$C$31/100*(AC55-25)))/($B55+S55-R55*AD55/1000))</f>
        <v>36.229999119909728</v>
      </c>
      <c r="U55" s="159">
        <f ca="1">IF(($B55-R55*IF(ISBLANK(Design!$B$40),Constants!$C$6,Design!$B$40)/1000*(1+Constants!$C$31/100*(AC55-25))-Design!$C$28)/(IF(ISBLANK(Design!$B$39),Design!$B$38,Design!$B$39)/1000000)*T55/100/(IF(ISBLANK(Design!$B$32),Design!$B$31,Design!$B$32)*1000000)&lt;0,0,($B55-R55*IF(ISBLANK(Design!$B$40),Constants!$C$6,Design!$B$40)/1000*(1+Constants!$C$31/100*(AC55-25))-Design!$C$28)/(IF(ISBLANK(Design!$B$39),Design!$B$38,Design!$B$39)/1000000)*T55/100/(IF(ISBLANK(Design!$B$32),Design!$B$31,Design!$B$32)*1000000))</f>
        <v>0.26859240131648088</v>
      </c>
      <c r="V55" s="225">
        <f>$B55*Constants!$C$18/1000+IF(ISBLANK(Design!$B$32),Design!$B$31,Design!$B$32)*1000000*Constants!$D$22/1000000000*($B55-Constants!$C$21)</f>
        <v>4.2470000000000008E-2</v>
      </c>
      <c r="W55" s="225">
        <f>$B55*R55*($B55/(Constants!$C$23*1000000000)*IF(ISBLANK(Design!$B$32),Design!$B$31,Design!$B$32)*1000000/2+$B55/(Constants!$C$24*1000000000)*IF(ISBLANK(Design!$B$32),Design!$B$31,Design!$B$32)*1000000/2)</f>
        <v>4.8092671497584553E-2</v>
      </c>
      <c r="X55" s="225">
        <f t="shared" ca="1" si="14"/>
        <v>0.16729970159213001</v>
      </c>
      <c r="Y55" s="225">
        <f>Constants!$D$22/1000000000*Constants!$C$21*IF(ISBLANK(Design!$B$32),Design!$B$31,Design!$B$32)*1000000</f>
        <v>1.0624999999999999E-2</v>
      </c>
      <c r="Z55" s="225">
        <f t="shared" ca="1" si="23"/>
        <v>0.2684873730897146</v>
      </c>
      <c r="AA55" s="225">
        <f t="shared" ca="1" si="19"/>
        <v>0.37486831538666737</v>
      </c>
      <c r="AB55" s="226">
        <f ca="1">$A55+AA55*Design!$B$19</f>
        <v>106.36749397704004</v>
      </c>
      <c r="AC55" s="226">
        <f ca="1">Z55*Design!$C$12+$A55</f>
        <v>94.128570685050292</v>
      </c>
      <c r="AD55" s="226">
        <f ca="1">Constants!$D$19+Constants!$D$19*Constants!$C$20/100*(AC55-25)</f>
        <v>165.87862802419701</v>
      </c>
      <c r="AE55" s="225">
        <f ca="1">(1-Constants!$D$17/1000000000*Design!$B$32*1000000) * ($B55+S55-R55*AD55/1000) - (S55+R55*(1+($A55-25)*Constants!$C$31/100)*IF(ISBLANK(Design!$B$40),Constants!$C$6/1000,Design!$B$40/1000))</f>
        <v>9.0934716996215226</v>
      </c>
      <c r="AF55" s="159">
        <f ca="1">IF(AE55&gt;Design!$C$28,Design!$C$28,AE55)</f>
        <v>3.3223709369024856</v>
      </c>
      <c r="AG55" s="160">
        <f>Design!$D$6/3</f>
        <v>0.83333333333333337</v>
      </c>
      <c r="AH55" s="160">
        <f ca="1">FORECAST(AG55, OFFSET(Design!$C$15:$C$17,MATCH(AG55,Design!$B$15:$B$17,1)-1,0,2), OFFSET(Design!$B$15:$B$17,MATCH(AG55,Design!$B$15:$B$17,1)-1,0,2))+(AQ55-25)*Design!$B$18/1000</f>
        <v>0.29998474309488221</v>
      </c>
      <c r="AI55" s="238">
        <f ca="1">IF(100*(Design!$C$28+AH55+AG55*IF(ISBLANK(Design!$B$40),Constants!$C$6,Design!$B$40)/1000*(1+Constants!$C$31/100*(AR55-25)))/($B55+AH55-AG55*AS55/1000)&gt;Design!$C$35,Design!$C$35,100*(Design!$C$28+AH55+AG55*IF(ISBLANK(Design!$B$40),Constants!$C$6,Design!$B$40)/1000*(1+Constants!$C$31/100*(AR55-25)))/($B55+AH55-AG55*AS55/1000))</f>
        <v>34.912365919934231</v>
      </c>
      <c r="AJ55" s="161">
        <f ca="1">IF(($B55-AG55*IF(ISBLANK(Design!$B$40),Constants!$C$6,Design!$B$40)/1000*(1+Constants!$C$31/100*(AR55-25))-Design!$C$28)/(IF(ISBLANK(Design!$B$39),Design!$B$38,Design!$B$39)/1000000)*AI55/100/(IF(ISBLANK(Design!$B$32),Design!$B$31,Design!$B$32)*1000000)&lt;0,0,($B55-AG55*IF(ISBLANK(Design!$B$40),Constants!$C$6,Design!$B$40)/1000*(1+Constants!$C$31/100*(AR55-25))-Design!$C$28)/(IF(ISBLANK(Design!$B$39),Design!$B$38,Design!$B$39)/1000000)*AI55/100/(IF(ISBLANK(Design!$B$32),Design!$B$31,Design!$B$32)*1000000))</f>
        <v>0.26083410725786155</v>
      </c>
      <c r="AK55" s="239">
        <f>$B55*Constants!$C$18/1000+IF(ISBLANK(Design!$B$32),Design!$B$31,Design!$B$32)*1000000*Constants!$D$22/1000000000*($B55-Constants!$C$21)</f>
        <v>4.2470000000000008E-2</v>
      </c>
      <c r="AL55" s="239">
        <f>$B55*AG55*($B55/(Constants!$C$23*1000000000)*IF(ISBLANK(Design!$B$32),Design!$B$31,Design!$B$32)*1000000/2+$B55/(Constants!$C$24*1000000000)*IF(ISBLANK(Design!$B$32),Design!$B$31,Design!$B$32)*1000000/2)</f>
        <v>2.4046335748792277E-2</v>
      </c>
      <c r="AM55" s="239">
        <f t="shared" ca="1" si="15"/>
        <v>3.9617054236237743E-2</v>
      </c>
      <c r="AN55" s="239">
        <f>Constants!$D$22/1000000000*Constants!$C$21*IF(ISBLANK(Design!$B$32),Design!$B$31,Design!$B$32)*1000000</f>
        <v>1.0624999999999999E-2</v>
      </c>
      <c r="AO55" s="239">
        <f t="shared" ca="1" si="24"/>
        <v>0.11675838998503002</v>
      </c>
      <c r="AP55" s="239">
        <f t="shared" ca="1" si="21"/>
        <v>0.16271080990135192</v>
      </c>
      <c r="AQ55" s="240">
        <f ca="1">$A55+AP55*Design!$B$19</f>
        <v>94.274516164377062</v>
      </c>
      <c r="AR55" s="240">
        <f ca="1">AO55*Design!$C$12+$A55</f>
        <v>88.969785259491019</v>
      </c>
      <c r="AS55" s="240">
        <f ca="1">Constants!$D$19+Constants!$D$19*Constants!$C$20/100*(AR55-25)</f>
        <v>162.0817619509854</v>
      </c>
      <c r="AT55" s="239">
        <f ca="1">(1-Constants!$D$17/1000000000*Design!$B$32*1000000) * ($B55+AH55-AG55*AS55/1000) - (AH55+AG55*(1+($A55-25)*Constants!$C$31/100)*IF(ISBLANK(Design!$B$40),Constants!$C$6/1000,Design!$B$40/1000))</f>
        <v>9.2788222866826437</v>
      </c>
      <c r="AU55" s="161">
        <f ca="1">IF(AT55&gt;Design!$C$28,Design!$C$28,AT55)</f>
        <v>3.3223709369024856</v>
      </c>
    </row>
    <row r="56" spans="1:47" ht="12.75" customHeight="1" x14ac:dyDescent="0.3">
      <c r="A56" s="154">
        <f>Design!$D$13</f>
        <v>85</v>
      </c>
      <c r="B56" s="155">
        <f t="shared" si="12"/>
        <v>10.155000000000001</v>
      </c>
      <c r="C56" s="156">
        <f>Design!$D$6</f>
        <v>2.5</v>
      </c>
      <c r="D56" s="156">
        <f ca="1">FORECAST(C56, OFFSET(Design!$C$15:$C$17,MATCH(C56,Design!$B$15:$B$17,1)-1,0,2), OFFSET(Design!$B$15:$B$17,MATCH(C56,Design!$B$15:$B$17,1)-1,0,2))+(M56-25)*Design!$B$18/1000</f>
        <v>0.3791410760141371</v>
      </c>
      <c r="E56" s="215">
        <f ca="1">IF(100*(Design!$C$28+D56+C56*IF(ISBLANK(Design!$B$40),Constants!$C$6,Design!$B$40)/1000*(1+Constants!$C$31/100*(N56-25)))/($B56+D56-C56*O56/1000)&gt;Design!$C$35,Design!$C$35,100*(Design!$C$28+D56+C56*IF(ISBLANK(Design!$B$40),Constants!$C$6,Design!$B$40)/1000*(1+Constants!$C$31/100*(N56-25)))/($B56+D56-C56*O56/1000))</f>
        <v>38.255776810980201</v>
      </c>
      <c r="F56" s="157">
        <f ca="1">IF(($B56-C56*IF(ISBLANK(Design!$B$40),Constants!$C$6,Design!$B$40)/1000*(1+Constants!$C$31/100*(N56-25))-Design!$C$28)/(IF(ISBLANK(Design!$B$39),Design!$B$38,Design!$B$39)/1000000)*E56/100/(IF(ISBLANK(Design!$B$32),Design!$B$31,Design!$B$32)*1000000)&lt;0,0,($B56-C56*IF(ISBLANK(Design!$B$40),Constants!$C$6,Design!$B$40)/1000*(1+Constants!$C$31/100*(N56-25))-Design!$C$28)/(IF(ISBLANK(Design!$B$39),Design!$B$38,Design!$B$39)/1000000)*E56/100/(IF(ISBLANK(Design!$B$32),Design!$B$31,Design!$B$32)*1000000))</f>
        <v>0.27287334994281476</v>
      </c>
      <c r="G56" s="207">
        <f>B56*Constants!$C$18/1000+IF(ISBLANK(Design!$B$32),Design!$B$31,Design!$B$32)*1000000*Constants!$D$22/1000000000*(B56-Constants!$C$21)</f>
        <v>4.1419375000000008E-2</v>
      </c>
      <c r="H56" s="207">
        <f>B56*C56*(B56/(Constants!$C$23*1000000000)*IF(ISBLANK(Design!$B$32),Design!$B$31,Design!$B$32)*1000000/2+B56/(Constants!$C$24*1000000000)*IF(ISBLANK(Design!$B$32),Design!$B$31,Design!$B$32)*1000000/2)</f>
        <v>6.9312331237147487E-2</v>
      </c>
      <c r="I56" s="207">
        <f t="shared" ca="1" si="13"/>
        <v>0.41292611389183992</v>
      </c>
      <c r="J56" s="207">
        <f>Constants!$D$22/1000000000*Constants!$C$21*IF(ISBLANK(Design!$B$32),Design!$B$31,Design!$B$32)*1000000</f>
        <v>1.0624999999999999E-2</v>
      </c>
      <c r="K56" s="207">
        <f t="shared" ca="1" si="22"/>
        <v>0.53428282012898742</v>
      </c>
      <c r="L56" s="207">
        <f t="shared" ca="1" si="17"/>
        <v>0.58524428043855004</v>
      </c>
      <c r="M56" s="208">
        <f ca="1">$A56+L56*Design!$B$19</f>
        <v>118.35892398499735</v>
      </c>
      <c r="N56" s="208">
        <f ca="1">K56*Design!$C$12+A56</f>
        <v>103.16561588438557</v>
      </c>
      <c r="O56" s="208">
        <f ca="1">Constants!$D$19+Constants!$D$19*Constants!$C$20/100*(N56-25)</f>
        <v>172.52989329090781</v>
      </c>
      <c r="P56" s="207">
        <f ca="1">(1-Constants!$D$17/1000000000*Design!$B$32*1000000) * ($B56+D56-C56*O56/1000) - (D56+C56*(1+($A56-25)*Constants!$C$31/100)*IF(ISBLANK(Design!$B$40),Constants!$C$6/1000,Design!$B$40/1000))</f>
        <v>8.7104608776358479</v>
      </c>
      <c r="Q56" s="157">
        <f ca="1">IF(P56&gt;Design!$C$28,Design!$C$28,P56)</f>
        <v>3.3223709369024856</v>
      </c>
      <c r="R56" s="158">
        <f>2*Design!$D$6/3</f>
        <v>1.6666666666666667</v>
      </c>
      <c r="S56" s="158">
        <f ca="1">FORECAST(R56, OFFSET(Design!$C$15:$C$17,MATCH(R56,Design!$B$15:$B$17,1)-1,0,2), OFFSET(Design!$B$15:$B$17,MATCH(R56,Design!$B$15:$B$17,1)-1,0,2))+(AB56-25)*Design!$B$18/1000</f>
        <v>0.3529365564758648</v>
      </c>
      <c r="T56" s="224">
        <f ca="1">IF(100*(Design!$C$28+S56+R56*IF(ISBLANK(Design!$B$40),Constants!$C$6,Design!$B$40)/1000*(1+Constants!$C$31/100*(AC56-25)))/($B56+S56-R56*AD56/1000)&gt;Design!$C$35,Design!$C$35,100*(Design!$C$28+S56+R56*IF(ISBLANK(Design!$B$40),Constants!$C$6,Design!$B$40)/1000*(1+Constants!$C$31/100*(AC56-25)))/($B56+S56-R56*AD56/1000))</f>
        <v>36.957455621542707</v>
      </c>
      <c r="U56" s="159">
        <f ca="1">IF(($B56-R56*IF(ISBLANK(Design!$B$40),Constants!$C$6,Design!$B$40)/1000*(1+Constants!$C$31/100*(AC56-25))-Design!$C$28)/(IF(ISBLANK(Design!$B$39),Design!$B$38,Design!$B$39)/1000000)*T56/100/(IF(ISBLANK(Design!$B$32),Design!$B$31,Design!$B$32)*1000000)&lt;0,0,($B56-R56*IF(ISBLANK(Design!$B$40),Constants!$C$6,Design!$B$40)/1000*(1+Constants!$C$31/100*(AC56-25))-Design!$C$28)/(IF(ISBLANK(Design!$B$39),Design!$B$38,Design!$B$39)/1000000)*T56/100/(IF(ISBLANK(Design!$B$32),Design!$B$31,Design!$B$32)*1000000))</f>
        <v>0.26588226644512003</v>
      </c>
      <c r="V56" s="225">
        <f>$B56*Constants!$C$18/1000+IF(ISBLANK(Design!$B$32),Design!$B$31,Design!$B$32)*1000000*Constants!$D$22/1000000000*($B56-Constants!$C$21)</f>
        <v>4.1419375000000008E-2</v>
      </c>
      <c r="W56" s="225">
        <f>$B56*R56*($B56/(Constants!$C$23*1000000000)*IF(ISBLANK(Design!$B$32),Design!$B$31,Design!$B$32)*1000000/2+$B56/(Constants!$C$24*1000000000)*IF(ISBLANK(Design!$B$32),Design!$B$31,Design!$B$32)*1000000/2)</f>
        <v>4.6208220824764994E-2</v>
      </c>
      <c r="X56" s="225">
        <f t="shared" ca="1" si="14"/>
        <v>0.17066249748676959</v>
      </c>
      <c r="Y56" s="225">
        <f>Constants!$D$22/1000000000*Constants!$C$21*IF(ISBLANK(Design!$B$32),Design!$B$31,Design!$B$32)*1000000</f>
        <v>1.0624999999999999E-2</v>
      </c>
      <c r="Z56" s="225">
        <f t="shared" ca="1" si="23"/>
        <v>0.26891509331153463</v>
      </c>
      <c r="AA56" s="225">
        <f t="shared" ca="1" si="19"/>
        <v>0.3708336420734934</v>
      </c>
      <c r="AB56" s="226">
        <f ca="1">$A56+AA56*Design!$B$19</f>
        <v>106.13751759818912</v>
      </c>
      <c r="AC56" s="226">
        <f ca="1">Z56*Design!$C$12+$A56</f>
        <v>94.14311317259218</v>
      </c>
      <c r="AD56" s="226">
        <f ca="1">Constants!$D$19+Constants!$D$19*Constants!$C$20/100*(AC56-25)</f>
        <v>165.88933129502786</v>
      </c>
      <c r="AE56" s="225">
        <f ca="1">(1-Constants!$D$17/1000000000*Design!$B$32*1000000) * ($B56+S56-R56*AD56/1000) - (S56+R56*(1+($A56-25)*Constants!$C$31/100)*IF(ISBLANK(Design!$B$40),Constants!$C$6/1000,Design!$B$40/1000))</f>
        <v>8.9058608291413002</v>
      </c>
      <c r="AF56" s="159">
        <f ca="1">IF(AE56&gt;Design!$C$28,Design!$C$28,AE56)</f>
        <v>3.3223709369024856</v>
      </c>
      <c r="AG56" s="160">
        <f>Design!$D$6/3</f>
        <v>0.83333333333333337</v>
      </c>
      <c r="AH56" s="160">
        <f ca="1">FORECAST(AG56, OFFSET(Design!$C$15:$C$17,MATCH(AG56,Design!$B$15:$B$17,1)-1,0,2), OFFSET(Design!$B$15:$B$17,MATCH(AG56,Design!$B$15:$B$17,1)-1,0,2))+(AQ56-25)*Design!$B$18/1000</f>
        <v>0.30008069282475025</v>
      </c>
      <c r="AI56" s="238">
        <f ca="1">IF(100*(Design!$C$28+AH56+AG56*IF(ISBLANK(Design!$B$40),Constants!$C$6,Design!$B$40)/1000*(1+Constants!$C$31/100*(AR56-25)))/($B56+AH56-AG56*AS56/1000)&gt;Design!$C$35,Design!$C$35,100*(Design!$C$28+AH56+AG56*IF(ISBLANK(Design!$B$40),Constants!$C$6,Design!$B$40)/1000*(1+Constants!$C$31/100*(AR56-25)))/($B56+AH56-AG56*AS56/1000))</f>
        <v>35.606327834806365</v>
      </c>
      <c r="AJ56" s="161">
        <f ca="1">IF(($B56-AG56*IF(ISBLANK(Design!$B$40),Constants!$C$6,Design!$B$40)/1000*(1+Constants!$C$31/100*(AR56-25))-Design!$C$28)/(IF(ISBLANK(Design!$B$39),Design!$B$38,Design!$B$39)/1000000)*AI56/100/(IF(ISBLANK(Design!$B$32),Design!$B$31,Design!$B$32)*1000000)&lt;0,0,($B56-AG56*IF(ISBLANK(Design!$B$40),Constants!$C$6,Design!$B$40)/1000*(1+Constants!$C$31/100*(AR56-25))-Design!$C$28)/(IF(ISBLANK(Design!$B$39),Design!$B$38,Design!$B$39)/1000000)*AI56/100/(IF(ISBLANK(Design!$B$32),Design!$B$31,Design!$B$32)*1000000))</f>
        <v>0.25821229626704573</v>
      </c>
      <c r="AK56" s="239">
        <f>$B56*Constants!$C$18/1000+IF(ISBLANK(Design!$B$32),Design!$B$31,Design!$B$32)*1000000*Constants!$D$22/1000000000*($B56-Constants!$C$21)</f>
        <v>4.1419375000000008E-2</v>
      </c>
      <c r="AL56" s="239">
        <f>$B56*AG56*($B56/(Constants!$C$23*1000000000)*IF(ISBLANK(Design!$B$32),Design!$B$31,Design!$B$32)*1000000/2+$B56/(Constants!$C$24*1000000000)*IF(ISBLANK(Design!$B$32),Design!$B$31,Design!$B$32)*1000000/2)</f>
        <v>2.3104110412382497E-2</v>
      </c>
      <c r="AM56" s="239">
        <f t="shared" ca="1" si="15"/>
        <v>4.0390381479845645E-2</v>
      </c>
      <c r="AN56" s="239">
        <f>Constants!$D$22/1000000000*Constants!$C$21*IF(ISBLANK(Design!$B$32),Design!$B$31,Design!$B$32)*1000000</f>
        <v>1.0624999999999999E-2</v>
      </c>
      <c r="AO56" s="239">
        <f t="shared" ca="1" si="24"/>
        <v>0.11553886689222814</v>
      </c>
      <c r="AP56" s="239">
        <f t="shared" ca="1" si="21"/>
        <v>0.16102748130717617</v>
      </c>
      <c r="AQ56" s="240">
        <f ca="1">$A56+AP56*Design!$B$19</f>
        <v>94.178566434509037</v>
      </c>
      <c r="AR56" s="240">
        <f ca="1">AO56*Design!$C$12+$A56</f>
        <v>88.92832147433576</v>
      </c>
      <c r="AS56" s="240">
        <f ca="1">Constants!$D$19+Constants!$D$19*Constants!$C$20/100*(AR56-25)</f>
        <v>162.05124460511112</v>
      </c>
      <c r="AT56" s="239">
        <f ca="1">(1-Constants!$D$17/1000000000*Design!$B$32*1000000) * ($B56+AH56-AG56*AS56/1000) - (AH56+AG56*(1+($A56-25)*Constants!$C$31/100)*IF(ISBLANK(Design!$B$40),Constants!$C$6/1000,Design!$B$40/1000))</f>
        <v>9.0912624004318321</v>
      </c>
      <c r="AU56" s="161">
        <f ca="1">IF(AT56&gt;Design!$C$28,Design!$C$28,AT56)</f>
        <v>3.3223709369024856</v>
      </c>
    </row>
    <row r="57" spans="1:47" ht="12.75" customHeight="1" x14ac:dyDescent="0.3">
      <c r="A57" s="154">
        <f>Design!$D$13</f>
        <v>85</v>
      </c>
      <c r="B57" s="155">
        <f t="shared" si="12"/>
        <v>9.9500000000000011</v>
      </c>
      <c r="C57" s="156">
        <f>Design!$D$6</f>
        <v>2.5</v>
      </c>
      <c r="D57" s="156">
        <f ca="1">FORECAST(C57, OFFSET(Design!$C$15:$C$17,MATCH(C57,Design!$B$15:$B$17,1)-1,0,2), OFFSET(Design!$B$15:$B$17,MATCH(C57,Design!$B$15:$B$17,1)-1,0,2))+(M57-25)*Design!$B$18/1000</f>
        <v>0.37953721286941372</v>
      </c>
      <c r="E57" s="215">
        <f ca="1">IF(100*(Design!$C$28+D57+C57*IF(ISBLANK(Design!$B$40),Constants!$C$6,Design!$B$40)/1000*(1+Constants!$C$31/100*(N57-25)))/($B57+D57-C57*O57/1000)&gt;Design!$C$35,Design!$C$35,100*(Design!$C$28+D57+C57*IF(ISBLANK(Design!$B$40),Constants!$C$6,Design!$B$40)/1000*(1+Constants!$C$31/100*(N57-25)))/($B57+D57-C57*O57/1000))</f>
        <v>39.052668203197413</v>
      </c>
      <c r="F57" s="157">
        <f ca="1">IF(($B57-C57*IF(ISBLANK(Design!$B$40),Constants!$C$6,Design!$B$40)/1000*(1+Constants!$C$31/100*(N57-25))-Design!$C$28)/(IF(ISBLANK(Design!$B$39),Design!$B$38,Design!$B$39)/1000000)*E57/100/(IF(ISBLANK(Design!$B$32),Design!$B$31,Design!$B$32)*1000000)&lt;0,0,($B57-C57*IF(ISBLANK(Design!$B$40),Constants!$C$6,Design!$B$40)/1000*(1+Constants!$C$31/100*(N57-25))-Design!$C$28)/(IF(ISBLANK(Design!$B$39),Design!$B$38,Design!$B$39)/1000000)*E57/100/(IF(ISBLANK(Design!$B$32),Design!$B$31,Design!$B$32)*1000000))</f>
        <v>0.26999157439330973</v>
      </c>
      <c r="G57" s="207">
        <f>B57*Constants!$C$18/1000+IF(ISBLANK(Design!$B$32),Design!$B$31,Design!$B$32)*1000000*Constants!$D$22/1000000000*(B57-Constants!$C$21)</f>
        <v>4.0368750000000009E-2</v>
      </c>
      <c r="H57" s="207">
        <f>B57*C57*(B57/(Constants!$C$23*1000000000)*IF(ISBLANK(Design!$B$32),Design!$B$31,Design!$B$32)*1000000/2+B57/(Constants!$C$24*1000000000)*IF(ISBLANK(Design!$B$32),Design!$B$31,Design!$B$32)*1000000/2)</f>
        <v>6.6542147412358033E-2</v>
      </c>
      <c r="I57" s="207">
        <f t="shared" ca="1" si="13"/>
        <v>0.42182957729467591</v>
      </c>
      <c r="J57" s="207">
        <f>Constants!$D$22/1000000000*Constants!$C$21*IF(ISBLANK(Design!$B$32),Design!$B$31,Design!$B$32)*1000000</f>
        <v>1.0624999999999999E-2</v>
      </c>
      <c r="K57" s="207">
        <f t="shared" ca="1" si="22"/>
        <v>0.53936547470703389</v>
      </c>
      <c r="L57" s="207">
        <f t="shared" ca="1" si="17"/>
        <v>0.57829451104964624</v>
      </c>
      <c r="M57" s="208">
        <f ca="1">$A57+L57*Design!$B$19</f>
        <v>117.96278712982983</v>
      </c>
      <c r="N57" s="208">
        <f ca="1">K57*Design!$C$12+A57</f>
        <v>103.33842614003916</v>
      </c>
      <c r="O57" s="208">
        <f ca="1">Constants!$D$19+Constants!$D$19*Constants!$C$20/100*(N57-25)</f>
        <v>172.65708163906882</v>
      </c>
      <c r="P57" s="207">
        <f ca="1">(1-Constants!$D$17/1000000000*Design!$B$32*1000000) * ($B57+D57-C57*O57/1000) - (D57+C57*(1+($A57-25)*Constants!$C$31/100)*IF(ISBLANK(Design!$B$40),Constants!$C$6/1000,Design!$B$40/1000))</f>
        <v>8.5225612626567315</v>
      </c>
      <c r="Q57" s="157">
        <f ca="1">IF(P57&gt;Design!$C$28,Design!$C$28,P57)</f>
        <v>3.3223709369024856</v>
      </c>
      <c r="R57" s="158">
        <f>2*Design!$D$6/3</f>
        <v>1.6666666666666667</v>
      </c>
      <c r="S57" s="158">
        <f ca="1">FORECAST(R57, OFFSET(Design!$C$15:$C$17,MATCH(R57,Design!$B$15:$B$17,1)-1,0,2), OFFSET(Design!$B$15:$B$17,MATCH(R57,Design!$B$15:$B$17,1)-1,0,2))+(AB57-25)*Design!$B$18/1000</f>
        <v>0.35317628028550835</v>
      </c>
      <c r="T57" s="224">
        <f ca="1">IF(100*(Design!$C$28+S57+R57*IF(ISBLANK(Design!$B$40),Constants!$C$6,Design!$B$40)/1000*(1+Constants!$C$31/100*(AC57-25)))/($B57+S57-R57*AD57/1000)&gt;Design!$C$35,Design!$C$35,100*(Design!$C$28+S57+R57*IF(ISBLANK(Design!$B$40),Constants!$C$6,Design!$B$40)/1000*(1+Constants!$C$31/100*(AC57-25)))/($B57+S57-R57*AD57/1000))</f>
        <v>37.714736520887591</v>
      </c>
      <c r="U57" s="159">
        <f ca="1">IF(($B57-R57*IF(ISBLANK(Design!$B$40),Constants!$C$6,Design!$B$40)/1000*(1+Constants!$C$31/100*(AC57-25))-Design!$C$28)/(IF(ISBLANK(Design!$B$39),Design!$B$38,Design!$B$39)/1000000)*T57/100/(IF(ISBLANK(Design!$B$32),Design!$B$31,Design!$B$32)*1000000)&lt;0,0,($B57-R57*IF(ISBLANK(Design!$B$40),Constants!$C$6,Design!$B$40)/1000*(1+Constants!$C$31/100*(AC57-25))-Design!$C$28)/(IF(ISBLANK(Design!$B$39),Design!$B$38,Design!$B$39)/1000000)*T57/100/(IF(ISBLANK(Design!$B$32),Design!$B$31,Design!$B$32)*1000000))</f>
        <v>0.26306107754441083</v>
      </c>
      <c r="V57" s="225">
        <f>$B57*Constants!$C$18/1000+IF(ISBLANK(Design!$B$32),Design!$B$31,Design!$B$32)*1000000*Constants!$D$22/1000000000*($B57-Constants!$C$21)</f>
        <v>4.0368750000000009E-2</v>
      </c>
      <c r="W57" s="225">
        <f>$B57*R57*($B57/(Constants!$C$23*1000000000)*IF(ISBLANK(Design!$B$32),Design!$B$31,Design!$B$32)*1000000/2+$B57/(Constants!$C$24*1000000000)*IF(ISBLANK(Design!$B$32),Design!$B$31,Design!$B$32)*1000000/2)</f>
        <v>4.4361431608238688E-2</v>
      </c>
      <c r="X57" s="225">
        <f t="shared" ca="1" si="14"/>
        <v>0.17416766222225025</v>
      </c>
      <c r="Y57" s="225">
        <f>Constants!$D$22/1000000000*Constants!$C$21*IF(ISBLANK(Design!$B$32),Design!$B$31,Design!$B$32)*1000000</f>
        <v>1.0624999999999999E-2</v>
      </c>
      <c r="Z57" s="225">
        <f t="shared" ca="1" si="23"/>
        <v>0.26952284383048897</v>
      </c>
      <c r="AA57" s="225">
        <f t="shared" ca="1" si="19"/>
        <v>0.36662796120259572</v>
      </c>
      <c r="AB57" s="226">
        <f ca="1">$A57+AA57*Design!$B$19</f>
        <v>105.89779378854796</v>
      </c>
      <c r="AC57" s="226">
        <f ca="1">Z57*Design!$C$12+$A57</f>
        <v>94.163776690236631</v>
      </c>
      <c r="AD57" s="226">
        <f ca="1">Constants!$D$19+Constants!$D$19*Constants!$C$20/100*(AC57-25)</f>
        <v>165.90453964401416</v>
      </c>
      <c r="AE57" s="225">
        <f ca="1">(1-Constants!$D$17/1000000000*Design!$B$32*1000000) * ($B57+S57-R57*AD57/1000) - (S57+R57*(1+($A57-25)*Constants!$C$31/100)*IF(ISBLANK(Design!$B$40),Constants!$C$6/1000,Design!$B$40/1000))</f>
        <v>8.718242259885276</v>
      </c>
      <c r="AF57" s="159">
        <f ca="1">IF(AE57&gt;Design!$C$28,Design!$C$28,AE57)</f>
        <v>3.3223709369024856</v>
      </c>
      <c r="AG57" s="160">
        <f>Design!$D$6/3</f>
        <v>0.83333333333333337</v>
      </c>
      <c r="AH57" s="160">
        <f ca="1">FORECAST(AG57, OFFSET(Design!$C$15:$C$17,MATCH(AG57,Design!$B$15:$B$17,1)-1,0,2), OFFSET(Design!$B$15:$B$17,MATCH(AG57,Design!$B$15:$B$17,1)-1,0,2))+(AQ57-25)*Design!$B$18/1000</f>
        <v>0.30018059893556492</v>
      </c>
      <c r="AI57" s="238">
        <f ca="1">IF(100*(Design!$C$28+AH57+AG57*IF(ISBLANK(Design!$B$40),Constants!$C$6,Design!$B$40)/1000*(1+Constants!$C$31/100*(AR57-25)))/($B57+AH57-AG57*AS57/1000)&gt;Design!$C$35,Design!$C$35,100*(Design!$C$28+AH57+AG57*IF(ISBLANK(Design!$B$40),Constants!$C$6,Design!$B$40)/1000*(1+Constants!$C$31/100*(AR57-25)))/($B57+AH57-AG57*AS57/1000))</f>
        <v>36.32843304900917</v>
      </c>
      <c r="AJ57" s="161">
        <f ca="1">IF(($B57-AG57*IF(ISBLANK(Design!$B$40),Constants!$C$6,Design!$B$40)/1000*(1+Constants!$C$31/100*(AR57-25))-Design!$C$28)/(IF(ISBLANK(Design!$B$39),Design!$B$38,Design!$B$39)/1000000)*AI57/100/(IF(ISBLANK(Design!$B$32),Design!$B$31,Design!$B$32)*1000000)&lt;0,0,($B57-AG57*IF(ISBLANK(Design!$B$40),Constants!$C$6,Design!$B$40)/1000*(1+Constants!$C$31/100*(AR57-25))-Design!$C$28)/(IF(ISBLANK(Design!$B$39),Design!$B$38,Design!$B$39)/1000000)*AI57/100/(IF(ISBLANK(Design!$B$32),Design!$B$31,Design!$B$32)*1000000))</f>
        <v>0.25548410148199019</v>
      </c>
      <c r="AK57" s="239">
        <f>$B57*Constants!$C$18/1000+IF(ISBLANK(Design!$B$32),Design!$B$31,Design!$B$32)*1000000*Constants!$D$22/1000000000*($B57-Constants!$C$21)</f>
        <v>4.0368750000000009E-2</v>
      </c>
      <c r="AL57" s="239">
        <f>$B57*AG57*($B57/(Constants!$C$23*1000000000)*IF(ISBLANK(Design!$B$32),Design!$B$31,Design!$B$32)*1000000/2+$B57/(Constants!$C$24*1000000000)*IF(ISBLANK(Design!$B$32),Design!$B$31,Design!$B$32)*1000000/2)</f>
        <v>2.2180715804119344E-2</v>
      </c>
      <c r="AM57" s="239">
        <f t="shared" ca="1" si="15"/>
        <v>4.1195193962043901E-2</v>
      </c>
      <c r="AN57" s="239">
        <f>Constants!$D$22/1000000000*Constants!$C$21*IF(ISBLANK(Design!$B$32),Design!$B$31,Design!$B$32)*1000000</f>
        <v>1.0624999999999999E-2</v>
      </c>
      <c r="AO57" s="239">
        <f t="shared" ca="1" si="24"/>
        <v>0.11436965976616326</v>
      </c>
      <c r="AP57" s="239">
        <f t="shared" ca="1" si="21"/>
        <v>0.15927474252095292</v>
      </c>
      <c r="AQ57" s="240">
        <f ca="1">$A57+AP57*Design!$B$19</f>
        <v>94.078660323694322</v>
      </c>
      <c r="AR57" s="240">
        <f ca="1">AO57*Design!$C$12+$A57</f>
        <v>88.888568432049553</v>
      </c>
      <c r="AS57" s="240">
        <f ca="1">Constants!$D$19+Constants!$D$19*Constants!$C$20/100*(AR57-25)</f>
        <v>162.02198636598848</v>
      </c>
      <c r="AT57" s="239">
        <f ca="1">(1-Constants!$D$17/1000000000*Design!$B$32*1000000) * ($B57+AH57-AG57*AS57/1000) - (AH57+AG57*(1+($A57-25)*Constants!$C$31/100)*IF(ISBLANK(Design!$B$40),Constants!$C$6/1000,Design!$B$40/1000))</f>
        <v>8.9037012178197443</v>
      </c>
      <c r="AU57" s="161">
        <f ca="1">IF(AT57&gt;Design!$C$28,Design!$C$28,AT57)</f>
        <v>3.3223709369024856</v>
      </c>
    </row>
    <row r="58" spans="1:47" ht="12.75" customHeight="1" x14ac:dyDescent="0.3">
      <c r="A58" s="154">
        <f>Design!$D$13</f>
        <v>85</v>
      </c>
      <c r="B58" s="155">
        <f t="shared" si="12"/>
        <v>9.745000000000001</v>
      </c>
      <c r="C58" s="156">
        <f>Design!$D$6</f>
        <v>2.5</v>
      </c>
      <c r="D58" s="156">
        <f ca="1">FORECAST(C58, OFFSET(Design!$C$15:$C$17,MATCH(C58,Design!$B$15:$B$17,1)-1,0,2), OFFSET(Design!$B$15:$B$17,MATCH(C58,Design!$B$15:$B$17,1)-1,0,2))+(M58-25)*Design!$B$18/1000</f>
        <v>0.37995113609071662</v>
      </c>
      <c r="E58" s="215">
        <f ca="1">IF(100*(Design!$C$28+D58+C58*IF(ISBLANK(Design!$B$40),Constants!$C$6,Design!$B$40)/1000*(1+Constants!$C$31/100*(N58-25)))/($B58+D58-C58*O58/1000)&gt;Design!$C$35,Design!$C$35,100*(Design!$C$28+D58+C58*IF(ISBLANK(Design!$B$40),Constants!$C$6,Design!$B$40)/1000*(1+Constants!$C$31/100*(N58-25)))/($B58+D58-C58*O58/1000))</f>
        <v>39.883564394447916</v>
      </c>
      <c r="F58" s="157">
        <f ca="1">IF(($B58-C58*IF(ISBLANK(Design!$B$40),Constants!$C$6,Design!$B$40)/1000*(1+Constants!$C$31/100*(N58-25))-Design!$C$28)/(IF(ISBLANK(Design!$B$39),Design!$B$38,Design!$B$39)/1000000)*E58/100/(IF(ISBLANK(Design!$B$32),Design!$B$31,Design!$B$32)*1000000)&lt;0,0,($B58-C58*IF(ISBLANK(Design!$B$40),Constants!$C$6,Design!$B$40)/1000*(1+Constants!$C$31/100*(N58-25))-Design!$C$28)/(IF(ISBLANK(Design!$B$39),Design!$B$38,Design!$B$39)/1000000)*E58/100/(IF(ISBLANK(Design!$B$32),Design!$B$31,Design!$B$32)*1000000))</f>
        <v>0.26698751806291154</v>
      </c>
      <c r="G58" s="207">
        <f>B58*Constants!$C$18/1000+IF(ISBLANK(Design!$B$32),Design!$B$31,Design!$B$32)*1000000*Constants!$D$22/1000000000*(B58-Constants!$C$21)</f>
        <v>3.9318125000000009E-2</v>
      </c>
      <c r="H58" s="207">
        <f>B58*C58*(B58/(Constants!$C$23*1000000000)*IF(ISBLANK(Design!$B$32),Design!$B$31,Design!$B$32)*1000000/2+B58/(Constants!$C$24*1000000000)*IF(ISBLANK(Design!$B$32),Design!$B$31,Design!$B$32)*1000000/2)</f>
        <v>6.3828455772008436E-2</v>
      </c>
      <c r="I58" s="207">
        <f t="shared" ca="1" si="13"/>
        <v>0.43114168022135568</v>
      </c>
      <c r="J58" s="207">
        <f>Constants!$D$22/1000000000*Constants!$C$21*IF(ISBLANK(Design!$B$32),Design!$B$31,Design!$B$32)*1000000</f>
        <v>1.0624999999999999E-2</v>
      </c>
      <c r="K58" s="207">
        <f t="shared" ca="1" si="22"/>
        <v>0.54491326099336412</v>
      </c>
      <c r="L58" s="207">
        <f t="shared" ca="1" si="17"/>
        <v>0.5710327001513481</v>
      </c>
      <c r="M58" s="208">
        <f ca="1">$A58+L58*Design!$B$19</f>
        <v>117.54886390862684</v>
      </c>
      <c r="N58" s="208">
        <f ca="1">K58*Design!$C$12+A58</f>
        <v>103.52705087377439</v>
      </c>
      <c r="O58" s="208">
        <f ca="1">Constants!$D$19+Constants!$D$19*Constants!$C$20/100*(N58-25)</f>
        <v>172.79590944309797</v>
      </c>
      <c r="P58" s="207">
        <f ca="1">(1-Constants!$D$17/1000000000*Design!$B$32*1000000) * ($B58+D58-C58*O58/1000) - (D58+C58*(1+($A58-25)*Constants!$C$31/100)*IF(ISBLANK(Design!$B$40),Constants!$C$6/1000,Design!$B$40/1000))</f>
        <v>8.3346335105812042</v>
      </c>
      <c r="Q58" s="157">
        <f ca="1">IF(P58&gt;Design!$C$28,Design!$C$28,P58)</f>
        <v>3.3223709369024856</v>
      </c>
      <c r="R58" s="158">
        <f>2*Design!$D$6/3</f>
        <v>1.6666666666666667</v>
      </c>
      <c r="S58" s="158">
        <f ca="1">FORECAST(R58, OFFSET(Design!$C$15:$C$17,MATCH(R58,Design!$B$15:$B$17,1)-1,0,2), OFFSET(Design!$B$15:$B$17,MATCH(R58,Design!$B$15:$B$17,1)-1,0,2))+(AB58-25)*Design!$B$18/1000</f>
        <v>0.35342638433233664</v>
      </c>
      <c r="T58" s="224">
        <f ca="1">IF(100*(Design!$C$28+S58+R58*IF(ISBLANK(Design!$B$40),Constants!$C$6,Design!$B$40)/1000*(1+Constants!$C$31/100*(AC58-25)))/($B58+S58-R58*AD58/1000)&gt;Design!$C$35,Design!$C$35,100*(Design!$C$28+S58+R58*IF(ISBLANK(Design!$B$40),Constants!$C$6,Design!$B$40)/1000*(1+Constants!$C$31/100*(AC58-25)))/($B58+S58-R58*AD58/1000))</f>
        <v>38.503713310756659</v>
      </c>
      <c r="U58" s="159">
        <f ca="1">IF(($B58-R58*IF(ISBLANK(Design!$B$40),Constants!$C$6,Design!$B$40)/1000*(1+Constants!$C$31/100*(AC58-25))-Design!$C$28)/(IF(ISBLANK(Design!$B$39),Design!$B$38,Design!$B$39)/1000000)*T58/100/(IF(ISBLANK(Design!$B$32),Design!$B$31,Design!$B$32)*1000000)&lt;0,0,($B58-R58*IF(ISBLANK(Design!$B$40),Constants!$C$6,Design!$B$40)/1000*(1+Constants!$C$31/100*(AC58-25))-Design!$C$28)/(IF(ISBLANK(Design!$B$39),Design!$B$38,Design!$B$39)/1000000)*T58/100/(IF(ISBLANK(Design!$B$32),Design!$B$31,Design!$B$32)*1000000))</f>
        <v>0.26012185113078212</v>
      </c>
      <c r="V58" s="225">
        <f>$B58*Constants!$C$18/1000+IF(ISBLANK(Design!$B$32),Design!$B$31,Design!$B$32)*1000000*Constants!$D$22/1000000000*($B58-Constants!$C$21)</f>
        <v>3.9318125000000009E-2</v>
      </c>
      <c r="W58" s="225">
        <f>$B58*R58*($B58/(Constants!$C$23*1000000000)*IF(ISBLANK(Design!$B$32),Design!$B$31,Design!$B$32)*1000000/2+$B58/(Constants!$C$24*1000000000)*IF(ISBLANK(Design!$B$32),Design!$B$31,Design!$B$32)*1000000/2)</f>
        <v>4.2552303848005631E-2</v>
      </c>
      <c r="X58" s="225">
        <f t="shared" ca="1" si="14"/>
        <v>0.1778243654135768</v>
      </c>
      <c r="Y58" s="225">
        <f>Constants!$D$22/1000000000*Constants!$C$21*IF(ISBLANK(Design!$B$32),Design!$B$31,Design!$B$32)*1000000</f>
        <v>1.0624999999999999E-2</v>
      </c>
      <c r="Z58" s="225">
        <f t="shared" ca="1" si="23"/>
        <v>0.27031979426158242</v>
      </c>
      <c r="AA58" s="225">
        <f t="shared" ca="1" si="19"/>
        <v>0.36224017090740124</v>
      </c>
      <c r="AB58" s="226">
        <f ca="1">$A58+AA58*Design!$B$19</f>
        <v>105.64768974172188</v>
      </c>
      <c r="AC58" s="226">
        <f ca="1">Z58*Design!$C$12+$A58</f>
        <v>94.190873004893803</v>
      </c>
      <c r="AD58" s="226">
        <f ca="1">Constants!$D$19+Constants!$D$19*Constants!$C$20/100*(AC58-25)</f>
        <v>165.92448253160185</v>
      </c>
      <c r="AE58" s="225">
        <f ca="1">(1-Constants!$D$17/1000000000*Design!$B$32*1000000) * ($B58+S58-R58*AD58/1000) - (S58+R58*(1+($A58-25)*Constants!$C$31/100)*IF(ISBLANK(Design!$B$40),Constants!$C$6/1000,Design!$B$40/1000))</f>
        <v>8.5306155881377261</v>
      </c>
      <c r="AF58" s="159">
        <f ca="1">IF(AE58&gt;Design!$C$28,Design!$C$28,AE58)</f>
        <v>3.3223709369024856</v>
      </c>
      <c r="AG58" s="160">
        <f>Design!$D$6/3</f>
        <v>0.83333333333333337</v>
      </c>
      <c r="AH58" s="160">
        <f ca="1">FORECAST(AG58, OFFSET(Design!$C$15:$C$17,MATCH(AG58,Design!$B$15:$B$17,1)-1,0,2), OFFSET(Design!$B$15:$B$17,MATCH(AG58,Design!$B$15:$B$17,1)-1,0,2))+(AQ58-25)*Design!$B$18/1000</f>
        <v>0.30028471117247957</v>
      </c>
      <c r="AI58" s="238">
        <f ca="1">IF(100*(Design!$C$28+AH58+AG58*IF(ISBLANK(Design!$B$40),Constants!$C$6,Design!$B$40)/1000*(1+Constants!$C$31/100*(AR58-25)))/($B58+AH58-AG58*AS58/1000)&gt;Design!$C$35,Design!$C$35,100*(Design!$C$28+AH58+AG58*IF(ISBLANK(Design!$B$40),Constants!$C$6,Design!$B$40)/1000*(1+Constants!$C$31/100*(AR58-25)))/($B58+AH58-AG58*AS58/1000))</f>
        <v>37.080428197359282</v>
      </c>
      <c r="AJ58" s="161">
        <f ca="1">IF(($B58-AG58*IF(ISBLANK(Design!$B$40),Constants!$C$6,Design!$B$40)/1000*(1+Constants!$C$31/100*(AR58-25))-Design!$C$28)/(IF(ISBLANK(Design!$B$39),Design!$B$38,Design!$B$39)/1000000)*AI58/100/(IF(ISBLANK(Design!$B$32),Design!$B$31,Design!$B$32)*1000000)&lt;0,0,($B58-AG58*IF(ISBLANK(Design!$B$40),Constants!$C$6,Design!$B$40)/1000*(1+Constants!$C$31/100*(AR58-25))-Design!$C$28)/(IF(ISBLANK(Design!$B$39),Design!$B$38,Design!$B$39)/1000000)*AI58/100/(IF(ISBLANK(Design!$B$32),Design!$B$31,Design!$B$32)*1000000))</f>
        <v>0.25264291152129958</v>
      </c>
      <c r="AK58" s="239">
        <f>$B58*Constants!$C$18/1000+IF(ISBLANK(Design!$B$32),Design!$B$31,Design!$B$32)*1000000*Constants!$D$22/1000000000*($B58-Constants!$C$21)</f>
        <v>3.9318125000000009E-2</v>
      </c>
      <c r="AL58" s="239">
        <f>$B58*AG58*($B58/(Constants!$C$23*1000000000)*IF(ISBLANK(Design!$B$32),Design!$B$31,Design!$B$32)*1000000/2+$B58/(Constants!$C$24*1000000000)*IF(ISBLANK(Design!$B$32),Design!$B$31,Design!$B$32)*1000000/2)</f>
        <v>2.1276151924002815E-2</v>
      </c>
      <c r="AM58" s="239">
        <f t="shared" ca="1" si="15"/>
        <v>4.2033450374068443E-2</v>
      </c>
      <c r="AN58" s="239">
        <f>Constants!$D$22/1000000000*Constants!$C$21*IF(ISBLANK(Design!$B$32),Design!$B$31,Design!$B$32)*1000000</f>
        <v>1.0624999999999999E-2</v>
      </c>
      <c r="AO58" s="239">
        <f t="shared" ca="1" si="24"/>
        <v>0.11325272729807126</v>
      </c>
      <c r="AP58" s="239">
        <f t="shared" ca="1" si="21"/>
        <v>0.15744821204876713</v>
      </c>
      <c r="AQ58" s="240">
        <f ca="1">$A58+AP58*Design!$B$19</f>
        <v>93.97454808677972</v>
      </c>
      <c r="AR58" s="240">
        <f ca="1">AO58*Design!$C$12+$A58</f>
        <v>88.850592728134416</v>
      </c>
      <c r="AS58" s="240">
        <f ca="1">Constants!$D$19+Constants!$D$19*Constants!$C$20/100*(AR58-25)</f>
        <v>161.99403624790693</v>
      </c>
      <c r="AT58" s="239">
        <f ca="1">(1-Constants!$D$17/1000000000*Design!$B$32*1000000) * ($B58+AH58-AG58*AS58/1000) - (AH58+AG58*(1+($A58-25)*Constants!$C$31/100)*IF(ISBLANK(Design!$B$40),Constants!$C$6/1000,Design!$B$40/1000))</f>
        <v>8.7161386802446454</v>
      </c>
      <c r="AU58" s="161">
        <f ca="1">IF(AT58&gt;Design!$C$28,Design!$C$28,AT58)</f>
        <v>3.3223709369024856</v>
      </c>
    </row>
    <row r="59" spans="1:47" ht="12.75" customHeight="1" x14ac:dyDescent="0.3">
      <c r="A59" s="154">
        <f>Design!$D$13</f>
        <v>85</v>
      </c>
      <c r="B59" s="155">
        <f t="shared" si="12"/>
        <v>9.5400000000000009</v>
      </c>
      <c r="C59" s="156">
        <f>Design!$D$6</f>
        <v>2.5</v>
      </c>
      <c r="D59" s="156">
        <f ca="1">FORECAST(C59, OFFSET(Design!$C$15:$C$17,MATCH(C59,Design!$B$15:$B$17,1)-1,0,2), OFFSET(Design!$B$15:$B$17,MATCH(C59,Design!$B$15:$B$17,1)-1,0,2))+(M59-25)*Design!$B$18/1000</f>
        <v>0.38038407245608497</v>
      </c>
      <c r="E59" s="215">
        <f ca="1">IF(100*(Design!$C$28+D59+C59*IF(ISBLANK(Design!$B$40),Constants!$C$6,Design!$B$40)/1000*(1+Constants!$C$31/100*(N59-25)))/($B59+D59-C59*O59/1000)&gt;Design!$C$35,Design!$C$35,100*(Design!$C$28+D59+C59*IF(ISBLANK(Design!$B$40),Constants!$C$6,Design!$B$40)/1000*(1+Constants!$C$31/100*(N59-25)))/($B59+D59-C59*O59/1000))</f>
        <v>40.750692142929822</v>
      </c>
      <c r="F59" s="157">
        <f ca="1">IF(($B59-C59*IF(ISBLANK(Design!$B$40),Constants!$C$6,Design!$B$40)/1000*(1+Constants!$C$31/100*(N59-25))-Design!$C$28)/(IF(ISBLANK(Design!$B$39),Design!$B$38,Design!$B$39)/1000000)*E59/100/(IF(ISBLANK(Design!$B$32),Design!$B$31,Design!$B$32)*1000000)&lt;0,0,($B59-C59*IF(ISBLANK(Design!$B$40),Constants!$C$6,Design!$B$40)/1000*(1+Constants!$C$31/100*(N59-25))-Design!$C$28)/(IF(ISBLANK(Design!$B$39),Design!$B$38,Design!$B$39)/1000000)*E59/100/(IF(ISBLANK(Design!$B$32),Design!$B$31,Design!$B$32)*1000000))</f>
        <v>0.26385318039584893</v>
      </c>
      <c r="G59" s="207">
        <f>B59*Constants!$C$18/1000+IF(ISBLANK(Design!$B$32),Design!$B$31,Design!$B$32)*1000000*Constants!$D$22/1000000000*(B59-Constants!$C$21)</f>
        <v>3.826750000000001E-2</v>
      </c>
      <c r="H59" s="207">
        <f>B59*C59*(B59/(Constants!$C$23*1000000000)*IF(ISBLANK(Design!$B$32),Design!$B$31,Design!$B$32)*1000000/2+B59/(Constants!$C$24*1000000000)*IF(ISBLANK(Design!$B$32),Design!$B$31,Design!$B$32)*1000000/2)</f>
        <v>6.1171256316098717E-2</v>
      </c>
      <c r="I59" s="207">
        <f t="shared" ca="1" si="13"/>
        <v>0.44089098081847972</v>
      </c>
      <c r="J59" s="207">
        <f>Constants!$D$22/1000000000*Constants!$C$21*IF(ISBLANK(Design!$B$32),Design!$B$31,Design!$B$32)*1000000</f>
        <v>1.0624999999999999E-2</v>
      </c>
      <c r="K59" s="207">
        <f t="shared" ca="1" si="22"/>
        <v>0.55095473713457843</v>
      </c>
      <c r="L59" s="207">
        <f t="shared" ca="1" si="17"/>
        <v>0.5634373253219167</v>
      </c>
      <c r="M59" s="208">
        <f ca="1">$A59+L59*Design!$B$19</f>
        <v>117.11592754334924</v>
      </c>
      <c r="N59" s="208">
        <f ca="1">K59*Design!$C$12+A59</f>
        <v>103.73246106257567</v>
      </c>
      <c r="O59" s="208">
        <f ca="1">Constants!$D$19+Constants!$D$19*Constants!$C$20/100*(N59-25)</f>
        <v>172.9470913420557</v>
      </c>
      <c r="P59" s="207">
        <f ca="1">(1-Constants!$D$17/1000000000*Design!$B$32*1000000) * ($B59+D59-C59*O59/1000) - (D59+C59*(1+($A59-25)*Constants!$C$31/100)*IF(ISBLANK(Design!$B$40),Constants!$C$6/1000,Design!$B$40/1000))</f>
        <v>8.1466758823962824</v>
      </c>
      <c r="Q59" s="157">
        <f ca="1">IF(P59&gt;Design!$C$28,Design!$C$28,P59)</f>
        <v>3.3223709369024856</v>
      </c>
      <c r="R59" s="158">
        <f>2*Design!$D$6/3</f>
        <v>1.6666666666666667</v>
      </c>
      <c r="S59" s="158">
        <f ca="1">FORECAST(R59, OFFSET(Design!$C$15:$C$17,MATCH(R59,Design!$B$15:$B$17,1)-1,0,2), OFFSET(Design!$B$15:$B$17,MATCH(R59,Design!$B$15:$B$17,1)-1,0,2))+(AB59-25)*Design!$B$18/1000</f>
        <v>0.35368755738823793</v>
      </c>
      <c r="T59" s="224">
        <f ca="1">IF(100*(Design!$C$28+S59+R59*IF(ISBLANK(Design!$B$40),Constants!$C$6,Design!$B$40)/1000*(1+Constants!$C$31/100*(AC59-25)))/($B59+S59-R59*AD59/1000)&gt;Design!$C$35,Design!$C$35,100*(Design!$C$28+S59+R59*IF(ISBLANK(Design!$B$40),Constants!$C$6,Design!$B$40)/1000*(1+Constants!$C$31/100*(AC59-25)))/($B59+S59-R59*AD59/1000))</f>
        <v>39.326417342189345</v>
      </c>
      <c r="U59" s="159">
        <f ca="1">IF(($B59-R59*IF(ISBLANK(Design!$B$40),Constants!$C$6,Design!$B$40)/1000*(1+Constants!$C$31/100*(AC59-25))-Design!$C$28)/(IF(ISBLANK(Design!$B$39),Design!$B$38,Design!$B$39)/1000000)*T59/100/(IF(ISBLANK(Design!$B$32),Design!$B$31,Design!$B$32)*1000000)&lt;0,0,($B59-R59*IF(ISBLANK(Design!$B$40),Constants!$C$6,Design!$B$40)/1000*(1+Constants!$C$31/100*(AC59-25))-Design!$C$28)/(IF(ISBLANK(Design!$B$39),Design!$B$38,Design!$B$39)/1000000)*T59/100/(IF(ISBLANK(Design!$B$32),Design!$B$31,Design!$B$32)*1000000))</f>
        <v>0.2570570061180697</v>
      </c>
      <c r="V59" s="225">
        <f>$B59*Constants!$C$18/1000+IF(ISBLANK(Design!$B$32),Design!$B$31,Design!$B$32)*1000000*Constants!$D$22/1000000000*($B59-Constants!$C$21)</f>
        <v>3.826750000000001E-2</v>
      </c>
      <c r="W59" s="225">
        <f>$B59*R59*($B59/(Constants!$C$23*1000000000)*IF(ISBLANK(Design!$B$32),Design!$B$31,Design!$B$32)*1000000/2+$B59/(Constants!$C$24*1000000000)*IF(ISBLANK(Design!$B$32),Design!$B$31,Design!$B$32)*1000000/2)</f>
        <v>4.0780837544065814E-2</v>
      </c>
      <c r="X59" s="225">
        <f t="shared" ca="1" si="14"/>
        <v>0.18164258156938365</v>
      </c>
      <c r="Y59" s="225">
        <f>Constants!$D$22/1000000000*Constants!$C$21*IF(ISBLANK(Design!$B$32),Design!$B$31,Design!$B$32)*1000000</f>
        <v>1.0624999999999999E-2</v>
      </c>
      <c r="Z59" s="225">
        <f t="shared" ca="1" si="23"/>
        <v>0.27131591911344943</v>
      </c>
      <c r="AA59" s="225">
        <f t="shared" ca="1" si="19"/>
        <v>0.35765818747057343</v>
      </c>
      <c r="AB59" s="226">
        <f ca="1">$A59+AA59*Design!$B$19</f>
        <v>105.38651668582268</v>
      </c>
      <c r="AC59" s="226">
        <f ca="1">Z59*Design!$C$12+$A59</f>
        <v>94.224741249857288</v>
      </c>
      <c r="AD59" s="226">
        <f ca="1">Constants!$D$19+Constants!$D$19*Constants!$C$20/100*(AC59-25)</f>
        <v>165.94940955989497</v>
      </c>
      <c r="AE59" s="225">
        <f ca="1">(1-Constants!$D$17/1000000000*Design!$B$32*1000000) * ($B59+S59-R59*AD59/1000) - (S59+R59*(1+($A59-25)*Constants!$C$31/100)*IF(ISBLANK(Design!$B$40),Constants!$C$6/1000,Design!$B$40/1000))</f>
        <v>8.3429803747098266</v>
      </c>
      <c r="AF59" s="159">
        <f ca="1">IF(AE59&gt;Design!$C$28,Design!$C$28,AE59)</f>
        <v>3.3223709369024856</v>
      </c>
      <c r="AG59" s="160">
        <f>Design!$D$6/3</f>
        <v>0.83333333333333337</v>
      </c>
      <c r="AH59" s="160">
        <f ca="1">FORECAST(AG59, OFFSET(Design!$C$15:$C$17,MATCH(AG59,Design!$B$15:$B$17,1)-1,0,2), OFFSET(Design!$B$15:$B$17,MATCH(AG59,Design!$B$15:$B$17,1)-1,0,2))+(AQ59-25)*Design!$B$18/1000</f>
        <v>0.30039330074332893</v>
      </c>
      <c r="AI59" s="238">
        <f ca="1">IF(100*(Design!$C$28+AH59+AG59*IF(ISBLANK(Design!$B$40),Constants!$C$6,Design!$B$40)/1000*(1+Constants!$C$31/100*(AR59-25)))/($B59+AH59-AG59*AS59/1000)&gt;Design!$C$35,Design!$C$35,100*(Design!$C$28+AH59+AG59*IF(ISBLANK(Design!$B$40),Constants!$C$6,Design!$B$40)/1000*(1+Constants!$C$31/100*(AR59-25)))/($B59+AH59-AG59*AS59/1000))</f>
        <v>37.864207434640271</v>
      </c>
      <c r="AJ59" s="161">
        <f ca="1">IF(($B59-AG59*IF(ISBLANK(Design!$B$40),Constants!$C$6,Design!$B$40)/1000*(1+Constants!$C$31/100*(AR59-25))-Design!$C$28)/(IF(ISBLANK(Design!$B$39),Design!$B$38,Design!$B$39)/1000000)*AI59/100/(IF(ISBLANK(Design!$B$32),Design!$B$31,Design!$B$32)*1000000)&lt;0,0,($B59-AG59*IF(ISBLANK(Design!$B$40),Constants!$C$6,Design!$B$40)/1000*(1+Constants!$C$31/100*(AR59-25))-Design!$C$28)/(IF(ISBLANK(Design!$B$39),Design!$B$38,Design!$B$39)/1000000)*AI59/100/(IF(ISBLANK(Design!$B$32),Design!$B$31,Design!$B$32)*1000000))</f>
        <v>0.24968155588136112</v>
      </c>
      <c r="AK59" s="239">
        <f>$B59*Constants!$C$18/1000+IF(ISBLANK(Design!$B$32),Design!$B$31,Design!$B$32)*1000000*Constants!$D$22/1000000000*($B59-Constants!$C$21)</f>
        <v>3.826750000000001E-2</v>
      </c>
      <c r="AL59" s="239">
        <f>$B59*AG59*($B59/(Constants!$C$23*1000000000)*IF(ISBLANK(Design!$B$32),Design!$B$31,Design!$B$32)*1000000/2+$B59/(Constants!$C$24*1000000000)*IF(ISBLANK(Design!$B$32),Design!$B$31,Design!$B$32)*1000000/2)</f>
        <v>2.0390418772032907E-2</v>
      </c>
      <c r="AM59" s="239">
        <f t="shared" ca="1" si="15"/>
        <v>4.2907275643321294E-2</v>
      </c>
      <c r="AN59" s="239">
        <f>Constants!$D$22/1000000000*Constants!$C$21*IF(ISBLANK(Design!$B$32),Design!$B$31,Design!$B$32)*1000000</f>
        <v>1.0624999999999999E-2</v>
      </c>
      <c r="AO59" s="239">
        <f t="shared" ca="1" si="24"/>
        <v>0.1121901944153542</v>
      </c>
      <c r="AP59" s="239">
        <f t="shared" ca="1" si="21"/>
        <v>0.15554313185842672</v>
      </c>
      <c r="AQ59" s="240">
        <f ca="1">$A59+AP59*Design!$B$19</f>
        <v>93.865958515930316</v>
      </c>
      <c r="AR59" s="240">
        <f ca="1">AO59*Design!$C$12+$A59</f>
        <v>88.814466610122039</v>
      </c>
      <c r="AS59" s="240">
        <f ca="1">Constants!$D$19+Constants!$D$19*Constants!$C$20/100*(AR59-25)</f>
        <v>161.96744742504984</v>
      </c>
      <c r="AT59" s="239">
        <f ca="1">(1-Constants!$D$17/1000000000*Design!$B$32*1000000) * ($B59+AH59-AG59*AS59/1000) - (AH59+AG59*(1+($A59-25)*Constants!$C$31/100)*IF(ISBLANK(Design!$B$40),Constants!$C$6/1000,Design!$B$40/1000))</f>
        <v>8.5285747241085517</v>
      </c>
      <c r="AU59" s="161">
        <f ca="1">IF(AT59&gt;Design!$C$28,Design!$C$28,AT59)</f>
        <v>3.3223709369024856</v>
      </c>
    </row>
    <row r="60" spans="1:47" ht="12.75" customHeight="1" x14ac:dyDescent="0.3">
      <c r="A60" s="154">
        <f>Design!$D$13</f>
        <v>85</v>
      </c>
      <c r="B60" s="155">
        <f t="shared" si="12"/>
        <v>9.3350000000000009</v>
      </c>
      <c r="C60" s="156">
        <f>Design!$D$6</f>
        <v>2.5</v>
      </c>
      <c r="D60" s="156">
        <f ca="1">FORECAST(C60, OFFSET(Design!$C$15:$C$17,MATCH(C60,Design!$B$15:$B$17,1)-1,0,2), OFFSET(Design!$B$15:$B$17,MATCH(C60,Design!$B$15:$B$17,1)-1,0,2))+(M60-25)*Design!$B$18/1000</f>
        <v>0.3808373643904352</v>
      </c>
      <c r="E60" s="215">
        <f ca="1">IF(100*(Design!$C$28+D60+C60*IF(ISBLANK(Design!$B$40),Constants!$C$6,Design!$B$40)/1000*(1+Constants!$C$31/100*(N60-25)))/($B60+D60-C60*O60/1000)&gt;Design!$C$35,Design!$C$35,100*(Design!$C$28+D60+C60*IF(ISBLANK(Design!$B$40),Constants!$C$6,Design!$B$40)/1000*(1+Constants!$C$31/100*(N60-25)))/($B60+D60-C60*O60/1000))</f>
        <v>41.656477311659188</v>
      </c>
      <c r="F60" s="157">
        <f ca="1">IF(($B60-C60*IF(ISBLANK(Design!$B$40),Constants!$C$6,Design!$B$40)/1000*(1+Constants!$C$31/100*(N60-25))-Design!$C$28)/(IF(ISBLANK(Design!$B$39),Design!$B$38,Design!$B$39)/1000000)*E60/100/(IF(ISBLANK(Design!$B$32),Design!$B$31,Design!$B$32)*1000000)&lt;0,0,($B60-C60*IF(ISBLANK(Design!$B$40),Constants!$C$6,Design!$B$40)/1000*(1+Constants!$C$31/100*(N60-25))-Design!$C$28)/(IF(ISBLANK(Design!$B$39),Design!$B$38,Design!$B$39)/1000000)*E60/100/(IF(ISBLANK(Design!$B$32),Design!$B$31,Design!$B$32)*1000000))</f>
        <v>0.26057984684211444</v>
      </c>
      <c r="G60" s="207">
        <f>B60*Constants!$C$18/1000+IF(ISBLANK(Design!$B$32),Design!$B$31,Design!$B$32)*1000000*Constants!$D$22/1000000000*(B60-Constants!$C$21)</f>
        <v>3.7216875000000003E-2</v>
      </c>
      <c r="H60" s="207">
        <f>B60*C60*(B60/(Constants!$C$23*1000000000)*IF(ISBLANK(Design!$B$32),Design!$B$31,Design!$B$32)*1000000/2+B60/(Constants!$C$24*1000000000)*IF(ISBLANK(Design!$B$32),Design!$B$31,Design!$B$32)*1000000/2)</f>
        <v>5.8570549044628883E-2</v>
      </c>
      <c r="I60" s="207">
        <f t="shared" ca="1" si="13"/>
        <v>0.45110876643808734</v>
      </c>
      <c r="J60" s="207">
        <f>Constants!$D$22/1000000000*Constants!$C$21*IF(ISBLANK(Design!$B$32),Design!$B$31,Design!$B$32)*1000000</f>
        <v>1.0624999999999999E-2</v>
      </c>
      <c r="K60" s="207">
        <f t="shared" ca="1" si="22"/>
        <v>0.5575211904827162</v>
      </c>
      <c r="L60" s="207">
        <f t="shared" ca="1" si="17"/>
        <v>0.55548483524703185</v>
      </c>
      <c r="M60" s="208">
        <f ca="1">$A60+L60*Design!$B$19</f>
        <v>116.66263560908081</v>
      </c>
      <c r="N60" s="208">
        <f ca="1">K60*Design!$C$12+A60</f>
        <v>103.95572047641235</v>
      </c>
      <c r="O60" s="208">
        <f ca="1">Constants!$D$19+Constants!$D$19*Constants!$C$20/100*(N60-25)</f>
        <v>173.11141027063951</v>
      </c>
      <c r="P60" s="207">
        <f ca="1">(1-Constants!$D$17/1000000000*Design!$B$32*1000000) * ($B60+D60-C60*O60/1000) - (D60+C60*(1+($A60-25)*Constants!$C$31/100)*IF(ISBLANK(Design!$B$40),Constants!$C$6/1000,Design!$B$40/1000))</f>
        <v>7.9586864730327278</v>
      </c>
      <c r="Q60" s="157">
        <f ca="1">IF(P60&gt;Design!$C$28,Design!$C$28,P60)</f>
        <v>3.3223709369024856</v>
      </c>
      <c r="R60" s="158">
        <f>2*Design!$D$6/3</f>
        <v>1.6666666666666667</v>
      </c>
      <c r="S60" s="158">
        <f ca="1">FORECAST(R60, OFFSET(Design!$C$15:$C$17,MATCH(R60,Design!$B$15:$B$17,1)-1,0,2), OFFSET(Design!$B$15:$B$17,MATCH(R60,Design!$B$15:$B$17,1)-1,0,2))+(AB60-25)*Design!$B$18/1000</f>
        <v>0.35396055051482977</v>
      </c>
      <c r="T60" s="224">
        <f ca="1">IF(100*(Design!$C$28+S60+R60*IF(ISBLANK(Design!$B$40),Constants!$C$6,Design!$B$40)/1000*(1+Constants!$C$31/100*(AC60-25)))/($B60+S60-R60*AD60/1000)&gt;Design!$C$35,Design!$C$35,100*(Design!$C$28+S60+R60*IF(ISBLANK(Design!$B$40),Constants!$C$6,Design!$B$40)/1000*(1+Constants!$C$31/100*(AC60-25)))/($B60+S60-R60*AD60/1000))</f>
        <v>40.185057256929632</v>
      </c>
      <c r="U60" s="159">
        <f ca="1">IF(($B60-R60*IF(ISBLANK(Design!$B$40),Constants!$C$6,Design!$B$40)/1000*(1+Constants!$C$31/100*(AC60-25))-Design!$C$28)/(IF(ISBLANK(Design!$B$39),Design!$B$38,Design!$B$39)/1000000)*T60/100/(IF(ISBLANK(Design!$B$32),Design!$B$31,Design!$B$32)*1000000)&lt;0,0,($B60-R60*IF(ISBLANK(Design!$B$40),Constants!$C$6,Design!$B$40)/1000*(1+Constants!$C$31/100*(AC60-25))-Design!$C$28)/(IF(ISBLANK(Design!$B$39),Design!$B$38,Design!$B$39)/1000000)*T60/100/(IF(ISBLANK(Design!$B$32),Design!$B$31,Design!$B$32)*1000000))</f>
        <v>0.25385829852221026</v>
      </c>
      <c r="V60" s="225">
        <f>$B60*Constants!$C$18/1000+IF(ISBLANK(Design!$B$32),Design!$B$31,Design!$B$32)*1000000*Constants!$D$22/1000000000*($B60-Constants!$C$21)</f>
        <v>3.7216875000000003E-2</v>
      </c>
      <c r="W60" s="225">
        <f>$B60*R60*($B60/(Constants!$C$23*1000000000)*IF(ISBLANK(Design!$B$32),Design!$B$31,Design!$B$32)*1000000/2+$B60/(Constants!$C$24*1000000000)*IF(ISBLANK(Design!$B$32),Design!$B$31,Design!$B$32)*1000000/2)</f>
        <v>3.9047032696419258E-2</v>
      </c>
      <c r="X60" s="225">
        <f t="shared" ca="1" si="14"/>
        <v>0.18563318040479951</v>
      </c>
      <c r="Y60" s="225">
        <f>Constants!$D$22/1000000000*Constants!$C$21*IF(ISBLANK(Design!$B$32),Design!$B$31,Design!$B$32)*1000000</f>
        <v>1.0624999999999999E-2</v>
      </c>
      <c r="Z60" s="225">
        <f t="shared" ca="1" si="23"/>
        <v>0.27252208810121875</v>
      </c>
      <c r="AA60" s="225">
        <f t="shared" ca="1" si="19"/>
        <v>0.35286883437250355</v>
      </c>
      <c r="AB60" s="226">
        <f ca="1">$A60+AA60*Design!$B$19</f>
        <v>105.1135235592327</v>
      </c>
      <c r="AC60" s="226">
        <f ca="1">Z60*Design!$C$12+$A60</f>
        <v>94.265750995441437</v>
      </c>
      <c r="AD60" s="226">
        <f ca="1">Constants!$D$19+Constants!$D$19*Constants!$C$20/100*(AC60-25)</f>
        <v>165.9795927326449</v>
      </c>
      <c r="AE60" s="225">
        <f ca="1">(1-Constants!$D$17/1000000000*Design!$B$32*1000000) * ($B60+S60-R60*AD60/1000) - (S60+R60*(1+($A60-25)*Constants!$C$31/100)*IF(ISBLANK(Design!$B$40),Constants!$C$6/1000,Design!$B$40/1000))</f>
        <v>8.1553361409556224</v>
      </c>
      <c r="AF60" s="159">
        <f ca="1">IF(AE60&gt;Design!$C$28,Design!$C$28,AE60)</f>
        <v>3.3223709369024856</v>
      </c>
      <c r="AG60" s="160">
        <f>Design!$D$6/3</f>
        <v>0.83333333333333337</v>
      </c>
      <c r="AH60" s="160">
        <f ca="1">FORECAST(AG60, OFFSET(Design!$C$15:$C$17,MATCH(AG60,Design!$B$15:$B$17,1)-1,0,2), OFFSET(Design!$B$15:$B$17,MATCH(AG60,Design!$B$15:$B$17,1)-1,0,2))+(AQ60-25)*Design!$B$18/1000</f>
        <v>0.30050666267377607</v>
      </c>
      <c r="AI60" s="238">
        <f ca="1">IF(100*(Design!$C$28+AH60+AG60*IF(ISBLANK(Design!$B$40),Constants!$C$6,Design!$B$40)/1000*(1+Constants!$C$31/100*(AR60-25)))/($B60+AH60-AG60*AS60/1000)&gt;Design!$C$35,Design!$C$35,100*(Design!$C$28+AH60+AG60*IF(ISBLANK(Design!$B$40),Constants!$C$6,Design!$B$40)/1000*(1+Constants!$C$31/100*(AR60-25)))/($B60+AH60-AG60*AS60/1000))</f>
        <v>38.681828338240464</v>
      </c>
      <c r="AJ60" s="161">
        <f ca="1">IF(($B60-AG60*IF(ISBLANK(Design!$B$40),Constants!$C$6,Design!$B$40)/1000*(1+Constants!$C$31/100*(AR60-25))-Design!$C$28)/(IF(ISBLANK(Design!$B$39),Design!$B$38,Design!$B$39)/1000000)*AI60/100/(IF(ISBLANK(Design!$B$32),Design!$B$31,Design!$B$32)*1000000)&lt;0,0,($B60-AG60*IF(ISBLANK(Design!$B$40),Constants!$C$6,Design!$B$40)/1000*(1+Constants!$C$31/100*(AR60-25))-Design!$C$28)/(IF(ISBLANK(Design!$B$39),Design!$B$38,Design!$B$39)/1000000)*AI60/100/(IF(ISBLANK(Design!$B$32),Design!$B$31,Design!$B$32)*1000000))</f>
        <v>0.24659224458118681</v>
      </c>
      <c r="AK60" s="239">
        <f>$B60*Constants!$C$18/1000+IF(ISBLANK(Design!$B$32),Design!$B$31,Design!$B$32)*1000000*Constants!$D$22/1000000000*($B60-Constants!$C$21)</f>
        <v>3.7216875000000003E-2</v>
      </c>
      <c r="AL60" s="239">
        <f>$B60*AG60*($B60/(Constants!$C$23*1000000000)*IF(ISBLANK(Design!$B$32),Design!$B$31,Design!$B$32)*1000000/2+$B60/(Constants!$C$24*1000000000)*IF(ISBLANK(Design!$B$32),Design!$B$31,Design!$B$32)*1000000/2)</f>
        <v>1.9523516348209629E-2</v>
      </c>
      <c r="AM60" s="239">
        <f t="shared" ca="1" si="15"/>
        <v>4.3818978988834974E-2</v>
      </c>
      <c r="AN60" s="239">
        <f>Constants!$D$22/1000000000*Constants!$C$21*IF(ISBLANK(Design!$B$32),Design!$B$31,Design!$B$32)*1000000</f>
        <v>1.0624999999999999E-2</v>
      </c>
      <c r="AO60" s="239">
        <f t="shared" ca="1" si="24"/>
        <v>0.11118437033704459</v>
      </c>
      <c r="AP60" s="239">
        <f t="shared" ca="1" si="21"/>
        <v>0.15355432606110891</v>
      </c>
      <c r="AQ60" s="240">
        <f ca="1">$A60+AP60*Design!$B$19</f>
        <v>93.752596585483204</v>
      </c>
      <c r="AR60" s="240">
        <f ca="1">AO60*Design!$C$12+$A60</f>
        <v>88.780268591459517</v>
      </c>
      <c r="AS60" s="240">
        <f ca="1">Constants!$D$19+Constants!$D$19*Constants!$C$20/100*(AR60-25)</f>
        <v>161.94227768331422</v>
      </c>
      <c r="AT60" s="239">
        <f ca="1">(1-Constants!$D$17/1000000000*Design!$B$32*1000000) * ($B60+AH60-AG60*AS60/1000) - (AH60+AG60*(1+($A60-25)*Constants!$C$31/100)*IF(ISBLANK(Design!$B$40),Constants!$C$6/1000,Design!$B$40/1000))</f>
        <v>8.3410092802725373</v>
      </c>
      <c r="AU60" s="161">
        <f ca="1">IF(AT60&gt;Design!$C$28,Design!$C$28,AT60)</f>
        <v>3.3223709369024856</v>
      </c>
    </row>
    <row r="61" spans="1:47" ht="12.75" customHeight="1" x14ac:dyDescent="0.3">
      <c r="A61" s="154">
        <f>Design!$D$13</f>
        <v>85</v>
      </c>
      <c r="B61" s="155">
        <f t="shared" si="12"/>
        <v>9.1300000000000008</v>
      </c>
      <c r="C61" s="156">
        <f>Design!$D$6</f>
        <v>2.5</v>
      </c>
      <c r="D61" s="156">
        <f ca="1">FORECAST(C61, OFFSET(Design!$C$15:$C$17,MATCH(C61,Design!$B$15:$B$17,1)-1,0,2), OFFSET(Design!$B$15:$B$17,MATCH(C61,Design!$B$15:$B$17,1)-1,0,2))+(M61-25)*Design!$B$18/1000</f>
        <v>0.38131248394436779</v>
      </c>
      <c r="E61" s="215">
        <f ca="1">IF(100*(Design!$C$28+D61+C61*IF(ISBLANK(Design!$B$40),Constants!$C$6,Design!$B$40)/1000*(1+Constants!$C$31/100*(N61-25)))/($B61+D61-C61*O61/1000)&gt;Design!$C$35,Design!$C$35,100*(Design!$C$28+D61+C61*IF(ISBLANK(Design!$B$40),Constants!$C$6,Design!$B$40)/1000*(1+Constants!$C$31/100*(N61-25)))/($B61+D61-C61*O61/1000))</f>
        <v>42.603567675755293</v>
      </c>
      <c r="F61" s="157">
        <f ca="1">IF(($B61-C61*IF(ISBLANK(Design!$B$40),Constants!$C$6,Design!$B$40)/1000*(1+Constants!$C$31/100*(N61-25))-Design!$C$28)/(IF(ISBLANK(Design!$B$39),Design!$B$38,Design!$B$39)/1000000)*E61/100/(IF(ISBLANK(Design!$B$32),Design!$B$31,Design!$B$32)*1000000)&lt;0,0,($B61-C61*IF(ISBLANK(Design!$B$40),Constants!$C$6,Design!$B$40)/1000*(1+Constants!$C$31/100*(N61-25))-Design!$C$28)/(IF(ISBLANK(Design!$B$39),Design!$B$38,Design!$B$39)/1000000)*E61/100/(IF(ISBLANK(Design!$B$32),Design!$B$31,Design!$B$32)*1000000))</f>
        <v>0.25715800724917831</v>
      </c>
      <c r="G61" s="207">
        <f>B61*Constants!$C$18/1000+IF(ISBLANK(Design!$B$32),Design!$B$31,Design!$B$32)*1000000*Constants!$D$22/1000000000*(B61-Constants!$C$21)</f>
        <v>3.6166250000000004E-2</v>
      </c>
      <c r="H61" s="207">
        <f>B61*C61*(B61/(Constants!$C$23*1000000000)*IF(ISBLANK(Design!$B$32),Design!$B$31,Design!$B$32)*1000000/2+B61/(Constants!$C$24*1000000000)*IF(ISBLANK(Design!$B$32),Design!$B$31,Design!$B$32)*1000000/2)</f>
        <v>5.6026333957598901E-2</v>
      </c>
      <c r="I61" s="207">
        <f t="shared" ca="1" si="13"/>
        <v>0.46182938823570335</v>
      </c>
      <c r="J61" s="207">
        <f>Constants!$D$22/1000000000*Constants!$C$21*IF(ISBLANK(Design!$B$32),Design!$B$31,Design!$B$32)*1000000</f>
        <v>1.0624999999999999E-2</v>
      </c>
      <c r="K61" s="207">
        <f t="shared" ca="1" si="22"/>
        <v>0.56464697219330229</v>
      </c>
      <c r="L61" s="207">
        <f t="shared" ca="1" si="17"/>
        <v>0.54714940447756377</v>
      </c>
      <c r="M61" s="208">
        <f ca="1">$A61+L61*Design!$B$19</f>
        <v>116.18751605522114</v>
      </c>
      <c r="N61" s="208">
        <f ca="1">K61*Design!$C$12+A61</f>
        <v>104.19799705457228</v>
      </c>
      <c r="O61" s="208">
        <f ca="1">Constants!$D$19+Constants!$D$19*Constants!$C$20/100*(N61-25)</f>
        <v>173.2897258321652</v>
      </c>
      <c r="P61" s="207">
        <f ca="1">(1-Constants!$D$17/1000000000*Design!$B$32*1000000) * ($B61+D61-C61*O61/1000) - (D61+C61*(1+($A61-25)*Constants!$C$31/100)*IF(ISBLANK(Design!$B$40),Constants!$C$6/1000,Design!$B$40/1000))</f>
        <v>7.7706631910236528</v>
      </c>
      <c r="Q61" s="157">
        <f ca="1">IF(P61&gt;Design!$C$28,Design!$C$28,P61)</f>
        <v>3.3223709369024856</v>
      </c>
      <c r="R61" s="158">
        <f>2*Design!$D$6/3</f>
        <v>1.6666666666666667</v>
      </c>
      <c r="S61" s="158">
        <f ca="1">FORECAST(R61, OFFSET(Design!$C$15:$C$17,MATCH(R61,Design!$B$15:$B$17,1)-1,0,2), OFFSET(Design!$B$15:$B$17,MATCH(R61,Design!$B$15:$B$17,1)-1,0,2))+(AB61-25)*Design!$B$18/1000</f>
        <v>0.35424618426472049</v>
      </c>
      <c r="T61" s="224">
        <f ca="1">IF(100*(Design!$C$28+S61+R61*IF(ISBLANK(Design!$B$40),Constants!$C$6,Design!$B$40)/1000*(1+Constants!$C$31/100*(AC61-25)))/($B61+S61-R61*AD61/1000)&gt;Design!$C$35,Design!$C$35,100*(Design!$C$28+S61+R61*IF(ISBLANK(Design!$B$40),Constants!$C$6,Design!$B$40)/1000*(1+Constants!$C$31/100*(AC61-25)))/($B61+S61-R61*AD61/1000))</f>
        <v>41.082038750748829</v>
      </c>
      <c r="U61" s="159">
        <f ca="1">IF(($B61-R61*IF(ISBLANK(Design!$B$40),Constants!$C$6,Design!$B$40)/1000*(1+Constants!$C$31/100*(AC61-25))-Design!$C$28)/(IF(ISBLANK(Design!$B$39),Design!$B$38,Design!$B$39)/1000000)*T61/100/(IF(ISBLANK(Design!$B$32),Design!$B$31,Design!$B$32)*1000000)&lt;0,0,($B61-R61*IF(ISBLANK(Design!$B$40),Constants!$C$6,Design!$B$40)/1000*(1+Constants!$C$31/100*(AC61-25))-Design!$C$28)/(IF(ISBLANK(Design!$B$39),Design!$B$38,Design!$B$39)/1000000)*T61/100/(IF(ISBLANK(Design!$B$32),Design!$B$31,Design!$B$32)*1000000))</f>
        <v>0.25051674741734697</v>
      </c>
      <c r="V61" s="225">
        <f>$B61*Constants!$C$18/1000+IF(ISBLANK(Design!$B$32),Design!$B$31,Design!$B$32)*1000000*Constants!$D$22/1000000000*($B61-Constants!$C$21)</f>
        <v>3.6166250000000004E-2</v>
      </c>
      <c r="W61" s="225">
        <f>$B61*R61*($B61/(Constants!$C$23*1000000000)*IF(ISBLANK(Design!$B$32),Design!$B$31,Design!$B$32)*1000000/2+$B61/(Constants!$C$24*1000000000)*IF(ISBLANK(Design!$B$32),Design!$B$31,Design!$B$32)*1000000/2)</f>
        <v>3.7350889305065936E-2</v>
      </c>
      <c r="X61" s="225">
        <f t="shared" ca="1" si="14"/>
        <v>0.18980802959573462</v>
      </c>
      <c r="Y61" s="225">
        <f>Constants!$D$22/1000000000*Constants!$C$21*IF(ISBLANK(Design!$B$32),Design!$B$31,Design!$B$32)*1000000</f>
        <v>1.0624999999999999E-2</v>
      </c>
      <c r="Z61" s="225">
        <f t="shared" ca="1" si="23"/>
        <v>0.27395016890080054</v>
      </c>
      <c r="AA61" s="225">
        <f t="shared" ca="1" si="19"/>
        <v>0.34785771595339821</v>
      </c>
      <c r="AB61" s="226">
        <f ca="1">$A61+AA61*Design!$B$19</f>
        <v>104.8278898093437</v>
      </c>
      <c r="AC61" s="226">
        <f ca="1">Z61*Design!$C$12+$A61</f>
        <v>94.314305742627212</v>
      </c>
      <c r="AD61" s="226">
        <f ca="1">Constants!$D$19+Constants!$D$19*Constants!$C$20/100*(AC61-25)</f>
        <v>166.01532902657362</v>
      </c>
      <c r="AE61" s="225">
        <f ca="1">(1-Constants!$D$17/1000000000*Design!$B$32*1000000) * ($B61+S61-R61*AD61/1000) - (S61+R61*(1+($A61-25)*Constants!$C$31/100)*IF(ISBLANK(Design!$B$40),Constants!$C$6/1000,Design!$B$40/1000))</f>
        <v>7.9676823642386418</v>
      </c>
      <c r="AF61" s="159">
        <f ca="1">IF(AE61&gt;Design!$C$28,Design!$C$28,AE61)</f>
        <v>3.3223709369024856</v>
      </c>
      <c r="AG61" s="160">
        <f>Design!$D$6/3</f>
        <v>0.83333333333333337</v>
      </c>
      <c r="AH61" s="160">
        <f ca="1">FORECAST(AG61, OFFSET(Design!$C$15:$C$17,MATCH(AG61,Design!$B$15:$B$17,1)-1,0,2), OFFSET(Design!$B$15:$B$17,MATCH(AG61,Design!$B$15:$B$17,1)-1,0,2))+(AQ61-25)*Design!$B$18/1000</f>
        <v>0.3006251184793895</v>
      </c>
      <c r="AI61" s="238">
        <f ca="1">IF(100*(Design!$C$28+AH61+AG61*IF(ISBLANK(Design!$B$40),Constants!$C$6,Design!$B$40)/1000*(1+Constants!$C$31/100*(AR61-25)))/($B61+AH61-AG61*AS61/1000)&gt;Design!$C$35,Design!$C$35,100*(Design!$C$28+AH61+AG61*IF(ISBLANK(Design!$B$40),Constants!$C$6,Design!$B$40)/1000*(1+Constants!$C$31/100*(AR61-25)))/($B61+AH61-AG61*AS61/1000))</f>
        <v>39.535529912206506</v>
      </c>
      <c r="AJ61" s="161">
        <f ca="1">IF(($B61-AG61*IF(ISBLANK(Design!$B$40),Constants!$C$6,Design!$B$40)/1000*(1+Constants!$C$31/100*(AR61-25))-Design!$C$28)/(IF(ISBLANK(Design!$B$39),Design!$B$38,Design!$B$39)/1000000)*AI61/100/(IF(ISBLANK(Design!$B$32),Design!$B$31,Design!$B$32)*1000000)&lt;0,0,($B61-AG61*IF(ISBLANK(Design!$B$40),Constants!$C$6,Design!$B$40)/1000*(1+Constants!$C$31/100*(AR61-25))-Design!$C$28)/(IF(ISBLANK(Design!$B$39),Design!$B$38,Design!$B$39)/1000000)*AI61/100/(IF(ISBLANK(Design!$B$32),Design!$B$31,Design!$B$32)*1000000))</f>
        <v>0.24336649982047748</v>
      </c>
      <c r="AK61" s="239">
        <f>$B61*Constants!$C$18/1000+IF(ISBLANK(Design!$B$32),Design!$B$31,Design!$B$32)*1000000*Constants!$D$22/1000000000*($B61-Constants!$C$21)</f>
        <v>3.6166250000000004E-2</v>
      </c>
      <c r="AL61" s="239">
        <f>$B61*AG61*($B61/(Constants!$C$23*1000000000)*IF(ISBLANK(Design!$B$32),Design!$B$31,Design!$B$32)*1000000/2+$B61/(Constants!$C$24*1000000000)*IF(ISBLANK(Design!$B$32),Design!$B$31,Design!$B$32)*1000000/2)</f>
        <v>1.8675444652532968E-2</v>
      </c>
      <c r="AM61" s="239">
        <f t="shared" ca="1" si="15"/>
        <v>4.4771074387448893E-2</v>
      </c>
      <c r="AN61" s="239">
        <f>Constants!$D$22/1000000000*Constants!$C$21*IF(ISBLANK(Design!$B$32),Design!$B$31,Design!$B$32)*1000000</f>
        <v>1.0624999999999999E-2</v>
      </c>
      <c r="AO61" s="239">
        <f t="shared" ca="1" si="24"/>
        <v>0.11023776903998186</v>
      </c>
      <c r="AP61" s="239">
        <f t="shared" ca="1" si="21"/>
        <v>0.15147615403280354</v>
      </c>
      <c r="AQ61" s="240">
        <f ca="1">$A61+AP61*Design!$B$19</f>
        <v>93.634140779869796</v>
      </c>
      <c r="AR61" s="240">
        <f ca="1">AO61*Design!$C$12+$A61</f>
        <v>88.748084147359378</v>
      </c>
      <c r="AS61" s="240">
        <f ca="1">Constants!$D$19+Constants!$D$19*Constants!$C$20/100*(AR61-25)</f>
        <v>161.91858993245651</v>
      </c>
      <c r="AT61" s="239">
        <f ca="1">(1-Constants!$D$17/1000000000*Design!$B$32*1000000) * ($B61+AH61-AG61*AS61/1000) - (AH61+AG61*(1+($A61-25)*Constants!$C$31/100)*IF(ISBLANK(Design!$B$40),Constants!$C$6/1000,Design!$B$40/1000))</f>
        <v>8.1534422734390883</v>
      </c>
      <c r="AU61" s="161">
        <f ca="1">IF(AT61&gt;Design!$C$28,Design!$C$28,AT61)</f>
        <v>3.3223709369024856</v>
      </c>
    </row>
    <row r="62" spans="1:47" ht="12.75" customHeight="1" x14ac:dyDescent="0.3">
      <c r="A62" s="154">
        <f>Design!$D$13</f>
        <v>85</v>
      </c>
      <c r="B62" s="155">
        <f t="shared" si="12"/>
        <v>8.9250000000000007</v>
      </c>
      <c r="C62" s="156">
        <f>Design!$D$6</f>
        <v>2.5</v>
      </c>
      <c r="D62" s="156">
        <f ca="1">FORECAST(C62, OFFSET(Design!$C$15:$C$17,MATCH(C62,Design!$B$15:$B$17,1)-1,0,2), OFFSET(Design!$B$15:$B$17,MATCH(C62,Design!$B$15:$B$17,1)-1,0,2))+(M62-25)*Design!$B$18/1000</f>
        <v>0.38181104885445366</v>
      </c>
      <c r="E62" s="215">
        <f ca="1">IF(100*(Design!$C$28+D62+C62*IF(ISBLANK(Design!$B$40),Constants!$C$6,Design!$B$40)/1000*(1+Constants!$C$31/100*(N62-25)))/($B62+D62-C62*O62/1000)&gt;Design!$C$35,Design!$C$35,100*(Design!$C$28+D62+C62*IF(ISBLANK(Design!$B$40),Constants!$C$6,Design!$B$40)/1000*(1+Constants!$C$31/100*(N62-25)))/($B62+D62-C62*O62/1000))</f>
        <v>43.594858945488049</v>
      </c>
      <c r="F62" s="157">
        <f ca="1">IF(($B62-C62*IF(ISBLANK(Design!$B$40),Constants!$C$6,Design!$B$40)/1000*(1+Constants!$C$31/100*(N62-25))-Design!$C$28)/(IF(ISBLANK(Design!$B$39),Design!$B$38,Design!$B$39)/1000000)*E62/100/(IF(ISBLANK(Design!$B$32),Design!$B$31,Design!$B$32)*1000000)&lt;0,0,($B62-C62*IF(ISBLANK(Design!$B$40),Constants!$C$6,Design!$B$40)/1000*(1+Constants!$C$31/100*(N62-25))-Design!$C$28)/(IF(ISBLANK(Design!$B$39),Design!$B$38,Design!$B$39)/1000000)*E62/100/(IF(ISBLANK(Design!$B$32),Design!$B$31,Design!$B$32)*1000000))</f>
        <v>0.25357726277590814</v>
      </c>
      <c r="G62" s="207">
        <f>B62*Constants!$C$18/1000+IF(ISBLANK(Design!$B$32),Design!$B$31,Design!$B$32)*1000000*Constants!$D$22/1000000000*(B62-Constants!$C$21)</f>
        <v>3.5115625000000004E-2</v>
      </c>
      <c r="H62" s="207">
        <f>B62*C62*(B62/(Constants!$C$23*1000000000)*IF(ISBLANK(Design!$B$32),Design!$B$31,Design!$B$32)*1000000/2+B62/(Constants!$C$24*1000000000)*IF(ISBLANK(Design!$B$32),Design!$B$31,Design!$B$32)*1000000/2)</f>
        <v>5.3538611055008817E-2</v>
      </c>
      <c r="I62" s="207">
        <f t="shared" ca="1" si="13"/>
        <v>0.47309064632555309</v>
      </c>
      <c r="J62" s="207">
        <f>Constants!$D$22/1000000000*Constants!$C$21*IF(ISBLANK(Design!$B$32),Design!$B$31,Design!$B$32)*1000000</f>
        <v>1.0624999999999999E-2</v>
      </c>
      <c r="K62" s="207">
        <f t="shared" ca="1" si="22"/>
        <v>0.57236988238056197</v>
      </c>
      <c r="L62" s="207">
        <f t="shared" ca="1" si="17"/>
        <v>0.53840265167016532</v>
      </c>
      <c r="M62" s="208">
        <f ca="1">$A62+L62*Design!$B$19</f>
        <v>115.68895114519943</v>
      </c>
      <c r="N62" s="208">
        <f ca="1">K62*Design!$C$12+A62</f>
        <v>104.46057600093911</v>
      </c>
      <c r="O62" s="208">
        <f ca="1">Constants!$D$19+Constants!$D$19*Constants!$C$20/100*(N62-25)</f>
        <v>173.4829839366912</v>
      </c>
      <c r="P62" s="207">
        <f ca="1">(1-Constants!$D$17/1000000000*Design!$B$32*1000000) * ($B62+D62-C62*O62/1000) - (D62+C62*(1+($A62-25)*Constants!$C$31/100)*IF(ISBLANK(Design!$B$40),Constants!$C$6/1000,Design!$B$40/1000))</f>
        <v>7.5826037350921922</v>
      </c>
      <c r="Q62" s="157">
        <f ca="1">IF(P62&gt;Design!$C$28,Design!$C$28,P62)</f>
        <v>3.3223709369024856</v>
      </c>
      <c r="R62" s="158">
        <f>2*Design!$D$6/3</f>
        <v>1.6666666666666667</v>
      </c>
      <c r="S62" s="158">
        <f ca="1">FORECAST(R62, OFFSET(Design!$C$15:$C$17,MATCH(R62,Design!$B$15:$B$17,1)-1,0,2), OFFSET(Design!$B$15:$B$17,MATCH(R62,Design!$B$15:$B$17,1)-1,0,2))+(AB62-25)*Design!$B$18/1000</f>
        <v>0.35454535690497713</v>
      </c>
      <c r="T62" s="224">
        <f ca="1">IF(100*(Design!$C$28+S62+R62*IF(ISBLANK(Design!$B$40),Constants!$C$6,Design!$B$40)/1000*(1+Constants!$C$31/100*(AC62-25)))/($B62+S62-R62*AD62/1000)&gt;Design!$C$35,Design!$C$35,100*(Design!$C$28+S62+R62*IF(ISBLANK(Design!$B$40),Constants!$C$6,Design!$B$40)/1000*(1+Constants!$C$31/100*(AC62-25)))/($B62+S62-R62*AD62/1000))</f>
        <v>42.019987039278227</v>
      </c>
      <c r="U62" s="159">
        <f ca="1">IF(($B62-R62*IF(ISBLANK(Design!$B$40),Constants!$C$6,Design!$B$40)/1000*(1+Constants!$C$31/100*(AC62-25))-Design!$C$28)/(IF(ISBLANK(Design!$B$39),Design!$B$38,Design!$B$39)/1000000)*T62/100/(IF(ISBLANK(Design!$B$32),Design!$B$31,Design!$B$32)*1000000)&lt;0,0,($B62-R62*IF(ISBLANK(Design!$B$40),Constants!$C$6,Design!$B$40)/1000*(1+Constants!$C$31/100*(AC62-25))-Design!$C$28)/(IF(ISBLANK(Design!$B$39),Design!$B$38,Design!$B$39)/1000000)*T62/100/(IF(ISBLANK(Design!$B$32),Design!$B$31,Design!$B$32)*1000000))</f>
        <v>0.24702255074524471</v>
      </c>
      <c r="V62" s="225">
        <f>$B62*Constants!$C$18/1000+IF(ISBLANK(Design!$B$32),Design!$B$31,Design!$B$32)*1000000*Constants!$D$22/1000000000*($B62-Constants!$C$21)</f>
        <v>3.5115625000000004E-2</v>
      </c>
      <c r="W62" s="225">
        <f>$B62*R62*($B62/(Constants!$C$23*1000000000)*IF(ISBLANK(Design!$B$32),Design!$B$31,Design!$B$32)*1000000/2+$B62/(Constants!$C$24*1000000000)*IF(ISBLANK(Design!$B$32),Design!$B$31,Design!$B$32)*1000000/2)</f>
        <v>3.5692407370005882E-2</v>
      </c>
      <c r="X62" s="225">
        <f t="shared" ca="1" si="14"/>
        <v>0.19418011202145161</v>
      </c>
      <c r="Y62" s="225">
        <f>Constants!$D$22/1000000000*Constants!$C$21*IF(ISBLANK(Design!$B$32),Design!$B$31,Design!$B$32)*1000000</f>
        <v>1.0624999999999999E-2</v>
      </c>
      <c r="Z62" s="225">
        <f t="shared" ca="1" si="23"/>
        <v>0.27561314439145745</v>
      </c>
      <c r="AA62" s="225">
        <f t="shared" ca="1" si="19"/>
        <v>0.34260907314190503</v>
      </c>
      <c r="AB62" s="226">
        <f ca="1">$A62+AA62*Design!$B$19</f>
        <v>104.52871716908859</v>
      </c>
      <c r="AC62" s="226">
        <f ca="1">Z62*Design!$C$12+$A62</f>
        <v>94.370846909309549</v>
      </c>
      <c r="AD62" s="226">
        <f ca="1">Constants!$D$19+Constants!$D$19*Constants!$C$20/100*(AC62-25)</f>
        <v>166.05694332525184</v>
      </c>
      <c r="AE62" s="225">
        <f ca="1">(1-Constants!$D$17/1000000000*Design!$B$32*1000000) * ($B62+S62-R62*AD62/1000) - (S62+R62*(1+($A62-25)*Constants!$C$31/100)*IF(ISBLANK(Design!$B$40),Constants!$C$6/1000,Design!$B$40/1000))</f>
        <v>7.7800184727587336</v>
      </c>
      <c r="AF62" s="159">
        <f ca="1">IF(AE62&gt;Design!$C$28,Design!$C$28,AE62)</f>
        <v>3.3223709369024856</v>
      </c>
      <c r="AG62" s="160">
        <f>Design!$D$6/3</f>
        <v>0.83333333333333337</v>
      </c>
      <c r="AH62" s="160">
        <f ca="1">FORECAST(AG62, OFFSET(Design!$C$15:$C$17,MATCH(AG62,Design!$B$15:$B$17,1)-1,0,2), OFFSET(Design!$B$15:$B$17,MATCH(AG62,Design!$B$15:$B$17,1)-1,0,2))+(AQ62-25)*Design!$B$18/1000</f>
        <v>0.30074901920552677</v>
      </c>
      <c r="AI62" s="238">
        <f ca="1">IF(100*(Design!$C$28+AH62+AG62*IF(ISBLANK(Design!$B$40),Constants!$C$6,Design!$B$40)/1000*(1+Constants!$C$31/100*(AR62-25)))/($B62+AH62-AG62*AS62/1000)&gt;Design!$C$35,Design!$C$35,100*(Design!$C$28+AH62+AG62*IF(ISBLANK(Design!$B$40),Constants!$C$6,Design!$B$40)/1000*(1+Constants!$C$31/100*(AR62-25)))/($B62+AH62-AG62*AS62/1000))</f>
        <v>40.427753023794644</v>
      </c>
      <c r="AJ62" s="161">
        <f ca="1">IF(($B62-AG62*IF(ISBLANK(Design!$B$40),Constants!$C$6,Design!$B$40)/1000*(1+Constants!$C$31/100*(AR62-25))-Design!$C$28)/(IF(ISBLANK(Design!$B$39),Design!$B$38,Design!$B$39)/1000000)*AI62/100/(IF(ISBLANK(Design!$B$32),Design!$B$31,Design!$B$32)*1000000)&lt;0,0,($B62-AG62*IF(ISBLANK(Design!$B$40),Constants!$C$6,Design!$B$40)/1000*(1+Constants!$C$31/100*(AR62-25))-Design!$C$28)/(IF(ISBLANK(Design!$B$39),Design!$B$38,Design!$B$39)/1000000)*AI62/100/(IF(ISBLANK(Design!$B$32),Design!$B$31,Design!$B$32)*1000000))</f>
        <v>0.23999507839072023</v>
      </c>
      <c r="AK62" s="239">
        <f>$B62*Constants!$C$18/1000+IF(ISBLANK(Design!$B$32),Design!$B$31,Design!$B$32)*1000000*Constants!$D$22/1000000000*($B62-Constants!$C$21)</f>
        <v>3.5115625000000004E-2</v>
      </c>
      <c r="AL62" s="239">
        <f>$B62*AG62*($B62/(Constants!$C$23*1000000000)*IF(ISBLANK(Design!$B$32),Design!$B$31,Design!$B$32)*1000000/2+$B62/(Constants!$C$24*1000000000)*IF(ISBLANK(Design!$B$32),Design!$B$31,Design!$B$32)*1000000/2)</f>
        <v>1.7846203685002941E-2</v>
      </c>
      <c r="AM62" s="239">
        <f t="shared" ca="1" si="15"/>
        <v>4.5766303835612927E-2</v>
      </c>
      <c r="AN62" s="239">
        <f>Constants!$D$22/1000000000*Constants!$C$21*IF(ISBLANK(Design!$B$32),Design!$B$31,Design!$B$32)*1000000</f>
        <v>1.0624999999999999E-2</v>
      </c>
      <c r="AO62" s="239">
        <f t="shared" ca="1" si="24"/>
        <v>0.10935313252061588</v>
      </c>
      <c r="AP62" s="239">
        <f t="shared" ca="1" si="21"/>
        <v>0.14930245708302642</v>
      </c>
      <c r="AQ62" s="240">
        <f ca="1">$A62+AP62*Design!$B$19</f>
        <v>93.510240053732502</v>
      </c>
      <c r="AR62" s="240">
        <f ca="1">AO62*Design!$C$12+$A62</f>
        <v>88.718006505700941</v>
      </c>
      <c r="AS62" s="240">
        <f ca="1">Constants!$D$19+Constants!$D$19*Constants!$C$20/100*(AR62-25)</f>
        <v>161.89645278819592</v>
      </c>
      <c r="AT62" s="239">
        <f ca="1">(1-Constants!$D$17/1000000000*Design!$B$32*1000000) * ($B62+AH62-AG62*AS62/1000) - (AH62+AG62*(1+($A62-25)*Constants!$C$31/100)*IF(ISBLANK(Design!$B$40),Constants!$C$6/1000,Design!$B$40/1000))</f>
        <v>7.9658736214498651</v>
      </c>
      <c r="AU62" s="161">
        <f ca="1">IF(AT62&gt;Design!$C$28,Design!$C$28,AT62)</f>
        <v>3.3223709369024856</v>
      </c>
    </row>
    <row r="63" spans="1:47" ht="12.75" customHeight="1" x14ac:dyDescent="0.3">
      <c r="A63" s="154">
        <f>Design!$D$13</f>
        <v>85</v>
      </c>
      <c r="B63" s="155">
        <f t="shared" si="12"/>
        <v>8.7200000000000006</v>
      </c>
      <c r="C63" s="156">
        <f>Design!$D$6</f>
        <v>2.5</v>
      </c>
      <c r="D63" s="156">
        <f ca="1">FORECAST(C63, OFFSET(Design!$C$15:$C$17,MATCH(C63,Design!$B$15:$B$17,1)-1,0,2), OFFSET(Design!$B$15:$B$17,MATCH(C63,Design!$B$15:$B$17,1)-1,0,2))+(M63-25)*Design!$B$18/1000</f>
        <v>0.3823348410564934</v>
      </c>
      <c r="E63" s="215">
        <f ca="1">IF(100*(Design!$C$28+D63+C63*IF(ISBLANK(Design!$B$40),Constants!$C$6,Design!$B$40)/1000*(1+Constants!$C$31/100*(N63-25)))/($B63+D63-C63*O63/1000)&gt;Design!$C$35,Design!$C$35,100*(Design!$C$28+D63+C63*IF(ISBLANK(Design!$B$40),Constants!$C$6,Design!$B$40)/1000*(1+Constants!$C$31/100*(N63-25)))/($B63+D63-C63*O63/1000))</f>
        <v>44.633524548179807</v>
      </c>
      <c r="F63" s="157">
        <f ca="1">IF(($B63-C63*IF(ISBLANK(Design!$B$40),Constants!$C$6,Design!$B$40)/1000*(1+Constants!$C$31/100*(N63-25))-Design!$C$28)/(IF(ISBLANK(Design!$B$39),Design!$B$38,Design!$B$39)/1000000)*E63/100/(IF(ISBLANK(Design!$B$32),Design!$B$31,Design!$B$32)*1000000)&lt;0,0,($B63-C63*IF(ISBLANK(Design!$B$40),Constants!$C$6,Design!$B$40)/1000*(1+Constants!$C$31/100*(N63-25))-Design!$C$28)/(IF(ISBLANK(Design!$B$39),Design!$B$38,Design!$B$39)/1000000)*E63/100/(IF(ISBLANK(Design!$B$32),Design!$B$31,Design!$B$32)*1000000))</f>
        <v>0.24982621939578378</v>
      </c>
      <c r="G63" s="207">
        <f>B63*Constants!$C$18/1000+IF(ISBLANK(Design!$B$32),Design!$B$31,Design!$B$32)*1000000*Constants!$D$22/1000000000*(B63-Constants!$C$21)</f>
        <v>3.4065000000000005E-2</v>
      </c>
      <c r="H63" s="207">
        <f>B63*C63*(B63/(Constants!$C$23*1000000000)*IF(ISBLANK(Design!$B$32),Design!$B$31,Design!$B$32)*1000000/2+B63/(Constants!$C$24*1000000000)*IF(ISBLANK(Design!$B$32),Design!$B$31,Design!$B$32)*1000000/2)</f>
        <v>5.1107380336858597E-2</v>
      </c>
      <c r="I63" s="207">
        <f t="shared" ca="1" si="13"/>
        <v>0.48493423465339947</v>
      </c>
      <c r="J63" s="207">
        <f>Constants!$D$22/1000000000*Constants!$C$21*IF(ISBLANK(Design!$B$32),Design!$B$31,Design!$B$32)*1000000</f>
        <v>1.0624999999999999E-2</v>
      </c>
      <c r="K63" s="207">
        <f t="shared" ca="1" si="22"/>
        <v>0.58073161499025805</v>
      </c>
      <c r="L63" s="207">
        <f t="shared" ca="1" si="17"/>
        <v>0.52921331479324785</v>
      </c>
      <c r="M63" s="208">
        <f ca="1">$A63+L63*Design!$B$19</f>
        <v>115.16515894321512</v>
      </c>
      <c r="N63" s="208">
        <f ca="1">K63*Design!$C$12+A63</f>
        <v>104.74487490966877</v>
      </c>
      <c r="O63" s="208">
        <f ca="1">Constants!$D$19+Constants!$D$19*Constants!$C$20/100*(N63-25)</f>
        <v>173.69222793351622</v>
      </c>
      <c r="P63" s="207">
        <f ca="1">(1-Constants!$D$17/1000000000*Design!$B$32*1000000) * ($B63+D63-C63*O63/1000) - (D63+C63*(1+($A63-25)*Constants!$C$31/100)*IF(ISBLANK(Design!$B$40),Constants!$C$6/1000,Design!$B$40/1000))</f>
        <v>7.3945055671122812</v>
      </c>
      <c r="Q63" s="157">
        <f ca="1">IF(P63&gt;Design!$C$28,Design!$C$28,P63)</f>
        <v>3.3223709369024856</v>
      </c>
      <c r="R63" s="158">
        <f>2*Design!$D$6/3</f>
        <v>1.6666666666666667</v>
      </c>
      <c r="S63" s="158">
        <f ca="1">FORECAST(R63, OFFSET(Design!$C$15:$C$17,MATCH(R63,Design!$B$15:$B$17,1)-1,0,2), OFFSET(Design!$B$15:$B$17,MATCH(R63,Design!$B$15:$B$17,1)-1,0,2))+(AB63-25)*Design!$B$18/1000</f>
        <v>0.35485905383610145</v>
      </c>
      <c r="T63" s="224">
        <f ca="1">IF(100*(Design!$C$28+S63+R63*IF(ISBLANK(Design!$B$40),Constants!$C$6,Design!$B$40)/1000*(1+Constants!$C$31/100*(AC63-25)))/($B63+S63-R63*AD63/1000)&gt;Design!$C$35,Design!$C$35,100*(Design!$C$28+S63+R63*IF(ISBLANK(Design!$B$40),Constants!$C$6,Design!$B$40)/1000*(1+Constants!$C$31/100*(AC63-25)))/($B63+S63-R63*AD63/1000))</f>
        <v>43.001772467281178</v>
      </c>
      <c r="U63" s="159">
        <f ca="1">IF(($B63-R63*IF(ISBLANK(Design!$B$40),Constants!$C$6,Design!$B$40)/1000*(1+Constants!$C$31/100*(AC63-25))-Design!$C$28)/(IF(ISBLANK(Design!$B$39),Design!$B$38,Design!$B$39)/1000000)*T63/100/(IF(ISBLANK(Design!$B$32),Design!$B$31,Design!$B$32)*1000000)&lt;0,0,($B63-R63*IF(ISBLANK(Design!$B$40),Constants!$C$6,Design!$B$40)/1000*(1+Constants!$C$31/100*(AC63-25))-Design!$C$28)/(IF(ISBLANK(Design!$B$39),Design!$B$38,Design!$B$39)/1000000)*T63/100/(IF(ISBLANK(Design!$B$32),Design!$B$31,Design!$B$32)*1000000))</f>
        <v>0.24336498931873604</v>
      </c>
      <c r="V63" s="225">
        <f>$B63*Constants!$C$18/1000+IF(ISBLANK(Design!$B$32),Design!$B$31,Design!$B$32)*1000000*Constants!$D$22/1000000000*($B63-Constants!$C$21)</f>
        <v>3.4065000000000005E-2</v>
      </c>
      <c r="W63" s="225">
        <f>$B63*R63*($B63/(Constants!$C$23*1000000000)*IF(ISBLANK(Design!$B$32),Design!$B$31,Design!$B$32)*1000000/2+$B63/(Constants!$C$24*1000000000)*IF(ISBLANK(Design!$B$32),Design!$B$31,Design!$B$32)*1000000/2)</f>
        <v>3.407158689123907E-2</v>
      </c>
      <c r="X63" s="225">
        <f t="shared" ca="1" si="14"/>
        <v>0.1987636599364507</v>
      </c>
      <c r="Y63" s="225">
        <f>Constants!$D$22/1000000000*Constants!$C$21*IF(ISBLANK(Design!$B$32),Design!$B$31,Design!$B$32)*1000000</f>
        <v>1.0624999999999999E-2</v>
      </c>
      <c r="Z63" s="225">
        <f t="shared" ca="1" si="23"/>
        <v>0.27752524682768975</v>
      </c>
      <c r="AA63" s="225">
        <f t="shared" ca="1" si="19"/>
        <v>0.3371056182099238</v>
      </c>
      <c r="AB63" s="226">
        <f ca="1">$A63+AA63*Design!$B$19</f>
        <v>104.21502023796566</v>
      </c>
      <c r="AC63" s="226">
        <f ca="1">Z63*Design!$C$12+$A63</f>
        <v>94.435858392141455</v>
      </c>
      <c r="AD63" s="226">
        <f ca="1">Constants!$D$19+Constants!$D$19*Constants!$C$20/100*(AC63-25)</f>
        <v>166.10479177661611</v>
      </c>
      <c r="AE63" s="225">
        <f ca="1">(1-Constants!$D$17/1000000000*Design!$B$32*1000000) * ($B63+S63-R63*AD63/1000) - (S63+R63*(1+($A63-25)*Constants!$C$31/100)*IF(ISBLANK(Design!$B$40),Constants!$C$6/1000,Design!$B$40/1000))</f>
        <v>7.5923438396312593</v>
      </c>
      <c r="AF63" s="159">
        <f ca="1">IF(AE63&gt;Design!$C$28,Design!$C$28,AE63)</f>
        <v>3.3223709369024856</v>
      </c>
      <c r="AG63" s="160">
        <f>Design!$D$6/3</f>
        <v>0.83333333333333337</v>
      </c>
      <c r="AH63" s="160">
        <f ca="1">FORECAST(AG63, OFFSET(Design!$C$15:$C$17,MATCH(AG63,Design!$B$15:$B$17,1)-1,0,2), OFFSET(Design!$B$15:$B$17,MATCH(AG63,Design!$B$15:$B$17,1)-1,0,2))+(AQ63-25)*Design!$B$18/1000</f>
        <v>0.30087874889544464</v>
      </c>
      <c r="AI63" s="238">
        <f ca="1">IF(100*(Design!$C$28+AH63+AG63*IF(ISBLANK(Design!$B$40),Constants!$C$6,Design!$B$40)/1000*(1+Constants!$C$31/100*(AR63-25)))/($B63+AH63-AG63*AS63/1000)&gt;Design!$C$35,Design!$C$35,100*(Design!$C$28+AH63+AG63*IF(ISBLANK(Design!$B$40),Constants!$C$6,Design!$B$40)/1000*(1+Constants!$C$31/100*(AR63-25)))/($B63+AH63-AG63*AS63/1000))</f>
        <v>41.361163664553068</v>
      </c>
      <c r="AJ63" s="161">
        <f ca="1">IF(($B63-AG63*IF(ISBLANK(Design!$B$40),Constants!$C$6,Design!$B$40)/1000*(1+Constants!$C$31/100*(AR63-25))-Design!$C$28)/(IF(ISBLANK(Design!$B$39),Design!$B$38,Design!$B$39)/1000000)*AI63/100/(IF(ISBLANK(Design!$B$32),Design!$B$31,Design!$B$32)*1000000)&lt;0,0,($B63-AG63*IF(ISBLANK(Design!$B$40),Constants!$C$6,Design!$B$40)/1000*(1+Constants!$C$31/100*(AR63-25))-Design!$C$28)/(IF(ISBLANK(Design!$B$39),Design!$B$38,Design!$B$39)/1000000)*AI63/100/(IF(ISBLANK(Design!$B$32),Design!$B$31,Design!$B$32)*1000000))</f>
        <v>0.23646788334677338</v>
      </c>
      <c r="AK63" s="239">
        <f>$B63*Constants!$C$18/1000+IF(ISBLANK(Design!$B$32),Design!$B$31,Design!$B$32)*1000000*Constants!$D$22/1000000000*($B63-Constants!$C$21)</f>
        <v>3.4065000000000005E-2</v>
      </c>
      <c r="AL63" s="239">
        <f>$B63*AG63*($B63/(Constants!$C$23*1000000000)*IF(ISBLANK(Design!$B$32),Design!$B$31,Design!$B$32)*1000000/2+$B63/(Constants!$C$24*1000000000)*IF(ISBLANK(Design!$B$32),Design!$B$31,Design!$B$32)*1000000/2)</f>
        <v>1.7035793445619535E-2</v>
      </c>
      <c r="AM63" s="239">
        <f t="shared" ca="1" si="15"/>
        <v>4.6807663863775509E-2</v>
      </c>
      <c r="AN63" s="239">
        <f>Constants!$D$22/1000000000*Constants!$C$21*IF(ISBLANK(Design!$B$32),Design!$B$31,Design!$B$32)*1000000</f>
        <v>1.0624999999999999E-2</v>
      </c>
      <c r="AO63" s="239">
        <f t="shared" ca="1" si="24"/>
        <v>0.10853345730939504</v>
      </c>
      <c r="AP63" s="239">
        <f t="shared" ca="1" si="21"/>
        <v>0.14702649761078346</v>
      </c>
      <c r="AQ63" s="240">
        <f ca="1">$A63+AP63*Design!$B$19</f>
        <v>93.380510363814665</v>
      </c>
      <c r="AR63" s="240">
        <f ca="1">AO63*Design!$C$12+$A63</f>
        <v>88.690137548519431</v>
      </c>
      <c r="AS63" s="240">
        <f ca="1">Constants!$D$19+Constants!$D$19*Constants!$C$20/100*(AR63-25)</f>
        <v>161.87594123571031</v>
      </c>
      <c r="AT63" s="239">
        <f ca="1">(1-Constants!$D$17/1000000000*Design!$B$32*1000000) * ($B63+AH63-AG63*AS63/1000) - (AH63+AG63*(1+($A63-25)*Constants!$C$31/100)*IF(ISBLANK(Design!$B$40),Constants!$C$6/1000,Design!$B$40/1000))</f>
        <v>7.7783032344849925</v>
      </c>
      <c r="AU63" s="161">
        <f ca="1">IF(AT63&gt;Design!$C$28,Design!$C$28,AT63)</f>
        <v>3.3223709369024856</v>
      </c>
    </row>
    <row r="64" spans="1:47" ht="12.75" customHeight="1" x14ac:dyDescent="0.3">
      <c r="A64" s="154">
        <f>Design!$D$13</f>
        <v>85</v>
      </c>
      <c r="B64" s="155">
        <f t="shared" si="12"/>
        <v>8.5150000000000006</v>
      </c>
      <c r="C64" s="156">
        <f>Design!$D$6</f>
        <v>2.5</v>
      </c>
      <c r="D64" s="156">
        <f ca="1">FORECAST(C64, OFFSET(Design!$C$15:$C$17,MATCH(C64,Design!$B$15:$B$17,1)-1,0,2), OFFSET(Design!$B$15:$B$17,MATCH(C64,Design!$B$15:$B$17,1)-1,0,2))+(M64-25)*Design!$B$18/1000</f>
        <v>0.38288582810115868</v>
      </c>
      <c r="E64" s="215">
        <f ca="1">IF(100*(Design!$C$28+D64+C64*IF(ISBLANK(Design!$B$40),Constants!$C$6,Design!$B$40)/1000*(1+Constants!$C$31/100*(N64-25)))/($B64+D64-C64*O64/1000)&gt;Design!$C$35,Design!$C$35,100*(Design!$C$28+D64+C64*IF(ISBLANK(Design!$B$40),Constants!$C$6,Design!$B$40)/1000*(1+Constants!$C$31/100*(N64-25)))/($B64+D64-C64*O64/1000))</f>
        <v>45.723049819779668</v>
      </c>
      <c r="F64" s="157">
        <f ca="1">IF(($B64-C64*IF(ISBLANK(Design!$B$40),Constants!$C$6,Design!$B$40)/1000*(1+Constants!$C$31/100*(N64-25))-Design!$C$28)/(IF(ISBLANK(Design!$B$39),Design!$B$38,Design!$B$39)/1000000)*E64/100/(IF(ISBLANK(Design!$B$32),Design!$B$31,Design!$B$32)*1000000)&lt;0,0,($B64-C64*IF(ISBLANK(Design!$B$40),Constants!$C$6,Design!$B$40)/1000*(1+Constants!$C$31/100*(N64-25))-Design!$C$28)/(IF(ISBLANK(Design!$B$39),Design!$B$38,Design!$B$39)/1000000)*E64/100/(IF(ISBLANK(Design!$B$32),Design!$B$31,Design!$B$32)*1000000))</f>
        <v>0.24589236567434081</v>
      </c>
      <c r="G64" s="207">
        <f>B64*Constants!$C$18/1000+IF(ISBLANK(Design!$B$32),Design!$B$31,Design!$B$32)*1000000*Constants!$D$22/1000000000*(B64-Constants!$C$21)</f>
        <v>3.3014375000000006E-2</v>
      </c>
      <c r="H64" s="207">
        <f>B64*C64*(B64/(Constants!$C$23*1000000000)*IF(ISBLANK(Design!$B$32),Design!$B$31,Design!$B$32)*1000000/2+B64/(Constants!$C$24*1000000000)*IF(ISBLANK(Design!$B$32),Design!$B$31,Design!$B$32)*1000000/2)</f>
        <v>4.8732641803148256E-2</v>
      </c>
      <c r="I64" s="207">
        <f t="shared" ca="1" si="13"/>
        <v>0.49740625669875987</v>
      </c>
      <c r="J64" s="207">
        <f>Constants!$D$22/1000000000*Constants!$C$21*IF(ISBLANK(Design!$B$32),Design!$B$31,Design!$B$32)*1000000</f>
        <v>1.0624999999999999E-2</v>
      </c>
      <c r="K64" s="207">
        <f t="shared" ca="1" si="22"/>
        <v>0.58977827350190815</v>
      </c>
      <c r="L64" s="207">
        <f t="shared" ca="1" si="17"/>
        <v>0.51954687541397493</v>
      </c>
      <c r="M64" s="208">
        <f ca="1">$A64+L64*Design!$B$19</f>
        <v>114.61417189859657</v>
      </c>
      <c r="N64" s="208">
        <f ca="1">K64*Design!$C$12+A64</f>
        <v>105.05246129906487</v>
      </c>
      <c r="O64" s="208">
        <f ca="1">Constants!$D$19+Constants!$D$19*Constants!$C$20/100*(N64-25)</f>
        <v>173.91861151611175</v>
      </c>
      <c r="P64" s="207">
        <f ca="1">(1-Constants!$D$17/1000000000*Design!$B$32*1000000) * ($B64+D64-C64*O64/1000) - (D64+C64*(1+($A64-25)*Constants!$C$31/100)*IF(ISBLANK(Design!$B$40),Constants!$C$6/1000,Design!$B$40/1000))</f>
        <v>7.2063658807682964</v>
      </c>
      <c r="Q64" s="157">
        <f ca="1">IF(P64&gt;Design!$C$28,Design!$C$28,P64)</f>
        <v>3.3223709369024856</v>
      </c>
      <c r="R64" s="158">
        <f>2*Design!$D$6/3</f>
        <v>1.6666666666666667</v>
      </c>
      <c r="S64" s="158">
        <f ca="1">FORECAST(R64, OFFSET(Design!$C$15:$C$17,MATCH(R64,Design!$B$15:$B$17,1)-1,0,2), OFFSET(Design!$B$15:$B$17,MATCH(R64,Design!$B$15:$B$17,1)-1,0,2))+(AB64-25)*Design!$B$18/1000</f>
        <v>0.35518835841420604</v>
      </c>
      <c r="T64" s="224">
        <f ca="1">IF(100*(Design!$C$28+S64+R64*IF(ISBLANK(Design!$B$40),Constants!$C$6,Design!$B$40)/1000*(1+Constants!$C$31/100*(AC64-25)))/($B64+S64-R64*AD64/1000)&gt;Design!$C$35,Design!$C$35,100*(Design!$C$28+S64+R64*IF(ISBLANK(Design!$B$40),Constants!$C$6,Design!$B$40)/1000*(1+Constants!$C$31/100*(AC64-25)))/($B64+S64-R64*AD64/1000))</f>
        <v>44.030539786416838</v>
      </c>
      <c r="U64" s="159">
        <f ca="1">IF(($B64-R64*IF(ISBLANK(Design!$B$40),Constants!$C$6,Design!$B$40)/1000*(1+Constants!$C$31/100*(AC64-25))-Design!$C$28)/(IF(ISBLANK(Design!$B$39),Design!$B$38,Design!$B$39)/1000000)*T64/100/(IF(ISBLANK(Design!$B$32),Design!$B$31,Design!$B$32)*1000000)&lt;0,0,($B64-R64*IF(ISBLANK(Design!$B$40),Constants!$C$6,Design!$B$40)/1000*(1+Constants!$C$31/100*(AC64-25))-Design!$C$28)/(IF(ISBLANK(Design!$B$39),Design!$B$38,Design!$B$39)/1000000)*T64/100/(IF(ISBLANK(Design!$B$32),Design!$B$31,Design!$B$32)*1000000))</f>
        <v>0.23953231704258399</v>
      </c>
      <c r="V64" s="225">
        <f>$B64*Constants!$C$18/1000+IF(ISBLANK(Design!$B$32),Design!$B$31,Design!$B$32)*1000000*Constants!$D$22/1000000000*($B64-Constants!$C$21)</f>
        <v>3.3014375000000006E-2</v>
      </c>
      <c r="W64" s="225">
        <f>$B64*R64*($B64/(Constants!$C$23*1000000000)*IF(ISBLANK(Design!$B$32),Design!$B$31,Design!$B$32)*1000000/2+$B64/(Constants!$C$24*1000000000)*IF(ISBLANK(Design!$B$32),Design!$B$31,Design!$B$32)*1000000/2)</f>
        <v>3.2488427868765504E-2</v>
      </c>
      <c r="X64" s="225">
        <f t="shared" ca="1" si="14"/>
        <v>0.20357430899438206</v>
      </c>
      <c r="Y64" s="225">
        <f>Constants!$D$22/1000000000*Constants!$C$21*IF(ISBLANK(Design!$B$32),Design!$B$31,Design!$B$32)*1000000</f>
        <v>1.0624999999999999E-2</v>
      </c>
      <c r="Z64" s="225">
        <f t="shared" ca="1" si="23"/>
        <v>0.27970211186314753</v>
      </c>
      <c r="AA64" s="225">
        <f t="shared" ca="1" si="19"/>
        <v>0.33132834490986368</v>
      </c>
      <c r="AB64" s="226">
        <f ca="1">$A64+AA64*Design!$B$19</f>
        <v>103.88571565986223</v>
      </c>
      <c r="AC64" s="226">
        <f ca="1">Z64*Design!$C$12+$A64</f>
        <v>94.509871803347011</v>
      </c>
      <c r="AD64" s="226">
        <f ca="1">Constants!$D$19+Constants!$D$19*Constants!$C$20/100*(AC64-25)</f>
        <v>166.1592656472634</v>
      </c>
      <c r="AE64" s="225">
        <f ca="1">(1-Constants!$D$17/1000000000*Design!$B$32*1000000) * ($B64+S64-R64*AD64/1000) - (S64+R64*(1+($A64-25)*Constants!$C$31/100)*IF(ISBLANK(Design!$B$40),Constants!$C$6/1000,Design!$B$40/1000))</f>
        <v>7.4046577760893832</v>
      </c>
      <c r="AF64" s="159">
        <f ca="1">IF(AE64&gt;Design!$C$28,Design!$C$28,AE64)</f>
        <v>3.3223709369024856</v>
      </c>
      <c r="AG64" s="160">
        <f>Design!$D$6/3</f>
        <v>0.83333333333333337</v>
      </c>
      <c r="AH64" s="160">
        <f ca="1">FORECAST(AG64, OFFSET(Design!$C$15:$C$17,MATCH(AG64,Design!$B$15:$B$17,1)-1,0,2), OFFSET(Design!$B$15:$B$17,MATCH(AG64,Design!$B$15:$B$17,1)-1,0,2))+(AQ64-25)*Design!$B$18/1000</f>
        <v>0.30101472855866646</v>
      </c>
      <c r="AI64" s="238">
        <f ca="1">IF(100*(Design!$C$28+AH64+AG64*IF(ISBLANK(Design!$B$40),Constants!$C$6,Design!$B$40)/1000*(1+Constants!$C$31/100*(AR64-25)))/($B64+AH64-AG64*AS64/1000)&gt;Design!$C$35,Design!$C$35,100*(Design!$C$28+AH64+AG64*IF(ISBLANK(Design!$B$40),Constants!$C$6,Design!$B$40)/1000*(1+Constants!$C$31/100*(AR64-25)))/($B64+AH64-AG64*AS64/1000))</f>
        <v>42.338679501832509</v>
      </c>
      <c r="AJ64" s="161">
        <f ca="1">IF(($B64-AG64*IF(ISBLANK(Design!$B$40),Constants!$C$6,Design!$B$40)/1000*(1+Constants!$C$31/100*(AR64-25))-Design!$C$28)/(IF(ISBLANK(Design!$B$39),Design!$B$38,Design!$B$39)/1000000)*AI64/100/(IF(ISBLANK(Design!$B$32),Design!$B$31,Design!$B$32)*1000000)&lt;0,0,($B64-AG64*IF(ISBLANK(Design!$B$40),Constants!$C$6,Design!$B$40)/1000*(1+Constants!$C$31/100*(AR64-25))-Design!$C$28)/(IF(ISBLANK(Design!$B$39),Design!$B$38,Design!$B$39)/1000000)*AI64/100/(IF(ISBLANK(Design!$B$32),Design!$B$31,Design!$B$32)*1000000))</f>
        <v>0.23277386316472976</v>
      </c>
      <c r="AK64" s="239">
        <f>$B64*Constants!$C$18/1000+IF(ISBLANK(Design!$B$32),Design!$B$31,Design!$B$32)*1000000*Constants!$D$22/1000000000*($B64-Constants!$C$21)</f>
        <v>3.3014375000000006E-2</v>
      </c>
      <c r="AL64" s="239">
        <f>$B64*AG64*($B64/(Constants!$C$23*1000000000)*IF(ISBLANK(Design!$B$32),Design!$B$31,Design!$B$32)*1000000/2+$B64/(Constants!$C$24*1000000000)*IF(ISBLANK(Design!$B$32),Design!$B$31,Design!$B$32)*1000000/2)</f>
        <v>1.6244213934382752E-2</v>
      </c>
      <c r="AM64" s="239">
        <f t="shared" ca="1" si="15"/>
        <v>4.7898435847922409E-2</v>
      </c>
      <c r="AN64" s="239">
        <f>Constants!$D$22/1000000000*Constants!$C$21*IF(ISBLANK(Design!$B$32),Design!$B$31,Design!$B$32)*1000000</f>
        <v>1.0624999999999999E-2</v>
      </c>
      <c r="AO64" s="239">
        <f t="shared" ca="1" si="24"/>
        <v>0.10778202478230517</v>
      </c>
      <c r="AP64" s="239">
        <f t="shared" ca="1" si="21"/>
        <v>0.14464088948408463</v>
      </c>
      <c r="AQ64" s="240">
        <f ca="1">$A64+AP64*Design!$B$19</f>
        <v>93.244530700592819</v>
      </c>
      <c r="AR64" s="240">
        <f ca="1">AO64*Design!$C$12+$A64</f>
        <v>88.664588842598377</v>
      </c>
      <c r="AS64" s="240">
        <f ca="1">Constants!$D$19+Constants!$D$19*Constants!$C$20/100*(AR64-25)</f>
        <v>161.85713738815241</v>
      </c>
      <c r="AT64" s="239">
        <f ca="1">(1-Constants!$D$17/1000000000*Design!$B$32*1000000) * ($B64+AH64-AG64*AS64/1000) - (AH64+AG64*(1+($A64-25)*Constants!$C$31/100)*IF(ISBLANK(Design!$B$40),Constants!$C$6/1000,Design!$B$40/1000))</f>
        <v>7.5907310141473818</v>
      </c>
      <c r="AU64" s="161">
        <f ca="1">IF(AT64&gt;Design!$C$28,Design!$C$28,AT64)</f>
        <v>3.3223709369024856</v>
      </c>
    </row>
    <row r="65" spans="1:47" ht="12.75" customHeight="1" x14ac:dyDescent="0.3">
      <c r="A65" s="154">
        <f>Design!$D$13</f>
        <v>85</v>
      </c>
      <c r="B65" s="155">
        <f t="shared" si="12"/>
        <v>8.31</v>
      </c>
      <c r="C65" s="156">
        <f>Design!$D$6</f>
        <v>2.5</v>
      </c>
      <c r="D65" s="156">
        <f ca="1">FORECAST(C65, OFFSET(Design!$C$15:$C$17,MATCH(C65,Design!$B$15:$B$17,1)-1,0,2), OFFSET(Design!$B$15:$B$17,MATCH(C65,Design!$B$15:$B$17,1)-1,0,2))+(M65-25)*Design!$B$18/1000</f>
        <v>0.38346618801825982</v>
      </c>
      <c r="E65" s="215">
        <f ca="1">IF(100*(Design!$C$28+D65+C65*IF(ISBLANK(Design!$B$40),Constants!$C$6,Design!$B$40)/1000*(1+Constants!$C$31/100*(N65-25)))/($B65+D65-C65*O65/1000)&gt;Design!$C$35,Design!$C$35,100*(Design!$C$28+D65+C65*IF(ISBLANK(Design!$B$40),Constants!$C$6,Design!$B$40)/1000*(1+Constants!$C$31/100*(N65-25)))/($B65+D65-C65*O65/1000))</f>
        <v>46.867271389384157</v>
      </c>
      <c r="F65" s="157">
        <f ca="1">IF(($B65-C65*IF(ISBLANK(Design!$B$40),Constants!$C$6,Design!$B$40)/1000*(1+Constants!$C$31/100*(N65-25))-Design!$C$28)/(IF(ISBLANK(Design!$B$39),Design!$B$38,Design!$B$39)/1000000)*E65/100/(IF(ISBLANK(Design!$B$32),Design!$B$31,Design!$B$32)*1000000)&lt;0,0,($B65-C65*IF(ISBLANK(Design!$B$40),Constants!$C$6,Design!$B$40)/1000*(1+Constants!$C$31/100*(N65-25))-Design!$C$28)/(IF(ISBLANK(Design!$B$39),Design!$B$38,Design!$B$39)/1000000)*E65/100/(IF(ISBLANK(Design!$B$32),Design!$B$31,Design!$B$32)*1000000))</f>
        <v>0.24176193203619079</v>
      </c>
      <c r="G65" s="207">
        <f>B65*Constants!$C$18/1000+IF(ISBLANK(Design!$B$32),Design!$B$31,Design!$B$32)*1000000*Constants!$D$22/1000000000*(B65-Constants!$C$21)</f>
        <v>3.1963749999999999E-2</v>
      </c>
      <c r="H65" s="207">
        <f>B65*C65*(B65/(Constants!$C$23*1000000000)*IF(ISBLANK(Design!$B$32),Design!$B$31,Design!$B$32)*1000000/2+B65/(Constants!$C$24*1000000000)*IF(ISBLANK(Design!$B$32),Design!$B$31,Design!$B$32)*1000000/2)</f>
        <v>4.6414395453877801E-2</v>
      </c>
      <c r="I65" s="207">
        <f t="shared" ca="1" si="13"/>
        <v>0.5105578255510278</v>
      </c>
      <c r="J65" s="207">
        <f>Constants!$D$22/1000000000*Constants!$C$21*IF(ISBLANK(Design!$B$32),Design!$B$31,Design!$B$32)*1000000</f>
        <v>1.0624999999999999E-2</v>
      </c>
      <c r="K65" s="207">
        <f t="shared" ca="1" si="22"/>
        <v>0.59956097100490557</v>
      </c>
      <c r="L65" s="207">
        <f t="shared" ca="1" si="17"/>
        <v>0.50936512248303967</v>
      </c>
      <c r="M65" s="208">
        <f ca="1">$A65+L65*Design!$B$19</f>
        <v>114.03381198153326</v>
      </c>
      <c r="N65" s="208">
        <f ca="1">K65*Design!$C$12+A65</f>
        <v>105.38507301416679</v>
      </c>
      <c r="O65" s="208">
        <f ca="1">Constants!$D$19+Constants!$D$19*Constants!$C$20/100*(N65-25)</f>
        <v>174.16341373842675</v>
      </c>
      <c r="P65" s="207">
        <f ca="1">(1-Constants!$D$17/1000000000*Design!$B$32*1000000) * ($B65+D65-C65*O65/1000) - (D65+C65*(1+($A65-25)*Constants!$C$31/100)*IF(ISBLANK(Design!$B$40),Constants!$C$6/1000,Design!$B$40/1000))</f>
        <v>7.0181815650917967</v>
      </c>
      <c r="Q65" s="157">
        <f ca="1">IF(P65&gt;Design!$C$28,Design!$C$28,P65)</f>
        <v>3.3223709369024856</v>
      </c>
      <c r="R65" s="158">
        <f>2*Design!$D$6/3</f>
        <v>1.6666666666666667</v>
      </c>
      <c r="S65" s="158">
        <f ca="1">FORECAST(R65, OFFSET(Design!$C$15:$C$17,MATCH(R65,Design!$B$15:$B$17,1)-1,0,2), OFFSET(Design!$B$15:$B$17,MATCH(R65,Design!$B$15:$B$17,1)-1,0,2))+(AB65-25)*Design!$B$18/1000</f>
        <v>0.35553446442634734</v>
      </c>
      <c r="T65" s="224">
        <f ca="1">IF(100*(Design!$C$28+S65+R65*IF(ISBLANK(Design!$B$40),Constants!$C$6,Design!$B$40)/1000*(1+Constants!$C$31/100*(AC65-25)))/($B65+S65-R65*AD65/1000)&gt;Design!$C$35,Design!$C$35,100*(Design!$C$28+S65+R65*IF(ISBLANK(Design!$B$40),Constants!$C$6,Design!$B$40)/1000*(1+Constants!$C$31/100*(AC65-25)))/($B65+S65-R65*AD65/1000))</f>
        <v>45.109741729152901</v>
      </c>
      <c r="U65" s="159">
        <f ca="1">IF(($B65-R65*IF(ISBLANK(Design!$B$40),Constants!$C$6,Design!$B$40)/1000*(1+Constants!$C$31/100*(AC65-25))-Design!$C$28)/(IF(ISBLANK(Design!$B$39),Design!$B$38,Design!$B$39)/1000000)*T65/100/(IF(ISBLANK(Design!$B$32),Design!$B$31,Design!$B$32)*1000000)&lt;0,0,($B65-R65*IF(ISBLANK(Design!$B$40),Constants!$C$6,Design!$B$40)/1000*(1+Constants!$C$31/100*(AC65-25))-Design!$C$28)/(IF(ISBLANK(Design!$B$39),Design!$B$38,Design!$B$39)/1000000)*T65/100/(IF(ISBLANK(Design!$B$32),Design!$B$31,Design!$B$32)*1000000))</f>
        <v>0.23551163498789138</v>
      </c>
      <c r="V65" s="225">
        <f>$B65*Constants!$C$18/1000+IF(ISBLANK(Design!$B$32),Design!$B$31,Design!$B$32)*1000000*Constants!$D$22/1000000000*($B65-Constants!$C$21)</f>
        <v>3.1963749999999999E-2</v>
      </c>
      <c r="W65" s="225">
        <f>$B65*R65*($B65/(Constants!$C$23*1000000000)*IF(ISBLANK(Design!$B$32),Design!$B$31,Design!$B$32)*1000000/2+$B65/(Constants!$C$24*1000000000)*IF(ISBLANK(Design!$B$32),Design!$B$31,Design!$B$32)*1000000/2)</f>
        <v>3.09429303025852E-2</v>
      </c>
      <c r="X65" s="225">
        <f t="shared" ca="1" si="14"/>
        <v>0.20862927563801997</v>
      </c>
      <c r="Y65" s="225">
        <f>Constants!$D$22/1000000000*Constants!$C$21*IF(ISBLANK(Design!$B$32),Design!$B$31,Design!$B$32)*1000000</f>
        <v>1.0624999999999999E-2</v>
      </c>
      <c r="Z65" s="225">
        <f t="shared" ca="1" si="23"/>
        <v>0.2821609559406052</v>
      </c>
      <c r="AA65" s="225">
        <f t="shared" ca="1" si="19"/>
        <v>0.32525630960915847</v>
      </c>
      <c r="AB65" s="226">
        <f ca="1">$A65+AA65*Design!$B$19</f>
        <v>103.53960964772203</v>
      </c>
      <c r="AC65" s="226">
        <f ca="1">Z65*Design!$C$12+$A65</f>
        <v>94.593472501980571</v>
      </c>
      <c r="AD65" s="226">
        <f ca="1">Constants!$D$19+Constants!$D$19*Constants!$C$20/100*(AC65-25)</f>
        <v>166.22079576145771</v>
      </c>
      <c r="AE65" s="225">
        <f ca="1">(1-Constants!$D$17/1000000000*Design!$B$32*1000000) * ($B65+S65-R65*AD65/1000) - (S65+R65*(1+($A65-25)*Constants!$C$31/100)*IF(ISBLANK(Design!$B$40),Constants!$C$6/1000,Design!$B$40/1000))</f>
        <v>7.2169595236542037</v>
      </c>
      <c r="AF65" s="159">
        <f ca="1">IF(AE65&gt;Design!$C$28,Design!$C$28,AE65)</f>
        <v>3.3223709369024856</v>
      </c>
      <c r="AG65" s="160">
        <f>Design!$D$6/3</f>
        <v>0.83333333333333337</v>
      </c>
      <c r="AH65" s="160">
        <f ca="1">FORECAST(AG65, OFFSET(Design!$C$15:$C$17,MATCH(AG65,Design!$B$15:$B$17,1)-1,0,2), OFFSET(Design!$B$15:$B$17,MATCH(AG65,Design!$B$15:$B$17,1)-1,0,2))+(AQ65-25)*Design!$B$18/1000</f>
        <v>0.30115742072581858</v>
      </c>
      <c r="AI65" s="238">
        <f ca="1">IF(100*(Design!$C$28+AH65+AG65*IF(ISBLANK(Design!$B$40),Constants!$C$6,Design!$B$40)/1000*(1+Constants!$C$31/100*(AR65-25)))/($B65+AH65-AG65*AS65/1000)&gt;Design!$C$35,Design!$C$35,100*(Design!$C$28+AH65+AG65*IF(ISBLANK(Design!$B$40),Constants!$C$6,Design!$B$40)/1000*(1+Constants!$C$31/100*(AR65-25)))/($B65+AH65-AG65*AS65/1000))</f>
        <v>43.363500276510472</v>
      </c>
      <c r="AJ65" s="161">
        <f ca="1">IF(($B65-AG65*IF(ISBLANK(Design!$B$40),Constants!$C$6,Design!$B$40)/1000*(1+Constants!$C$31/100*(AR65-25))-Design!$C$28)/(IF(ISBLANK(Design!$B$39),Design!$B$38,Design!$B$39)/1000000)*AI65/100/(IF(ISBLANK(Design!$B$32),Design!$B$31,Design!$B$32)*1000000)&lt;0,0,($B65-AG65*IF(ISBLANK(Design!$B$40),Constants!$C$6,Design!$B$40)/1000*(1+Constants!$C$31/100*(AR65-25))-Design!$C$28)/(IF(ISBLANK(Design!$B$39),Design!$B$38,Design!$B$39)/1000000)*AI65/100/(IF(ISBLANK(Design!$B$32),Design!$B$31,Design!$B$32)*1000000))</f>
        <v>0.22890089626898938</v>
      </c>
      <c r="AK65" s="239">
        <f>$B65*Constants!$C$18/1000+IF(ISBLANK(Design!$B$32),Design!$B$31,Design!$B$32)*1000000*Constants!$D$22/1000000000*($B65-Constants!$C$21)</f>
        <v>3.1963749999999999E-2</v>
      </c>
      <c r="AL65" s="239">
        <f>$B65*AG65*($B65/(Constants!$C$23*1000000000)*IF(ISBLANK(Design!$B$32),Design!$B$31,Design!$B$32)*1000000/2+$B65/(Constants!$C$24*1000000000)*IF(ISBLANK(Design!$B$32),Design!$B$31,Design!$B$32)*1000000/2)</f>
        <v>1.54714651512926E-2</v>
      </c>
      <c r="AM65" s="239">
        <f t="shared" ca="1" si="15"/>
        <v>4.9042220769849813E-2</v>
      </c>
      <c r="AN65" s="239">
        <f>Constants!$D$22/1000000000*Constants!$C$21*IF(ISBLANK(Design!$B$32),Design!$B$31,Design!$B$32)*1000000</f>
        <v>1.0624999999999999E-2</v>
      </c>
      <c r="AO65" s="239">
        <f t="shared" ca="1" si="24"/>
        <v>0.10710243592114241</v>
      </c>
      <c r="AP65" s="239">
        <f t="shared" ca="1" si="21"/>
        <v>0.14213751813053871</v>
      </c>
      <c r="AQ65" s="240">
        <f ca="1">$A65+AP65*Design!$B$19</f>
        <v>93.101838533440713</v>
      </c>
      <c r="AR65" s="240">
        <f ca="1">AO65*Design!$C$12+$A65</f>
        <v>88.641482821318846</v>
      </c>
      <c r="AS65" s="240">
        <f ca="1">Constants!$D$19+Constants!$D$19*Constants!$C$20/100*(AR65-25)</f>
        <v>161.84013135649067</v>
      </c>
      <c r="AT65" s="239">
        <f ca="1">(1-Constants!$D$17/1000000000*Design!$B$32*1000000) * ($B65+AH65-AG65*AS65/1000) - (AH65+AG65*(1+($A65-25)*Constants!$C$31/100)*IF(ISBLANK(Design!$B$40),Constants!$C$6/1000,Design!$B$40/1000))</f>
        <v>7.4031568524123159</v>
      </c>
      <c r="AU65" s="161">
        <f ca="1">IF(AT65&gt;Design!$C$28,Design!$C$28,AT65)</f>
        <v>3.3223709369024856</v>
      </c>
    </row>
    <row r="66" spans="1:47" ht="12.75" customHeight="1" x14ac:dyDescent="0.3">
      <c r="A66" s="154">
        <f>Design!$D$13</f>
        <v>85</v>
      </c>
      <c r="B66" s="155">
        <f t="shared" si="12"/>
        <v>8.1050000000000004</v>
      </c>
      <c r="C66" s="156">
        <f>Design!$D$6</f>
        <v>2.5</v>
      </c>
      <c r="D66" s="156">
        <f ca="1">FORECAST(C66, OFFSET(Design!$C$15:$C$17,MATCH(C66,Design!$B$15:$B$17,1)-1,0,2), OFFSET(Design!$B$15:$B$17,MATCH(C66,Design!$B$15:$B$17,1)-1,0,2))+(M66-25)*Design!$B$18/1000</f>
        <v>0.38407833829689914</v>
      </c>
      <c r="E66" s="215">
        <f ca="1">IF(100*(Design!$C$28+D66+C66*IF(ISBLANK(Design!$B$40),Constants!$C$6,Design!$B$40)/1000*(1+Constants!$C$31/100*(N66-25)))/($B66+D66-C66*O66/1000)&gt;Design!$C$35,Design!$C$35,100*(Design!$C$28+D66+C66*IF(ISBLANK(Design!$B$40),Constants!$C$6,Design!$B$40)/1000*(1+Constants!$C$31/100*(N66-25)))/($B66+D66-C66*O66/1000))</f>
        <v>48.070422703664313</v>
      </c>
      <c r="F66" s="157">
        <f ca="1">IF(($B66-C66*IF(ISBLANK(Design!$B$40),Constants!$C$6,Design!$B$40)/1000*(1+Constants!$C$31/100*(N66-25))-Design!$C$28)/(IF(ISBLANK(Design!$B$39),Design!$B$38,Design!$B$39)/1000000)*E66/100/(IF(ISBLANK(Design!$B$32),Design!$B$31,Design!$B$32)*1000000)&lt;0,0,($B66-C66*IF(ISBLANK(Design!$B$40),Constants!$C$6,Design!$B$40)/1000*(1+Constants!$C$31/100*(N66-25))-Design!$C$28)/(IF(ISBLANK(Design!$B$39),Design!$B$38,Design!$B$39)/1000000)*E66/100/(IF(ISBLANK(Design!$B$32),Design!$B$31,Design!$B$32)*1000000))</f>
        <v>0.23741972815710655</v>
      </c>
      <c r="G66" s="207">
        <f>B66*Constants!$C$18/1000+IF(ISBLANK(Design!$B$32),Design!$B$31,Design!$B$32)*1000000*Constants!$D$22/1000000000*(B66-Constants!$C$21)</f>
        <v>3.0913125E-2</v>
      </c>
      <c r="H66" s="207">
        <f>B66*C66*(B66/(Constants!$C$23*1000000000)*IF(ISBLANK(Design!$B$32),Design!$B$31,Design!$B$32)*1000000/2+B66/(Constants!$C$24*1000000000)*IF(ISBLANK(Design!$B$32),Design!$B$31,Design!$B$32)*1000000/2)</f>
        <v>4.4152641289047209E-2</v>
      </c>
      <c r="I66" s="207">
        <f t="shared" ca="1" si="13"/>
        <v>0.52444576495423956</v>
      </c>
      <c r="J66" s="207">
        <f>Constants!$D$22/1000000000*Constants!$C$21*IF(ISBLANK(Design!$B$32),Design!$B$31,Design!$B$32)*1000000</f>
        <v>1.0624999999999999E-2</v>
      </c>
      <c r="K66" s="207">
        <f t="shared" ca="1" si="22"/>
        <v>0.61013653124328682</v>
      </c>
      <c r="L66" s="207">
        <f t="shared" ca="1" si="17"/>
        <v>0.49862564391092484</v>
      </c>
      <c r="M66" s="208">
        <f ca="1">$A66+L66*Design!$B$19</f>
        <v>113.42166170292272</v>
      </c>
      <c r="N66" s="208">
        <f ca="1">K66*Design!$C$12+A66</f>
        <v>105.74464206227175</v>
      </c>
      <c r="O66" s="208">
        <f ca="1">Constants!$D$19+Constants!$D$19*Constants!$C$20/100*(N66-25)</f>
        <v>174.42805655783201</v>
      </c>
      <c r="P66" s="207">
        <f ca="1">(1-Constants!$D$17/1000000000*Design!$B$32*1000000) * ($B66+D66-C66*O66/1000) - (D66+C66*(1+($A66-25)*Constants!$C$31/100)*IF(ISBLANK(Design!$B$40),Constants!$C$6/1000,Design!$B$40/1000))</f>
        <v>6.8299491618687229</v>
      </c>
      <c r="Q66" s="157">
        <f ca="1">IF(P66&gt;Design!$C$28,Design!$C$28,P66)</f>
        <v>3.3223709369024856</v>
      </c>
      <c r="R66" s="158">
        <f>2*Design!$D$6/3</f>
        <v>1.6666666666666667</v>
      </c>
      <c r="S66" s="158">
        <f ca="1">FORECAST(R66, OFFSET(Design!$C$15:$C$17,MATCH(R66,Design!$B$15:$B$17,1)-1,0,2), OFFSET(Design!$B$15:$B$17,MATCH(R66,Design!$B$15:$B$17,1)-1,0,2))+(AB66-25)*Design!$B$18/1000</f>
        <v>0.35589869052115408</v>
      </c>
      <c r="T66" s="224">
        <f ca="1">IF(100*(Design!$C$28+S66+R66*IF(ISBLANK(Design!$B$40),Constants!$C$6,Design!$B$40)/1000*(1+Constants!$C$31/100*(AC66-25)))/($B66+S66-R66*AD66/1000)&gt;Design!$C$35,Design!$C$35,100*(Design!$C$28+S66+R66*IF(ISBLANK(Design!$B$40),Constants!$C$6,Design!$B$40)/1000*(1+Constants!$C$31/100*(AC66-25)))/($B66+S66-R66*AD66/1000))</f>
        <v>46.24317763219463</v>
      </c>
      <c r="U66" s="159">
        <f ca="1">IF(($B66-R66*IF(ISBLANK(Design!$B$40),Constants!$C$6,Design!$B$40)/1000*(1+Constants!$C$31/100*(AC66-25))-Design!$C$28)/(IF(ISBLANK(Design!$B$39),Design!$B$38,Design!$B$39)/1000000)*T66/100/(IF(ISBLANK(Design!$B$32),Design!$B$31,Design!$B$32)*1000000)&lt;0,0,($B66-R66*IF(ISBLANK(Design!$B$40),Constants!$C$6,Design!$B$40)/1000*(1+Constants!$C$31/100*(AC66-25))-Design!$C$28)/(IF(ISBLANK(Design!$B$39),Design!$B$38,Design!$B$39)/1000000)*T66/100/(IF(ISBLANK(Design!$B$32),Design!$B$31,Design!$B$32)*1000000))</f>
        <v>0.23128874648150968</v>
      </c>
      <c r="V66" s="225">
        <f>$B66*Constants!$C$18/1000+IF(ISBLANK(Design!$B$32),Design!$B$31,Design!$B$32)*1000000*Constants!$D$22/1000000000*($B66-Constants!$C$21)</f>
        <v>3.0913125E-2</v>
      </c>
      <c r="W66" s="225">
        <f>$B66*R66*($B66/(Constants!$C$23*1000000000)*IF(ISBLANK(Design!$B$32),Design!$B$31,Design!$B$32)*1000000/2+$B66/(Constants!$C$24*1000000000)*IF(ISBLANK(Design!$B$32),Design!$B$31,Design!$B$32)*1000000/2)</f>
        <v>2.9435094192698137E-2</v>
      </c>
      <c r="X66" s="225">
        <f t="shared" ca="1" si="14"/>
        <v>0.21394756209876095</v>
      </c>
      <c r="Y66" s="225">
        <f>Constants!$D$22/1000000000*Constants!$C$21*IF(ISBLANK(Design!$B$32),Design!$B$31,Design!$B$32)*1000000</f>
        <v>1.0624999999999999E-2</v>
      </c>
      <c r="Z66" s="225">
        <f t="shared" ca="1" si="23"/>
        <v>0.28492078129145909</v>
      </c>
      <c r="AA66" s="225">
        <f t="shared" ca="1" si="19"/>
        <v>0.31886637812133695</v>
      </c>
      <c r="AB66" s="226">
        <f ca="1">$A66+AA66*Design!$B$19</f>
        <v>103.1753835529162</v>
      </c>
      <c r="AC66" s="226">
        <f ca="1">Z66*Design!$C$12+$A66</f>
        <v>94.687306563909601</v>
      </c>
      <c r="AD66" s="226">
        <f ca="1">Constants!$D$19+Constants!$D$19*Constants!$C$20/100*(AC66-25)</f>
        <v>166.28985763103748</v>
      </c>
      <c r="AE66" s="225">
        <f ca="1">(1-Constants!$D$17/1000000000*Design!$B$32*1000000) * ($B66+S66-R66*AD66/1000) - (S66+R66*(1+($A66-25)*Constants!$C$31/100)*IF(ISBLANK(Design!$B$40),Constants!$C$6/1000,Design!$B$40/1000))</f>
        <v>7.0292482450850375</v>
      </c>
      <c r="AF66" s="159">
        <f ca="1">IF(AE66&gt;Design!$C$28,Design!$C$28,AE66)</f>
        <v>3.3223709369024856</v>
      </c>
      <c r="AG66" s="160">
        <f>Design!$D$6/3</f>
        <v>0.83333333333333337</v>
      </c>
      <c r="AH66" s="160">
        <f ca="1">FORECAST(AG66, OFFSET(Design!$C$15:$C$17,MATCH(AG66,Design!$B$15:$B$17,1)-1,0,2), OFFSET(Design!$B$15:$B$17,MATCH(AG66,Design!$B$15:$B$17,1)-1,0,2))+(AQ66-25)*Design!$B$18/1000</f>
        <v>0.30130733469354287</v>
      </c>
      <c r="AI66" s="238">
        <f ca="1">IF(100*(Design!$C$28+AH66+AG66*IF(ISBLANK(Design!$B$40),Constants!$C$6,Design!$B$40)/1000*(1+Constants!$C$31/100*(AR66-25)))/($B66+AH66-AG66*AS66/1000)&gt;Design!$C$35,Design!$C$35,100*(Design!$C$28+AH66+AG66*IF(ISBLANK(Design!$B$40),Constants!$C$6,Design!$B$40)/1000*(1+Constants!$C$31/100*(AR66-25)))/($B66+AH66-AG66*AS66/1000))</f>
        <v>44.439142712580136</v>
      </c>
      <c r="AJ66" s="161">
        <f ca="1">IF(($B66-AG66*IF(ISBLANK(Design!$B$40),Constants!$C$6,Design!$B$40)/1000*(1+Constants!$C$31/100*(AR66-25))-Design!$C$28)/(IF(ISBLANK(Design!$B$39),Design!$B$38,Design!$B$39)/1000000)*AI66/100/(IF(ISBLANK(Design!$B$32),Design!$B$31,Design!$B$32)*1000000)&lt;0,0,($B66-AG66*IF(ISBLANK(Design!$B$40),Constants!$C$6,Design!$B$40)/1000*(1+Constants!$C$31/100*(AR66-25))-Design!$C$28)/(IF(ISBLANK(Design!$B$39),Design!$B$38,Design!$B$39)/1000000)*AI66/100/(IF(ISBLANK(Design!$B$32),Design!$B$31,Design!$B$32)*1000000))</f>
        <v>0.22483565839226885</v>
      </c>
      <c r="AK66" s="239">
        <f>$B66*Constants!$C$18/1000+IF(ISBLANK(Design!$B$32),Design!$B$31,Design!$B$32)*1000000*Constants!$D$22/1000000000*($B66-Constants!$C$21)</f>
        <v>3.0913125E-2</v>
      </c>
      <c r="AL66" s="239">
        <f>$B66*AG66*($B66/(Constants!$C$23*1000000000)*IF(ISBLANK(Design!$B$32),Design!$B$31,Design!$B$32)*1000000/2+$B66/(Constants!$C$24*1000000000)*IF(ISBLANK(Design!$B$32),Design!$B$31,Design!$B$32)*1000000/2)</f>
        <v>1.4717547096349069E-2</v>
      </c>
      <c r="AM66" s="239">
        <f t="shared" ca="1" si="15"/>
        <v>5.0242979209086575E-2</v>
      </c>
      <c r="AN66" s="239">
        <f>Constants!$D$22/1000000000*Constants!$C$21*IF(ISBLANK(Design!$B$32),Design!$B$31,Design!$B$32)*1000000</f>
        <v>1.0624999999999999E-2</v>
      </c>
      <c r="AO66" s="239">
        <f t="shared" ca="1" si="24"/>
        <v>0.10649865130543563</v>
      </c>
      <c r="AP66" s="239">
        <f t="shared" ca="1" si="21"/>
        <v>0.13950744852133992</v>
      </c>
      <c r="AQ66" s="240">
        <f ca="1">$A66+AP66*Design!$B$19</f>
        <v>92.951924565716382</v>
      </c>
      <c r="AR66" s="240">
        <f ca="1">AO66*Design!$C$12+$A66</f>
        <v>88.620954144384811</v>
      </c>
      <c r="AS66" s="240">
        <f ca="1">Constants!$D$19+Constants!$D$19*Constants!$C$20/100*(AR66-25)</f>
        <v>161.82502225026724</v>
      </c>
      <c r="AT66" s="239">
        <f ca="1">(1-Constants!$D$17/1000000000*Design!$B$32*1000000) * ($B66+AH66-AG66*AS66/1000) - (AH66+AG66*(1+($A66-25)*Constants!$C$31/100)*IF(ISBLANK(Design!$B$40),Constants!$C$6/1000,Design!$B$40/1000))</f>
        <v>7.2155806304185539</v>
      </c>
      <c r="AU66" s="161">
        <f ca="1">IF(AT66&gt;Design!$C$28,Design!$C$28,AT66)</f>
        <v>3.3223709369024856</v>
      </c>
    </row>
    <row r="67" spans="1:47" ht="12.75" customHeight="1" x14ac:dyDescent="0.3">
      <c r="A67" s="154">
        <f>Design!$D$13</f>
        <v>85</v>
      </c>
      <c r="B67" s="155">
        <f t="shared" si="12"/>
        <v>7.9000000000000012</v>
      </c>
      <c r="C67" s="156">
        <f>Design!$D$6</f>
        <v>2.5</v>
      </c>
      <c r="D67" s="156">
        <f ca="1">FORECAST(C67, OFFSET(Design!$C$15:$C$17,MATCH(C67,Design!$B$15:$B$17,1)-1,0,2), OFFSET(Design!$B$15:$B$17,MATCH(C67,Design!$B$15:$B$17,1)-1,0,2))+(M67-25)*Design!$B$18/1000</f>
        <v>0.38472496980088056</v>
      </c>
      <c r="E67" s="215">
        <f ca="1">IF(100*(Design!$C$28+D67+C67*IF(ISBLANK(Design!$B$40),Constants!$C$6,Design!$B$40)/1000*(1+Constants!$C$31/100*(N67-25)))/($B67+D67-C67*O67/1000)&gt;Design!$C$35,Design!$C$35,100*(Design!$C$28+D67+C67*IF(ISBLANK(Design!$B$40),Constants!$C$6,Design!$B$40)/1000*(1+Constants!$C$31/100*(N67-25)))/($B67+D67-C67*O67/1000))</f>
        <v>49.337186841508526</v>
      </c>
      <c r="F67" s="157">
        <f ca="1">IF(($B67-C67*IF(ISBLANK(Design!$B$40),Constants!$C$6,Design!$B$40)/1000*(1+Constants!$C$31/100*(N67-25))-Design!$C$28)/(IF(ISBLANK(Design!$B$39),Design!$B$38,Design!$B$39)/1000000)*E67/100/(IF(ISBLANK(Design!$B$32),Design!$B$31,Design!$B$32)*1000000)&lt;0,0,($B67-C67*IF(ISBLANK(Design!$B$40),Constants!$C$6,Design!$B$40)/1000*(1+Constants!$C$31/100*(N67-25))-Design!$C$28)/(IF(ISBLANK(Design!$B$39),Design!$B$38,Design!$B$39)/1000000)*E67/100/(IF(ISBLANK(Design!$B$32),Design!$B$31,Design!$B$32)*1000000))</f>
        <v>0.2328489543968561</v>
      </c>
      <c r="G67" s="207">
        <f>B67*Constants!$C$18/1000+IF(ISBLANK(Design!$B$32),Design!$B$31,Design!$B$32)*1000000*Constants!$D$22/1000000000*(B67-Constants!$C$21)</f>
        <v>2.9862500000000007E-2</v>
      </c>
      <c r="H67" s="207">
        <f>B67*C67*(B67/(Constants!$C$23*1000000000)*IF(ISBLANK(Design!$B$32),Design!$B$31,Design!$B$32)*1000000/2+B67/(Constants!$C$24*1000000000)*IF(ISBLANK(Design!$B$32),Design!$B$31,Design!$B$32)*1000000/2)</f>
        <v>4.1947379308656489E-2</v>
      </c>
      <c r="I67" s="207">
        <f t="shared" ca="1" si="13"/>
        <v>0.53913343176254813</v>
      </c>
      <c r="J67" s="207">
        <f>Constants!$D$22/1000000000*Constants!$C$21*IF(ISBLANK(Design!$B$32),Design!$B$31,Design!$B$32)*1000000</f>
        <v>1.0624999999999999E-2</v>
      </c>
      <c r="K67" s="207">
        <f t="shared" ca="1" si="22"/>
        <v>0.62156831107120458</v>
      </c>
      <c r="L67" s="207">
        <f t="shared" ca="1" si="17"/>
        <v>0.48728123156070724</v>
      </c>
      <c r="M67" s="208">
        <f ca="1">$A67+L67*Design!$B$19</f>
        <v>112.77503019896031</v>
      </c>
      <c r="N67" s="208">
        <f ca="1">K67*Design!$C$12+A67</f>
        <v>106.13332257642095</v>
      </c>
      <c r="O67" s="208">
        <f ca="1">Constants!$D$19+Constants!$D$19*Constants!$C$20/100*(N67-25)</f>
        <v>174.71412541624582</v>
      </c>
      <c r="P67" s="207">
        <f ca="1">(1-Constants!$D$17/1000000000*Design!$B$32*1000000) * ($B67+D67-C67*O67/1000) - (D67+C67*(1+($A67-25)*Constants!$C$31/100)*IF(ISBLANK(Design!$B$40),Constants!$C$6/1000,Design!$B$40/1000))</f>
        <v>6.6416648156772649</v>
      </c>
      <c r="Q67" s="157">
        <f ca="1">IF(P67&gt;Design!$C$28,Design!$C$28,P67)</f>
        <v>3.3223709369024856</v>
      </c>
      <c r="R67" s="158">
        <f>2*Design!$D$6/3</f>
        <v>1.6666666666666667</v>
      </c>
      <c r="S67" s="158">
        <f ca="1">FORECAST(R67, OFFSET(Design!$C$15:$C$17,MATCH(R67,Design!$B$15:$B$17,1)-1,0,2), OFFSET(Design!$B$15:$B$17,MATCH(R67,Design!$B$15:$B$17,1)-1,0,2))+(AB67-25)*Design!$B$18/1000</f>
        <v>0.35628249696165409</v>
      </c>
      <c r="T67" s="224">
        <f ca="1">IF(100*(Design!$C$28+S67+R67*IF(ISBLANK(Design!$B$40),Constants!$C$6,Design!$B$40)/1000*(1+Constants!$C$31/100*(AC67-25)))/($B67+S67-R67*AD67/1000)&gt;Design!$C$35,Design!$C$35,100*(Design!$C$28+S67+R67*IF(ISBLANK(Design!$B$40),Constants!$C$6,Design!$B$40)/1000*(1+Constants!$C$31/100*(AC67-25)))/($B67+S67-R67*AD67/1000))</f>
        <v>47.435038017534161</v>
      </c>
      <c r="U67" s="159">
        <f ca="1">IF(($B67-R67*IF(ISBLANK(Design!$B$40),Constants!$C$6,Design!$B$40)/1000*(1+Constants!$C$31/100*(AC67-25))-Design!$C$28)/(IF(ISBLANK(Design!$B$39),Design!$B$38,Design!$B$39)/1000000)*T67/100/(IF(ISBLANK(Design!$B$32),Design!$B$31,Design!$B$32)*1000000)&lt;0,0,($B67-R67*IF(ISBLANK(Design!$B$40),Constants!$C$6,Design!$B$40)/1000*(1+Constants!$C$31/100*(AC67-25))-Design!$C$28)/(IF(ISBLANK(Design!$B$39),Design!$B$38,Design!$B$39)/1000000)*T67/100/(IF(ISBLANK(Design!$B$32),Design!$B$31,Design!$B$32)*1000000))</f>
        <v>0.22684798978729329</v>
      </c>
      <c r="V67" s="225">
        <f>$B67*Constants!$C$18/1000+IF(ISBLANK(Design!$B$32),Design!$B$31,Design!$B$32)*1000000*Constants!$D$22/1000000000*($B67-Constants!$C$21)</f>
        <v>2.9862500000000007E-2</v>
      </c>
      <c r="W67" s="225">
        <f>$B67*R67*($B67/(Constants!$C$23*1000000000)*IF(ISBLANK(Design!$B$32),Design!$B$31,Design!$B$32)*1000000/2+$B67/(Constants!$C$24*1000000000)*IF(ISBLANK(Design!$B$32),Design!$B$31,Design!$B$32)*1000000/2)</f>
        <v>2.7964919539104325E-2</v>
      </c>
      <c r="X67" s="225">
        <f t="shared" ca="1" si="14"/>
        <v>0.21955019415342014</v>
      </c>
      <c r="Y67" s="225">
        <f>Constants!$D$22/1000000000*Constants!$C$21*IF(ISBLANK(Design!$B$32),Design!$B$31,Design!$B$32)*1000000</f>
        <v>1.0624999999999999E-2</v>
      </c>
      <c r="Z67" s="225">
        <f t="shared" ca="1" si="23"/>
        <v>0.28800261369252445</v>
      </c>
      <c r="AA67" s="225">
        <f t="shared" ca="1" si="19"/>
        <v>0.31213293179678914</v>
      </c>
      <c r="AB67" s="226">
        <f ca="1">$A67+AA67*Design!$B$19</f>
        <v>102.79157711241697</v>
      </c>
      <c r="AC67" s="226">
        <f ca="1">Z67*Design!$C$12+$A67</f>
        <v>94.792088865545836</v>
      </c>
      <c r="AD67" s="226">
        <f ca="1">Constants!$D$19+Constants!$D$19*Constants!$C$20/100*(AC67-25)</f>
        <v>166.36697740504175</v>
      </c>
      <c r="AE67" s="225">
        <f ca="1">(1-Constants!$D$17/1000000000*Design!$B$32*1000000) * ($B67+S67-R67*AD67/1000) - (S67+R67*(1+($A67-25)*Constants!$C$31/100)*IF(ISBLANK(Design!$B$40),Constants!$C$6/1000,Design!$B$40/1000))</f>
        <v>6.841523013882238</v>
      </c>
      <c r="AF67" s="159">
        <f ca="1">IF(AE67&gt;Design!$C$28,Design!$C$28,AE67)</f>
        <v>3.3223709369024856</v>
      </c>
      <c r="AG67" s="160">
        <f>Design!$D$6/3</f>
        <v>0.83333333333333337</v>
      </c>
      <c r="AH67" s="160">
        <f ca="1">FORECAST(AG67, OFFSET(Design!$C$15:$C$17,MATCH(AG67,Design!$B$15:$B$17,1)-1,0,2), OFFSET(Design!$B$15:$B$17,MATCH(AG67,Design!$B$15:$B$17,1)-1,0,2))+(AQ67-25)*Design!$B$18/1000</f>
        <v>0.30146503258454133</v>
      </c>
      <c r="AI67" s="238">
        <f ca="1">IF(100*(Design!$C$28+AH67+AG67*IF(ISBLANK(Design!$B$40),Constants!$C$6,Design!$B$40)/1000*(1+Constants!$C$31/100*(AR67-25)))/($B67+AH67-AG67*AS67/1000)&gt;Design!$C$35,Design!$C$35,100*(Design!$C$28+AH67+AG67*IF(ISBLANK(Design!$B$40),Constants!$C$6,Design!$B$40)/1000*(1+Constants!$C$31/100*(AR67-25)))/($B67+AH67-AG67*AS67/1000))</f>
        <v>45.569480739155011</v>
      </c>
      <c r="AJ67" s="161">
        <f ca="1">IF(($B67-AG67*IF(ISBLANK(Design!$B$40),Constants!$C$6,Design!$B$40)/1000*(1+Constants!$C$31/100*(AR67-25))-Design!$C$28)/(IF(ISBLANK(Design!$B$39),Design!$B$38,Design!$B$39)/1000000)*AI67/100/(IF(ISBLANK(Design!$B$32),Design!$B$31,Design!$B$32)*1000000)&lt;0,0,($B67-AG67*IF(ISBLANK(Design!$B$40),Constants!$C$6,Design!$B$40)/1000*(1+Constants!$C$31/100*(AR67-25))-Design!$C$28)/(IF(ISBLANK(Design!$B$39),Design!$B$38,Design!$B$39)/1000000)*AI67/100/(IF(ISBLANK(Design!$B$32),Design!$B$31,Design!$B$32)*1000000))</f>
        <v>0.22056346971739338</v>
      </c>
      <c r="AK67" s="239">
        <f>$B67*Constants!$C$18/1000+IF(ISBLANK(Design!$B$32),Design!$B$31,Design!$B$32)*1000000*Constants!$D$22/1000000000*($B67-Constants!$C$21)</f>
        <v>2.9862500000000007E-2</v>
      </c>
      <c r="AL67" s="239">
        <f>$B67*AG67*($B67/(Constants!$C$23*1000000000)*IF(ISBLANK(Design!$B$32),Design!$B$31,Design!$B$32)*1000000/2+$B67/(Constants!$C$24*1000000000)*IF(ISBLANK(Design!$B$32),Design!$B$31,Design!$B$32)*1000000/2)</f>
        <v>1.3982459769552162E-2</v>
      </c>
      <c r="AM67" s="239">
        <f t="shared" ca="1" si="15"/>
        <v>5.1505077511343325E-2</v>
      </c>
      <c r="AN67" s="239">
        <f>Constants!$D$22/1000000000*Constants!$C$21*IF(ISBLANK(Design!$B$32),Design!$B$31,Design!$B$32)*1000000</f>
        <v>1.0624999999999999E-2</v>
      </c>
      <c r="AO67" s="239">
        <f t="shared" ca="1" si="24"/>
        <v>0.1059750372808955</v>
      </c>
      <c r="AP67" s="239">
        <f t="shared" ca="1" si="21"/>
        <v>0.13674081885470116</v>
      </c>
      <c r="AQ67" s="240">
        <f ca="1">$A67+AP67*Design!$B$19</f>
        <v>92.794226674717962</v>
      </c>
      <c r="AR67" s="240">
        <f ca="1">AO67*Design!$C$12+$A67</f>
        <v>88.603151267550444</v>
      </c>
      <c r="AS67" s="240">
        <f ca="1">Constants!$D$19+Constants!$D$19*Constants!$C$20/100*(AR67-25)</f>
        <v>161.81191933291714</v>
      </c>
      <c r="AT67" s="239">
        <f ca="1">(1-Constants!$D$17/1000000000*Design!$B$32*1000000) * ($B67+AH67-AG67*AS67/1000) - (AH67+AG67*(1+($A67-25)*Constants!$C$31/100)*IF(ISBLANK(Design!$B$40),Constants!$C$6/1000,Design!$B$40/1000))</f>
        <v>7.0280022170722996</v>
      </c>
      <c r="AU67" s="161">
        <f ca="1">IF(AT67&gt;Design!$C$28,Design!$C$28,AT67)</f>
        <v>3.3223709369024856</v>
      </c>
    </row>
    <row r="68" spans="1:47" ht="12.75" customHeight="1" x14ac:dyDescent="0.3">
      <c r="A68" s="154">
        <f>Design!$D$13</f>
        <v>85</v>
      </c>
      <c r="B68" s="155">
        <f t="shared" si="12"/>
        <v>7.6950000000000012</v>
      </c>
      <c r="C68" s="156">
        <f>Design!$D$6</f>
        <v>2.5</v>
      </c>
      <c r="D68" s="156">
        <f ca="1">FORECAST(C68, OFFSET(Design!$C$15:$C$17,MATCH(C68,Design!$B$15:$B$17,1)-1,0,2), OFFSET(Design!$B$15:$B$17,MATCH(C68,Design!$B$15:$B$17,1)-1,0,2))+(M68-25)*Design!$B$18/1000</f>
        <v>0.38540908663111972</v>
      </c>
      <c r="E68" s="215">
        <f ca="1">IF(100*(Design!$C$28+D68+C68*IF(ISBLANK(Design!$B$40),Constants!$C$6,Design!$B$40)/1000*(1+Constants!$C$31/100*(N68-25)))/($B68+D68-C68*O68/1000)&gt;Design!$C$35,Design!$C$35,100*(Design!$C$28+D68+C68*IF(ISBLANK(Design!$B$40),Constants!$C$6,Design!$B$40)/1000*(1+Constants!$C$31/100*(N68-25)))/($B68+D68-C68*O68/1000))</f>
        <v>50.672758023224766</v>
      </c>
      <c r="F68" s="157">
        <f ca="1">IF(($B68-C68*IF(ISBLANK(Design!$B$40),Constants!$C$6,Design!$B$40)/1000*(1+Constants!$C$31/100*(N68-25))-Design!$C$28)/(IF(ISBLANK(Design!$B$39),Design!$B$38,Design!$B$39)/1000000)*E68/100/(IF(ISBLANK(Design!$B$32),Design!$B$31,Design!$B$32)*1000000)&lt;0,0,($B68-C68*IF(ISBLANK(Design!$B$40),Constants!$C$6,Design!$B$40)/1000*(1+Constants!$C$31/100*(N68-25))-Design!$C$28)/(IF(ISBLANK(Design!$B$39),Design!$B$38,Design!$B$39)/1000000)*E68/100/(IF(ISBLANK(Design!$B$32),Design!$B$31,Design!$B$32)*1000000))</f>
        <v>0.22803098229000482</v>
      </c>
      <c r="G68" s="207">
        <f>B68*Constants!$C$18/1000+IF(ISBLANK(Design!$B$32),Design!$B$31,Design!$B$32)*1000000*Constants!$D$22/1000000000*(B68-Constants!$C$21)</f>
        <v>2.8811875000000008E-2</v>
      </c>
      <c r="H68" s="207">
        <f>B68*C68*(B68/(Constants!$C$23*1000000000)*IF(ISBLANK(Design!$B$32),Design!$B$31,Design!$B$32)*1000000/2+B68/(Constants!$C$24*1000000000)*IF(ISBLANK(Design!$B$32),Design!$B$31,Design!$B$32)*1000000/2)</f>
        <v>3.9798609512705654E-2</v>
      </c>
      <c r="I68" s="207">
        <f t="shared" ca="1" si="13"/>
        <v>0.55469168513180933</v>
      </c>
      <c r="J68" s="207">
        <f>Constants!$D$22/1000000000*Constants!$C$21*IF(ISBLANK(Design!$B$32),Design!$B$31,Design!$B$32)*1000000</f>
        <v>1.0624999999999999E-2</v>
      </c>
      <c r="K68" s="207">
        <f t="shared" ca="1" si="22"/>
        <v>0.63392716964451501</v>
      </c>
      <c r="L68" s="207">
        <f t="shared" ca="1" si="17"/>
        <v>0.47527918190752932</v>
      </c>
      <c r="M68" s="208">
        <f ca="1">$A68+L68*Design!$B$19</f>
        <v>112.09091336872918</v>
      </c>
      <c r="N68" s="208">
        <f ca="1">K68*Design!$C$12+A68</f>
        <v>106.5535237679135</v>
      </c>
      <c r="O68" s="208">
        <f ca="1">Constants!$D$19+Constants!$D$19*Constants!$C$20/100*(N68-25)</f>
        <v>175.02339349318436</v>
      </c>
      <c r="P68" s="207">
        <f ca="1">(1-Constants!$D$17/1000000000*Design!$B$32*1000000) * ($B68+D68-C68*O68/1000) - (D68+C68*(1+($A68-25)*Constants!$C$31/100)*IF(ISBLANK(Design!$B$40),Constants!$C$6/1000,Design!$B$40/1000))</f>
        <v>6.4533242150206975</v>
      </c>
      <c r="Q68" s="157">
        <f ca="1">IF(P68&gt;Design!$C$28,Design!$C$28,P68)</f>
        <v>3.3223709369024856</v>
      </c>
      <c r="R68" s="158">
        <f>2*Design!$D$6/3</f>
        <v>1.6666666666666667</v>
      </c>
      <c r="S68" s="158">
        <f ca="1">FORECAST(R68, OFFSET(Design!$C$15:$C$17,MATCH(R68,Design!$B$15:$B$17,1)-1,0,2), OFFSET(Design!$B$15:$B$17,MATCH(R68,Design!$B$15:$B$17,1)-1,0,2))+(AB68-25)*Design!$B$18/1000</f>
        <v>0.35668750514799574</v>
      </c>
      <c r="T68" s="224">
        <f ca="1">IF(100*(Design!$C$28+S68+R68*IF(ISBLANK(Design!$B$40),Constants!$C$6,Design!$B$40)/1000*(1+Constants!$C$31/100*(AC68-25)))/($B68+S68-R68*AD68/1000)&gt;Design!$C$35,Design!$C$35,100*(Design!$C$28+S68+R68*IF(ISBLANK(Design!$B$40),Constants!$C$6,Design!$B$40)/1000*(1+Constants!$C$31/100*(AC68-25)))/($B68+S68-R68*AD68/1000))</f>
        <v>48.689956230625441</v>
      </c>
      <c r="U68" s="159">
        <f ca="1">IF(($B68-R68*IF(ISBLANK(Design!$B$40),Constants!$C$6,Design!$B$40)/1000*(1+Constants!$C$31/100*(AC68-25))-Design!$C$28)/(IF(ISBLANK(Design!$B$39),Design!$B$38,Design!$B$39)/1000000)*T68/100/(IF(ISBLANK(Design!$B$32),Design!$B$31,Design!$B$32)*1000000)&lt;0,0,($B68-R68*IF(ISBLANK(Design!$B$40),Constants!$C$6,Design!$B$40)/1000*(1+Constants!$C$31/100*(AC68-25))-Design!$C$28)/(IF(ISBLANK(Design!$B$39),Design!$B$38,Design!$B$39)/1000000)*T68/100/(IF(ISBLANK(Design!$B$32),Design!$B$31,Design!$B$32)*1000000))</f>
        <v>0.22217204423251863</v>
      </c>
      <c r="V68" s="225">
        <f>$B68*Constants!$C$18/1000+IF(ISBLANK(Design!$B$32),Design!$B$31,Design!$B$32)*1000000*Constants!$D$22/1000000000*($B68-Constants!$C$21)</f>
        <v>2.8811875000000008E-2</v>
      </c>
      <c r="W68" s="225">
        <f>$B68*R68*($B68/(Constants!$C$23*1000000000)*IF(ISBLANK(Design!$B$32),Design!$B$31,Design!$B$32)*1000000/2+$B68/(Constants!$C$24*1000000000)*IF(ISBLANK(Design!$B$32),Design!$B$31,Design!$B$32)*1000000/2)</f>
        <v>2.6532406341803771E-2</v>
      </c>
      <c r="X68" s="225">
        <f t="shared" ca="1" si="14"/>
        <v>0.22546049791318137</v>
      </c>
      <c r="Y68" s="225">
        <f>Constants!$D$22/1000000000*Constants!$C$21*IF(ISBLANK(Design!$B$32),Design!$B$31,Design!$B$32)*1000000</f>
        <v>1.0624999999999999E-2</v>
      </c>
      <c r="Z68" s="225">
        <f t="shared" ca="1" si="23"/>
        <v>0.29142977925498514</v>
      </c>
      <c r="AA68" s="225">
        <f t="shared" ca="1" si="19"/>
        <v>0.30502752501887792</v>
      </c>
      <c r="AB68" s="226">
        <f ca="1">$A68+AA68*Design!$B$19</f>
        <v>102.38656892607604</v>
      </c>
      <c r="AC68" s="226">
        <f ca="1">Z68*Design!$C$12+$A68</f>
        <v>94.908612494669498</v>
      </c>
      <c r="AD68" s="226">
        <f ca="1">Constants!$D$19+Constants!$D$19*Constants!$C$20/100*(AC68-25)</f>
        <v>166.45273879607674</v>
      </c>
      <c r="AE68" s="225">
        <f ca="1">(1-Constants!$D$17/1000000000*Design!$B$32*1000000) * ($B68+S68-R68*AD68/1000) - (S68+R68*(1+($A68-25)*Constants!$C$31/100)*IF(ISBLANK(Design!$B$40),Constants!$C$6/1000,Design!$B$40/1000))</f>
        <v>6.6537828020650718</v>
      </c>
      <c r="AF68" s="159">
        <f ca="1">IF(AE68&gt;Design!$C$28,Design!$C$28,AE68)</f>
        <v>3.3223709369024856</v>
      </c>
      <c r="AG68" s="160">
        <f>Design!$D$6/3</f>
        <v>0.83333333333333337</v>
      </c>
      <c r="AH68" s="160">
        <f ca="1">FORECAST(AG68, OFFSET(Design!$C$15:$C$17,MATCH(AG68,Design!$B$15:$B$17,1)-1,0,2), OFFSET(Design!$B$15:$B$17,MATCH(AG68,Design!$B$15:$B$17,1)-1,0,2))+(AQ68-25)*Design!$B$18/1000</f>
        <v>0.30163113637437683</v>
      </c>
      <c r="AI68" s="238">
        <f ca="1">IF(100*(Design!$C$28+AH68+AG68*IF(ISBLANK(Design!$B$40),Constants!$C$6,Design!$B$40)/1000*(1+Constants!$C$31/100*(AR68-25)))/($B68+AH68-AG68*AS68/1000)&gt;Design!$C$35,Design!$C$35,100*(Design!$C$28+AH68+AG68*IF(ISBLANK(Design!$B$40),Constants!$C$6,Design!$B$40)/1000*(1+Constants!$C$31/100*(AR68-25)))/($B68+AH68-AG68*AS68/1000))</f>
        <v>46.758791991870289</v>
      </c>
      <c r="AJ68" s="161">
        <f ca="1">IF(($B68-AG68*IF(ISBLANK(Design!$B$40),Constants!$C$6,Design!$B$40)/1000*(1+Constants!$C$31/100*(AR68-25))-Design!$C$28)/(IF(ISBLANK(Design!$B$39),Design!$B$38,Design!$B$39)/1000000)*AI68/100/(IF(ISBLANK(Design!$B$32),Design!$B$31,Design!$B$32)*1000000)&lt;0,0,($B68-AG68*IF(ISBLANK(Design!$B$40),Constants!$C$6,Design!$B$40)/1000*(1+Constants!$C$31/100*(AR68-25))-Design!$C$28)/(IF(ISBLANK(Design!$B$39),Design!$B$38,Design!$B$39)/1000000)*AI68/100/(IF(ISBLANK(Design!$B$32),Design!$B$31,Design!$B$32)*1000000))</f>
        <v>0.21606811811426885</v>
      </c>
      <c r="AK68" s="239">
        <f>$B68*Constants!$C$18/1000+IF(ISBLANK(Design!$B$32),Design!$B$31,Design!$B$32)*1000000*Constants!$D$22/1000000000*($B68-Constants!$C$21)</f>
        <v>2.8811875000000008E-2</v>
      </c>
      <c r="AL68" s="239">
        <f>$B68*AG68*($B68/(Constants!$C$23*1000000000)*IF(ISBLANK(Design!$B$32),Design!$B$31,Design!$B$32)*1000000/2+$B68/(Constants!$C$24*1000000000)*IF(ISBLANK(Design!$B$32),Design!$B$31,Design!$B$32)*1000000/2)</f>
        <v>1.3266203170901885E-2</v>
      </c>
      <c r="AM68" s="239">
        <f t="shared" ca="1" si="15"/>
        <v>5.2833341279125798E-2</v>
      </c>
      <c r="AN68" s="239">
        <f>Constants!$D$22/1000000000*Constants!$C$21*IF(ISBLANK(Design!$B$32),Design!$B$31,Design!$B$32)*1000000</f>
        <v>1.0624999999999999E-2</v>
      </c>
      <c r="AO68" s="239">
        <f t="shared" ca="1" si="24"/>
        <v>0.10553641945002769</v>
      </c>
      <c r="AP68" s="239">
        <f t="shared" ca="1" si="21"/>
        <v>0.13382671727863946</v>
      </c>
      <c r="AQ68" s="240">
        <f ca="1">$A68+AP68*Design!$B$19</f>
        <v>92.628122884882444</v>
      </c>
      <c r="AR68" s="240">
        <f ca="1">AO68*Design!$C$12+$A68</f>
        <v>88.588238261300944</v>
      </c>
      <c r="AS68" s="240">
        <f ca="1">Constants!$D$19+Constants!$D$19*Constants!$C$20/100*(AR68-25)</f>
        <v>161.80094336031749</v>
      </c>
      <c r="AT68" s="239">
        <f ca="1">(1-Constants!$D$17/1000000000*Design!$B$32*1000000) * ($B68+AH68-AG68*AS68/1000) - (AH68+AG68*(1+($A68-25)*Constants!$C$31/100)*IF(ISBLANK(Design!$B$40),Constants!$C$6/1000,Design!$B$40/1000))</f>
        <v>6.8404214674292714</v>
      </c>
      <c r="AU68" s="161">
        <f ca="1">IF(AT68&gt;Design!$C$28,Design!$C$28,AT68)</f>
        <v>3.3223709369024856</v>
      </c>
    </row>
    <row r="69" spans="1:47" ht="12.75" customHeight="1" x14ac:dyDescent="0.3">
      <c r="A69" s="154">
        <f>Design!$D$13</f>
        <v>85</v>
      </c>
      <c r="B69" s="155">
        <f t="shared" si="12"/>
        <v>7.4900000000000011</v>
      </c>
      <c r="C69" s="156">
        <f>Design!$D$6</f>
        <v>2.5</v>
      </c>
      <c r="D69" s="156">
        <f ca="1">FORECAST(C69, OFFSET(Design!$C$15:$C$17,MATCH(C69,Design!$B$15:$B$17,1)-1,0,2), OFFSET(Design!$B$15:$B$17,MATCH(C69,Design!$B$15:$B$17,1)-1,0,2))+(M69-25)*Design!$B$18/1000</f>
        <v>0.38613405319166466</v>
      </c>
      <c r="E69" s="215">
        <f ca="1">IF(100*(Design!$C$28+D69+C69*IF(ISBLANK(Design!$B$40),Constants!$C$6,Design!$B$40)/1000*(1+Constants!$C$31/100*(N69-25)))/($B69+D69-C69*O69/1000)&gt;Design!$C$35,Design!$C$35,100*(Design!$C$28+D69+C69*IF(ISBLANK(Design!$B$40),Constants!$C$6,Design!$B$40)/1000*(1+Constants!$C$31/100*(N69-25)))/($B69+D69-C69*O69/1000))</f>
        <v>52.082913537870724</v>
      </c>
      <c r="F69" s="157">
        <f ca="1">IF(($B69-C69*IF(ISBLANK(Design!$B$40),Constants!$C$6,Design!$B$40)/1000*(1+Constants!$C$31/100*(N69-25))-Design!$C$28)/(IF(ISBLANK(Design!$B$39),Design!$B$38,Design!$B$39)/1000000)*E69/100/(IF(ISBLANK(Design!$B$32),Design!$B$31,Design!$B$32)*1000000)&lt;0,0,($B69-C69*IF(ISBLANK(Design!$B$40),Constants!$C$6,Design!$B$40)/1000*(1+Constants!$C$31/100*(N69-25))-Design!$C$28)/(IF(ISBLANK(Design!$B$39),Design!$B$38,Design!$B$39)/1000000)*E69/100/(IF(ISBLANK(Design!$B$32),Design!$B$31,Design!$B$32)*1000000))</f>
        <v>0.22294509798392115</v>
      </c>
      <c r="G69" s="207">
        <f>B69*Constants!$C$18/1000+IF(ISBLANK(Design!$B$32),Design!$B$31,Design!$B$32)*1000000*Constants!$D$22/1000000000*(B69-Constants!$C$21)</f>
        <v>2.7761250000000008E-2</v>
      </c>
      <c r="H69" s="207">
        <f>B69*C69*(B69/(Constants!$C$23*1000000000)*IF(ISBLANK(Design!$B$32),Design!$B$31,Design!$B$32)*1000000/2+B69/(Constants!$C$24*1000000000)*IF(ISBLANK(Design!$B$32),Design!$B$31,Design!$B$32)*1000000/2)</f>
        <v>3.7706331901194677E-2</v>
      </c>
      <c r="I69" s="207">
        <f t="shared" ca="1" si="13"/>
        <v>0.57120003401252895</v>
      </c>
      <c r="J69" s="207">
        <f>Constants!$D$22/1000000000*Constants!$C$21*IF(ISBLANK(Design!$B$32),Design!$B$31,Design!$B$32)*1000000</f>
        <v>1.0624999999999999E-2</v>
      </c>
      <c r="K69" s="207">
        <f t="shared" ca="1" si="22"/>
        <v>0.64729261591372367</v>
      </c>
      <c r="L69" s="207">
        <f t="shared" ca="1" si="17"/>
        <v>0.46256047031893549</v>
      </c>
      <c r="M69" s="208">
        <f ca="1">$A69+L69*Design!$B$19</f>
        <v>111.36594680817933</v>
      </c>
      <c r="N69" s="208">
        <f ca="1">K69*Design!$C$12+A69</f>
        <v>107.0079489410666</v>
      </c>
      <c r="O69" s="208">
        <f ca="1">Constants!$D$19+Constants!$D$19*Constants!$C$20/100*(N69-25)</f>
        <v>175.35785042062503</v>
      </c>
      <c r="P69" s="207">
        <f ca="1">(1-Constants!$D$17/1000000000*Design!$B$32*1000000) * ($B69+D69-C69*O69/1000) - (D69+C69*(1+($A69-25)*Constants!$C$31/100)*IF(ISBLANK(Design!$B$40),Constants!$C$6/1000,Design!$B$40/1000))</f>
        <v>6.2649225226415304</v>
      </c>
      <c r="Q69" s="157">
        <f ca="1">IF(P69&gt;Design!$C$28,Design!$C$28,P69)</f>
        <v>3.3223709369024856</v>
      </c>
      <c r="R69" s="158">
        <f>2*Design!$D$6/3</f>
        <v>1.6666666666666667</v>
      </c>
      <c r="S69" s="158">
        <f ca="1">FORECAST(R69, OFFSET(Design!$C$15:$C$17,MATCH(R69,Design!$B$15:$B$17,1)-1,0,2), OFFSET(Design!$B$15:$B$17,MATCH(R69,Design!$B$15:$B$17,1)-1,0,2))+(AB69-25)*Design!$B$18/1000</f>
        <v>0.35711552045912787</v>
      </c>
      <c r="T69" s="224">
        <f ca="1">IF(100*(Design!$C$28+S69+R69*IF(ISBLANK(Design!$B$40),Constants!$C$6,Design!$B$40)/1000*(1+Constants!$C$31/100*(AC69-25)))/($B69+S69-R69*AD69/1000)&gt;Design!$C$35,Design!$C$35,100*(Design!$C$28+S69+R69*IF(ISBLANK(Design!$B$40),Constants!$C$6,Design!$B$40)/1000*(1+Constants!$C$31/100*(AC69-25)))/($B69+S69-R69*AD69/1000))</f>
        <v>50.01306847315908</v>
      </c>
      <c r="U69" s="159">
        <f ca="1">IF(($B69-R69*IF(ISBLANK(Design!$B$40),Constants!$C$6,Design!$B$40)/1000*(1+Constants!$C$31/100*(AC69-25))-Design!$C$28)/(IF(ISBLANK(Design!$B$39),Design!$B$38,Design!$B$39)/1000000)*T69/100/(IF(ISBLANK(Design!$B$32),Design!$B$31,Design!$B$32)*1000000)&lt;0,0,($B69-R69*IF(ISBLANK(Design!$B$40),Constants!$C$6,Design!$B$40)/1000*(1+Constants!$C$31/100*(AC69-25))-Design!$C$28)/(IF(ISBLANK(Design!$B$39),Design!$B$38,Design!$B$39)/1000000)*T69/100/(IF(ISBLANK(Design!$B$32),Design!$B$31,Design!$B$32)*1000000))</f>
        <v>0.21724170473269477</v>
      </c>
      <c r="V69" s="225">
        <f>$B69*Constants!$C$18/1000+IF(ISBLANK(Design!$B$32),Design!$B$31,Design!$B$32)*1000000*Constants!$D$22/1000000000*($B69-Constants!$C$21)</f>
        <v>2.7761250000000008E-2</v>
      </c>
      <c r="W69" s="225">
        <f>$B69*R69*($B69/(Constants!$C$23*1000000000)*IF(ISBLANK(Design!$B$32),Design!$B$31,Design!$B$32)*1000000/2+$B69/(Constants!$C$24*1000000000)*IF(ISBLANK(Design!$B$32),Design!$B$31,Design!$B$32)*1000000/2)</f>
        <v>2.5137554600796457E-2</v>
      </c>
      <c r="X69" s="225">
        <f t="shared" ca="1" si="14"/>
        <v>0.23170442333208438</v>
      </c>
      <c r="Y69" s="225">
        <f>Constants!$D$22/1000000000*Constants!$C$21*IF(ISBLANK(Design!$B$32),Design!$B$31,Design!$B$32)*1000000</f>
        <v>1.0624999999999999E-2</v>
      </c>
      <c r="Z69" s="225">
        <f t="shared" ca="1" si="23"/>
        <v>0.29522822793288084</v>
      </c>
      <c r="AA69" s="225">
        <f t="shared" ca="1" si="19"/>
        <v>0.29751848447270968</v>
      </c>
      <c r="AB69" s="226">
        <f ca="1">$A69+AA69*Design!$B$19</f>
        <v>101.95855361494445</v>
      </c>
      <c r="AC69" s="226">
        <f ca="1">Z69*Design!$C$12+$A69</f>
        <v>95.037759749717949</v>
      </c>
      <c r="AD69" s="226">
        <f ca="1">Constants!$D$19+Constants!$D$19*Constants!$C$20/100*(AC69-25)</f>
        <v>166.54779117579241</v>
      </c>
      <c r="AE69" s="225">
        <f ca="1">(1-Constants!$D$17/1000000000*Design!$B$32*1000000) * ($B69+S69-R69*AD69/1000) - (S69+R69*(1+($A69-25)*Constants!$C$31/100)*IF(ISBLANK(Design!$B$40),Constants!$C$6/1000,Design!$B$40/1000))</f>
        <v>6.4660264658845588</v>
      </c>
      <c r="AF69" s="159">
        <f ca="1">IF(AE69&gt;Design!$C$28,Design!$C$28,AE69)</f>
        <v>3.3223709369024856</v>
      </c>
      <c r="AG69" s="160">
        <f>Design!$D$6/3</f>
        <v>0.83333333333333337</v>
      </c>
      <c r="AH69" s="160">
        <f ca="1">FORECAST(AG69, OFFSET(Design!$C$15:$C$17,MATCH(AG69,Design!$B$15:$B$17,1)-1,0,2), OFFSET(Design!$B$15:$B$17,MATCH(AG69,Design!$B$15:$B$17,1)-1,0,2))+(AQ69-25)*Design!$B$18/1000</f>
        <v>0.30180633606974711</v>
      </c>
      <c r="AI69" s="238">
        <f ca="1">IF(100*(Design!$C$28+AH69+AG69*IF(ISBLANK(Design!$B$40),Constants!$C$6,Design!$B$40)/1000*(1+Constants!$C$31/100*(AR69-25)))/($B69+AH69-AG69*AS69/1000)&gt;Design!$C$35,Design!$C$35,100*(Design!$C$28+AH69+AG69*IF(ISBLANK(Design!$B$40),Constants!$C$6,Design!$B$40)/1000*(1+Constants!$C$31/100*(AR69-25)))/($B69+AH69-AG69*AS69/1000))</f>
        <v>48.011811767022337</v>
      </c>
      <c r="AJ69" s="161">
        <f ca="1">IF(($B69-AG69*IF(ISBLANK(Design!$B$40),Constants!$C$6,Design!$B$40)/1000*(1+Constants!$C$31/100*(AR69-25))-Design!$C$28)/(IF(ISBLANK(Design!$B$39),Design!$B$38,Design!$B$39)/1000000)*AI69/100/(IF(ISBLANK(Design!$B$32),Design!$B$31,Design!$B$32)*1000000)&lt;0,0,($B69-AG69*IF(ISBLANK(Design!$B$40),Constants!$C$6,Design!$B$40)/1000*(1+Constants!$C$31/100*(AR69-25))-Design!$C$28)/(IF(ISBLANK(Design!$B$39),Design!$B$38,Design!$B$39)/1000000)*AI69/100/(IF(ISBLANK(Design!$B$32),Design!$B$31,Design!$B$32)*1000000))</f>
        <v>0.21133165399723769</v>
      </c>
      <c r="AK69" s="239">
        <f>$B69*Constants!$C$18/1000+IF(ISBLANK(Design!$B$32),Design!$B$31,Design!$B$32)*1000000*Constants!$D$22/1000000000*($B69-Constants!$C$21)</f>
        <v>2.7761250000000008E-2</v>
      </c>
      <c r="AL69" s="239">
        <f>$B69*AG69*($B69/(Constants!$C$23*1000000000)*IF(ISBLANK(Design!$B$32),Design!$B$31,Design!$B$32)*1000000/2+$B69/(Constants!$C$24*1000000000)*IF(ISBLANK(Design!$B$32),Design!$B$31,Design!$B$32)*1000000/2)</f>
        <v>1.2568777300398229E-2</v>
      </c>
      <c r="AM69" s="239">
        <f t="shared" ca="1" si="15"/>
        <v>5.4233117580347892E-2</v>
      </c>
      <c r="AN69" s="239">
        <f>Constants!$D$22/1000000000*Constants!$C$21*IF(ISBLANK(Design!$B$32),Design!$B$31,Design!$B$32)*1000000</f>
        <v>1.0624999999999999E-2</v>
      </c>
      <c r="AO69" s="239">
        <f t="shared" ca="1" si="24"/>
        <v>0.10518814488074613</v>
      </c>
      <c r="AP69" s="239">
        <f t="shared" ca="1" si="21"/>
        <v>0.13075303841249442</v>
      </c>
      <c r="AQ69" s="240">
        <f ca="1">$A69+AP69*Design!$B$19</f>
        <v>92.452923189512177</v>
      </c>
      <c r="AR69" s="240">
        <f ca="1">AO69*Design!$C$12+$A69</f>
        <v>88.576396925945375</v>
      </c>
      <c r="AS69" s="240">
        <f ca="1">Constants!$D$19+Constants!$D$19*Constants!$C$20/100*(AR69-25)</f>
        <v>161.79222813749581</v>
      </c>
      <c r="AT69" s="239">
        <f ca="1">(1-Constants!$D$17/1000000000*Design!$B$32*1000000) * ($B69+AH69-AG69*AS69/1000) - (AH69+AG69*(1+($A69-25)*Constants!$C$31/100)*IF(ISBLANK(Design!$B$40),Constants!$C$6/1000,Design!$B$40/1000))</f>
        <v>6.6528382208125665</v>
      </c>
      <c r="AU69" s="161">
        <f ca="1">IF(AT69&gt;Design!$C$28,Design!$C$28,AT69)</f>
        <v>3.3223709369024856</v>
      </c>
    </row>
    <row r="70" spans="1:47" ht="12.75" customHeight="1" x14ac:dyDescent="0.3">
      <c r="A70" s="154">
        <f>Design!$D$13</f>
        <v>85</v>
      </c>
      <c r="B70" s="155">
        <f t="shared" si="12"/>
        <v>7.285000000000001</v>
      </c>
      <c r="C70" s="156">
        <f>Design!$D$6</f>
        <v>2.5</v>
      </c>
      <c r="D70" s="156">
        <f ca="1">FORECAST(C70, OFFSET(Design!$C$15:$C$17,MATCH(C70,Design!$B$15:$B$17,1)-1,0,2), OFFSET(Design!$B$15:$B$17,MATCH(C70,Design!$B$15:$B$17,1)-1,0,2))+(M70-25)*Design!$B$18/1000</f>
        <v>0.38690365002976251</v>
      </c>
      <c r="E70" s="215">
        <f ca="1">IF(100*(Design!$C$28+D70+C70*IF(ISBLANK(Design!$B$40),Constants!$C$6,Design!$B$40)/1000*(1+Constants!$C$31/100*(N70-25)))/($B70+D70-C70*O70/1000)&gt;Design!$C$35,Design!$C$35,100*(Design!$C$28+D70+C70*IF(ISBLANK(Design!$B$40),Constants!$C$6,Design!$B$40)/1000*(1+Constants!$C$31/100*(N70-25)))/($B70+D70-C70*O70/1000))</f>
        <v>53.574098215922803</v>
      </c>
      <c r="F70" s="157">
        <f ca="1">IF(($B70-C70*IF(ISBLANK(Design!$B$40),Constants!$C$6,Design!$B$40)/1000*(1+Constants!$C$31/100*(N70-25))-Design!$C$28)/(IF(ISBLANK(Design!$B$39),Design!$B$38,Design!$B$39)/1000000)*E70/100/(IF(ISBLANK(Design!$B$32),Design!$B$31,Design!$B$32)*1000000)&lt;0,0,($B70-C70*IF(ISBLANK(Design!$B$40),Constants!$C$6,Design!$B$40)/1000*(1+Constants!$C$31/100*(N70-25))-Design!$C$28)/(IF(ISBLANK(Design!$B$39),Design!$B$38,Design!$B$39)/1000000)*E70/100/(IF(ISBLANK(Design!$B$32),Design!$B$31,Design!$B$32)*1000000))</f>
        <v>0.21756820108834041</v>
      </c>
      <c r="G70" s="207">
        <f>B70*Constants!$C$18/1000+IF(ISBLANK(Design!$B$32),Design!$B$31,Design!$B$32)*1000000*Constants!$D$22/1000000000*(B70-Constants!$C$21)</f>
        <v>2.6710625000000005E-2</v>
      </c>
      <c r="H70" s="207">
        <f>B70*C70*(B70/(Constants!$C$23*1000000000)*IF(ISBLANK(Design!$B$32),Design!$B$31,Design!$B$32)*1000000/2+B70/(Constants!$C$24*1000000000)*IF(ISBLANK(Design!$B$32),Design!$B$31,Design!$B$32)*1000000/2)</f>
        <v>3.5670546474123585E-2</v>
      </c>
      <c r="I70" s="207">
        <f t="shared" ca="1" si="13"/>
        <v>0.58874800253895743</v>
      </c>
      <c r="J70" s="207">
        <f>Constants!$D$22/1000000000*Constants!$C$21*IF(ISBLANK(Design!$B$32),Design!$B$31,Design!$B$32)*1000000</f>
        <v>1.0624999999999999E-2</v>
      </c>
      <c r="K70" s="207">
        <f t="shared" ca="1" si="22"/>
        <v>0.66175417401308101</v>
      </c>
      <c r="L70" s="207">
        <f t="shared" ca="1" si="17"/>
        <v>0.44905877140456824</v>
      </c>
      <c r="M70" s="208">
        <f ca="1">$A70+L70*Design!$B$19</f>
        <v>110.59634997006039</v>
      </c>
      <c r="N70" s="208">
        <f ca="1">K70*Design!$C$12+A70</f>
        <v>107.49964191644476</v>
      </c>
      <c r="O70" s="208">
        <f ca="1">Constants!$D$19+Constants!$D$19*Constants!$C$20/100*(N70-25)</f>
        <v>175.71973645050335</v>
      </c>
      <c r="P70" s="207">
        <f ca="1">(1-Constants!$D$17/1000000000*Design!$B$32*1000000) * ($B70+D70-C70*O70/1000) - (D70+C70*(1+($A70-25)*Constants!$C$31/100)*IF(ISBLANK(Design!$B$40),Constants!$C$6/1000,Design!$B$40/1000))</f>
        <v>6.0764542926169458</v>
      </c>
      <c r="Q70" s="157">
        <f ca="1">IF(P70&gt;Design!$C$28,Design!$C$28,P70)</f>
        <v>3.3223709369024856</v>
      </c>
      <c r="R70" s="158">
        <f>2*Design!$D$6/3</f>
        <v>1.6666666666666667</v>
      </c>
      <c r="S70" s="158">
        <f ca="1">FORECAST(R70, OFFSET(Design!$C$15:$C$17,MATCH(R70,Design!$B$15:$B$17,1)-1,0,2), OFFSET(Design!$B$15:$B$17,MATCH(R70,Design!$B$15:$B$17,1)-1,0,2))+(AB70-25)*Design!$B$18/1000</f>
        <v>0.35756855909041879</v>
      </c>
      <c r="T70" s="224">
        <f ca="1">IF(100*(Design!$C$28+S70+R70*IF(ISBLANK(Design!$B$40),Constants!$C$6,Design!$B$40)/1000*(1+Constants!$C$31/100*(AC70-25)))/($B70+S70-R70*AD70/1000)&gt;Design!$C$35,Design!$C$35,100*(Design!$C$28+S70+R70*IF(ISBLANK(Design!$B$40),Constants!$C$6,Design!$B$40)/1000*(1+Constants!$C$31/100*(AC70-25)))/($B70+S70-R70*AD70/1000))</f>
        <v>51.410083865372293</v>
      </c>
      <c r="U70" s="159">
        <f ca="1">IF(($B70-R70*IF(ISBLANK(Design!$B$40),Constants!$C$6,Design!$B$40)/1000*(1+Constants!$C$31/100*(AC70-25))-Design!$C$28)/(IF(ISBLANK(Design!$B$39),Design!$B$38,Design!$B$39)/1000000)*T70/100/(IF(ISBLANK(Design!$B$32),Design!$B$31,Design!$B$32)*1000000)&lt;0,0,($B70-R70*IF(ISBLANK(Design!$B$40),Constants!$C$6,Design!$B$40)/1000*(1+Constants!$C$31/100*(AC70-25))-Design!$C$28)/(IF(ISBLANK(Design!$B$39),Design!$B$38,Design!$B$39)/1000000)*T70/100/(IF(ISBLANK(Design!$B$32),Design!$B$31,Design!$B$32)*1000000))</f>
        <v>0.21203561854215383</v>
      </c>
      <c r="V70" s="225">
        <f>$B70*Constants!$C$18/1000+IF(ISBLANK(Design!$B$32),Design!$B$31,Design!$B$32)*1000000*Constants!$D$22/1000000000*($B70-Constants!$C$21)</f>
        <v>2.6710625000000005E-2</v>
      </c>
      <c r="W70" s="225">
        <f>$B70*R70*($B70/(Constants!$C$23*1000000000)*IF(ISBLANK(Design!$B$32),Design!$B$31,Design!$B$32)*1000000/2+$B70/(Constants!$C$24*1000000000)*IF(ISBLANK(Design!$B$32),Design!$B$31,Design!$B$32)*1000000/2)</f>
        <v>2.3780364316082391E-2</v>
      </c>
      <c r="X70" s="225">
        <f t="shared" ca="1" si="14"/>
        <v>0.23831092390308173</v>
      </c>
      <c r="Y70" s="225">
        <f>Constants!$D$22/1000000000*Constants!$C$21*IF(ISBLANK(Design!$B$32),Design!$B$31,Design!$B$32)*1000000</f>
        <v>1.0624999999999999E-2</v>
      </c>
      <c r="Z70" s="225">
        <f t="shared" ca="1" si="23"/>
        <v>0.29942691321916415</v>
      </c>
      <c r="AA70" s="225">
        <f t="shared" ca="1" si="19"/>
        <v>0.28957043830971868</v>
      </c>
      <c r="AB70" s="226">
        <f ca="1">$A70+AA70*Design!$B$19</f>
        <v>101.50551498365397</v>
      </c>
      <c r="AC70" s="226">
        <f ca="1">Z70*Design!$C$12+$A70</f>
        <v>95.180515049451586</v>
      </c>
      <c r="AD70" s="226">
        <f ca="1">Constants!$D$19+Constants!$D$19*Constants!$C$20/100*(AC70-25)</f>
        <v>166.65285907639637</v>
      </c>
      <c r="AE70" s="225">
        <f ca="1">(1-Constants!$D$17/1000000000*Design!$B$32*1000000) * ($B70+S70-R70*AD70/1000) - (S70+R70*(1+($A70-25)*Constants!$C$31/100)*IF(ISBLANK(Design!$B$40),Constants!$C$6/1000,Design!$B$40/1000))</f>
        <v>6.2782527290524772</v>
      </c>
      <c r="AF70" s="159">
        <f ca="1">IF(AE70&gt;Design!$C$28,Design!$C$28,AE70)</f>
        <v>3.3223709369024856</v>
      </c>
      <c r="AG70" s="160">
        <f>Design!$D$6/3</f>
        <v>0.83333333333333337</v>
      </c>
      <c r="AH70" s="160">
        <f ca="1">FORECAST(AG70, OFFSET(Design!$C$15:$C$17,MATCH(AG70,Design!$B$15:$B$17,1)-1,0,2), OFFSET(Design!$B$15:$B$17,MATCH(AG70,Design!$B$15:$B$17,1)-1,0,2))+(AQ70-25)*Design!$B$18/1000</f>
        <v>0.30199139926438123</v>
      </c>
      <c r="AI70" s="238">
        <f ca="1">IF(100*(Design!$C$28+AH70+AG70*IF(ISBLANK(Design!$B$40),Constants!$C$6,Design!$B$40)/1000*(1+Constants!$C$31/100*(AR70-25)))/($B70+AH70-AG70*AS70/1000)&gt;Design!$C$35,Design!$C$35,100*(Design!$C$28+AH70+AG70*IF(ISBLANK(Design!$B$40),Constants!$C$6,Design!$B$40)/1000*(1+Constants!$C$31/100*(AR70-25)))/($B70+AH70-AG70*AS70/1000))</f>
        <v>49.333795859005342</v>
      </c>
      <c r="AJ70" s="161">
        <f ca="1">IF(($B70-AG70*IF(ISBLANK(Design!$B$40),Constants!$C$6,Design!$B$40)/1000*(1+Constants!$C$31/100*(AR70-25))-Design!$C$28)/(IF(ISBLANK(Design!$B$39),Design!$B$38,Design!$B$39)/1000000)*AI70/100/(IF(ISBLANK(Design!$B$32),Design!$B$31,Design!$B$32)*1000000)&lt;0,0,($B70-AG70*IF(ISBLANK(Design!$B$40),Constants!$C$6,Design!$B$40)/1000*(1+Constants!$C$31/100*(AR70-25))-Design!$C$28)/(IF(ISBLANK(Design!$B$39),Design!$B$38,Design!$B$39)/1000000)*AI70/100/(IF(ISBLANK(Design!$B$32),Design!$B$31,Design!$B$32)*1000000))</f>
        <v>0.20633415134520863</v>
      </c>
      <c r="AK70" s="239">
        <f>$B70*Constants!$C$18/1000+IF(ISBLANK(Design!$B$32),Design!$B$31,Design!$B$32)*1000000*Constants!$D$22/1000000000*($B70-Constants!$C$21)</f>
        <v>2.6710625000000005E-2</v>
      </c>
      <c r="AL70" s="239">
        <f>$B70*AG70*($B70/(Constants!$C$23*1000000000)*IF(ISBLANK(Design!$B$32),Design!$B$31,Design!$B$32)*1000000/2+$B70/(Constants!$C$24*1000000000)*IF(ISBLANK(Design!$B$32),Design!$B$31,Design!$B$32)*1000000/2)</f>
        <v>1.1890182158041196E-2</v>
      </c>
      <c r="AM70" s="239">
        <f t="shared" ca="1" si="15"/>
        <v>5.5710347584360984E-2</v>
      </c>
      <c r="AN70" s="239">
        <f>Constants!$D$22/1000000000*Constants!$C$21*IF(ISBLANK(Design!$B$32),Design!$B$31,Design!$B$32)*1000000</f>
        <v>1.0624999999999999E-2</v>
      </c>
      <c r="AO70" s="239">
        <f t="shared" ca="1" si="24"/>
        <v>0.10493615474240217</v>
      </c>
      <c r="AP70" s="239">
        <f t="shared" ca="1" si="21"/>
        <v>0.12750631569961471</v>
      </c>
      <c r="AQ70" s="240">
        <f ca="1">$A70+AP70*Design!$B$19</f>
        <v>92.267859994878037</v>
      </c>
      <c r="AR70" s="240">
        <f ca="1">AO70*Design!$C$12+$A70</f>
        <v>88.56782926124167</v>
      </c>
      <c r="AS70" s="240">
        <f ca="1">Constants!$D$19+Constants!$D$19*Constants!$C$20/100*(AR70-25)</f>
        <v>161.78592233627387</v>
      </c>
      <c r="AT70" s="239">
        <f ca="1">(1-Constants!$D$17/1000000000*Design!$B$32*1000000) * ($B70+AH70-AG70*AS70/1000) - (AH70+AG70*(1+($A70-25)*Constants!$C$31/100)*IF(ISBLANK(Design!$B$40),Constants!$C$6/1000,Design!$B$40/1000))</f>
        <v>6.4652522986144536</v>
      </c>
      <c r="AU70" s="161">
        <f ca="1">IF(AT70&gt;Design!$C$28,Design!$C$28,AT70)</f>
        <v>3.3223709369024856</v>
      </c>
    </row>
    <row r="71" spans="1:47" ht="12.75" customHeight="1" x14ac:dyDescent="0.3">
      <c r="A71" s="154">
        <f>Design!$D$13</f>
        <v>85</v>
      </c>
      <c r="B71" s="155">
        <f t="shared" si="12"/>
        <v>7.080000000000001</v>
      </c>
      <c r="C71" s="156">
        <f>Design!$D$6</f>
        <v>2.5</v>
      </c>
      <c r="D71" s="156">
        <f ca="1">FORECAST(C71, OFFSET(Design!$C$15:$C$17,MATCH(C71,Design!$B$15:$B$17,1)-1,0,2), OFFSET(Design!$B$15:$B$17,MATCH(C71,Design!$B$15:$B$17,1)-1,0,2))+(M71-25)*Design!$B$18/1000</f>
        <v>0.38772214042554021</v>
      </c>
      <c r="E71" s="215">
        <f ca="1">IF(100*(Design!$C$28+D71+C71*IF(ISBLANK(Design!$B$40),Constants!$C$6,Design!$B$40)/1000*(1+Constants!$C$31/100*(N71-25)))/($B71+D71-C71*O71/1000)&gt;Design!$C$35,Design!$C$35,100*(Design!$C$28+D71+C71*IF(ISBLANK(Design!$B$40),Constants!$C$6,Design!$B$40)/1000*(1+Constants!$C$31/100*(N71-25)))/($B71+D71-C71*O71/1000))</f>
        <v>55.153524088251004</v>
      </c>
      <c r="F71" s="157">
        <f ca="1">IF(($B71-C71*IF(ISBLANK(Design!$B$40),Constants!$C$6,Design!$B$40)/1000*(1+Constants!$C$31/100*(N71-25))-Design!$C$28)/(IF(ISBLANK(Design!$B$39),Design!$B$38,Design!$B$39)/1000000)*E71/100/(IF(ISBLANK(Design!$B$32),Design!$B$31,Design!$B$32)*1000000)&lt;0,0,($B71-C71*IF(ISBLANK(Design!$B$40),Constants!$C$6,Design!$B$40)/1000*(1+Constants!$C$31/100*(N71-25))-Design!$C$28)/(IF(ISBLANK(Design!$B$39),Design!$B$38,Design!$B$39)/1000000)*E71/100/(IF(ISBLANK(Design!$B$32),Design!$B$31,Design!$B$32)*1000000))</f>
        <v>0.21187444958920054</v>
      </c>
      <c r="G71" s="207">
        <f>B71*Constants!$C$18/1000+IF(ISBLANK(Design!$B$32),Design!$B$31,Design!$B$32)*1000000*Constants!$D$22/1000000000*(B71-Constants!$C$21)</f>
        <v>2.5660000000000002E-2</v>
      </c>
      <c r="H71" s="207">
        <f>B71*C71*(B71/(Constants!$C$23*1000000000)*IF(ISBLANK(Design!$B$32),Design!$B$31,Design!$B$32)*1000000/2+B71/(Constants!$C$24*1000000000)*IF(ISBLANK(Design!$B$32),Design!$B$31,Design!$B$32)*1000000/2)</f>
        <v>3.3691253231492371E-2</v>
      </c>
      <c r="I71" s="207">
        <f t="shared" ca="1" si="13"/>
        <v>0.60743676331930907</v>
      </c>
      <c r="J71" s="207">
        <f>Constants!$D$22/1000000000*Constants!$C$21*IF(ISBLANK(Design!$B$32),Design!$B$31,Design!$B$32)*1000000</f>
        <v>1.0624999999999999E-2</v>
      </c>
      <c r="K71" s="207">
        <f t="shared" ca="1" si="22"/>
        <v>0.67741301655080144</v>
      </c>
      <c r="L71" s="207">
        <f t="shared" ca="1" si="17"/>
        <v>0.43469929077614378</v>
      </c>
      <c r="M71" s="208">
        <f ca="1">$A71+L71*Design!$B$19</f>
        <v>109.7778595742402</v>
      </c>
      <c r="N71" s="208">
        <f ca="1">K71*Design!$C$12+A71</f>
        <v>108.03204256272724</v>
      </c>
      <c r="O71" s="208">
        <f ca="1">Constants!$D$19+Constants!$D$19*Constants!$C$20/100*(N71-25)</f>
        <v>176.11158332616725</v>
      </c>
      <c r="P71" s="207">
        <f ca="1">(1-Constants!$D$17/1000000000*Design!$B$32*1000000) * ($B71+D71-C71*O71/1000) - (D71+C71*(1+($A71-25)*Constants!$C$31/100)*IF(ISBLANK(Design!$B$40),Constants!$C$6/1000,Design!$B$40/1000))</f>
        <v>5.8879133712052223</v>
      </c>
      <c r="Q71" s="157">
        <f ca="1">IF(P71&gt;Design!$C$28,Design!$C$28,P71)</f>
        <v>3.3223709369024856</v>
      </c>
      <c r="R71" s="158">
        <f>2*Design!$D$6/3</f>
        <v>1.6666666666666667</v>
      </c>
      <c r="S71" s="158">
        <f ca="1">FORECAST(R71, OFFSET(Design!$C$15:$C$17,MATCH(R71,Design!$B$15:$B$17,1)-1,0,2), OFFSET(Design!$B$15:$B$17,MATCH(R71,Design!$B$15:$B$17,1)-1,0,2))+(AB71-25)*Design!$B$18/1000</f>
        <v>0.35804887972661548</v>
      </c>
      <c r="T71" s="224">
        <f ca="1">IF(100*(Design!$C$28+S71+R71*IF(ISBLANK(Design!$B$40),Constants!$C$6,Design!$B$40)/1000*(1+Constants!$C$31/100*(AC71-25)))/($B71+S71-R71*AD71/1000)&gt;Design!$C$35,Design!$C$35,100*(Design!$C$28+S71+R71*IF(ISBLANK(Design!$B$40),Constants!$C$6,Design!$B$40)/1000*(1+Constants!$C$31/100*(AC71-25)))/($B71+S71-R71*AD71/1000))</f>
        <v>52.887366546761399</v>
      </c>
      <c r="U71" s="159">
        <f ca="1">IF(($B71-R71*IF(ISBLANK(Design!$B$40),Constants!$C$6,Design!$B$40)/1000*(1+Constants!$C$31/100*(AC71-25))-Design!$C$28)/(IF(ISBLANK(Design!$B$39),Design!$B$38,Design!$B$39)/1000000)*T71/100/(IF(ISBLANK(Design!$B$32),Design!$B$31,Design!$B$32)*1000000)&lt;0,0,($B71-R71*IF(ISBLANK(Design!$B$40),Constants!$C$6,Design!$B$40)/1000*(1+Constants!$C$31/100*(AC71-25))-Design!$C$28)/(IF(ISBLANK(Design!$B$39),Design!$B$38,Design!$B$39)/1000000)*T71/100/(IF(ISBLANK(Design!$B$32),Design!$B$31,Design!$B$32)*1000000))</f>
        <v>0.20652997664160294</v>
      </c>
      <c r="V71" s="225">
        <f>$B71*Constants!$C$18/1000+IF(ISBLANK(Design!$B$32),Design!$B$31,Design!$B$32)*1000000*Constants!$D$22/1000000000*($B71-Constants!$C$21)</f>
        <v>2.5660000000000002E-2</v>
      </c>
      <c r="W71" s="225">
        <f>$B71*R71*($B71/(Constants!$C$23*1000000000)*IF(ISBLANK(Design!$B$32),Design!$B$31,Design!$B$32)*1000000/2+$B71/(Constants!$C$24*1000000000)*IF(ISBLANK(Design!$B$32),Design!$B$31,Design!$B$32)*1000000/2)</f>
        <v>2.2460835487661583E-2</v>
      </c>
      <c r="X71" s="225">
        <f t="shared" ca="1" si="14"/>
        <v>0.24531240426823336</v>
      </c>
      <c r="Y71" s="225">
        <f>Constants!$D$22/1000000000*Constants!$C$21*IF(ISBLANK(Design!$B$32),Design!$B$31,Design!$B$32)*1000000</f>
        <v>1.0624999999999999E-2</v>
      </c>
      <c r="Z71" s="225">
        <f t="shared" ca="1" si="23"/>
        <v>0.30405823975589497</v>
      </c>
      <c r="AA71" s="225">
        <f t="shared" ca="1" si="19"/>
        <v>0.28114376048171252</v>
      </c>
      <c r="AB71" s="226">
        <f ca="1">$A71+AA71*Design!$B$19</f>
        <v>101.02519434745761</v>
      </c>
      <c r="AC71" s="226">
        <f ca="1">Z71*Design!$C$12+$A71</f>
        <v>95.337980151700435</v>
      </c>
      <c r="AD71" s="226">
        <f ca="1">Constants!$D$19+Constants!$D$19*Constants!$C$20/100*(AC71-25)</f>
        <v>166.76875339165153</v>
      </c>
      <c r="AE71" s="225">
        <f ca="1">(1-Constants!$D$17/1000000000*Design!$B$32*1000000) * ($B71+S71-R71*AD71/1000) - (S71+R71*(1+($A71-25)*Constants!$C$31/100)*IF(ISBLANK(Design!$B$40),Constants!$C$6/1000,Design!$B$40/1000))</f>
        <v>6.0904601629676369</v>
      </c>
      <c r="AF71" s="159">
        <f ca="1">IF(AE71&gt;Design!$C$28,Design!$C$28,AE71)</f>
        <v>3.3223709369024856</v>
      </c>
      <c r="AG71" s="160">
        <f>Design!$D$6/3</f>
        <v>0.83333333333333337</v>
      </c>
      <c r="AH71" s="160">
        <f ca="1">FORECAST(AG71, OFFSET(Design!$C$15:$C$17,MATCH(AG71,Design!$B$15:$B$17,1)-1,0,2), OFFSET(Design!$B$15:$B$17,MATCH(AG71,Design!$B$15:$B$17,1)-1,0,2))+(AQ71-25)*Design!$B$18/1000</f>
        <v>0.30218718235089692</v>
      </c>
      <c r="AI71" s="238">
        <f ca="1">IF(100*(Design!$C$28+AH71+AG71*IF(ISBLANK(Design!$B$40),Constants!$C$6,Design!$B$40)/1000*(1+Constants!$C$31/100*(AR71-25)))/($B71+AH71-AG71*AS71/1000)&gt;Design!$C$35,Design!$C$35,100*(Design!$C$28+AH71+AG71*IF(ISBLANK(Design!$B$40),Constants!$C$6,Design!$B$40)/1000*(1+Constants!$C$31/100*(AR71-25)))/($B71+AH71-AG71*AS71/1000))</f>
        <v>50.73059403398242</v>
      </c>
      <c r="AJ71" s="161">
        <f ca="1">IF(($B71-AG71*IF(ISBLANK(Design!$B$40),Constants!$C$6,Design!$B$40)/1000*(1+Constants!$C$31/100*(AR71-25))-Design!$C$28)/(IF(ISBLANK(Design!$B$39),Design!$B$38,Design!$B$39)/1000000)*AI71/100/(IF(ISBLANK(Design!$B$32),Design!$B$31,Design!$B$32)*1000000)&lt;0,0,($B71-AG71*IF(ISBLANK(Design!$B$40),Constants!$C$6,Design!$B$40)/1000*(1+Constants!$C$31/100*(AR71-25))-Design!$C$28)/(IF(ISBLANK(Design!$B$39),Design!$B$38,Design!$B$39)/1000000)*AI71/100/(IF(ISBLANK(Design!$B$32),Design!$B$31,Design!$B$32)*1000000))</f>
        <v>0.20105342819465424</v>
      </c>
      <c r="AK71" s="239">
        <f>$B71*Constants!$C$18/1000+IF(ISBLANK(Design!$B$32),Design!$B$31,Design!$B$32)*1000000*Constants!$D$22/1000000000*($B71-Constants!$C$21)</f>
        <v>2.5660000000000002E-2</v>
      </c>
      <c r="AL71" s="239">
        <f>$B71*AG71*($B71/(Constants!$C$23*1000000000)*IF(ISBLANK(Design!$B$32),Design!$B$31,Design!$B$32)*1000000/2+$B71/(Constants!$C$24*1000000000)*IF(ISBLANK(Design!$B$32),Design!$B$31,Design!$B$32)*1000000/2)</f>
        <v>1.1230417743830792E-2</v>
      </c>
      <c r="AM71" s="239">
        <f t="shared" ca="1" si="15"/>
        <v>5.7271651730192441E-2</v>
      </c>
      <c r="AN71" s="239">
        <f>Constants!$D$22/1000000000*Constants!$C$21*IF(ISBLANK(Design!$B$32),Design!$B$31,Design!$B$32)*1000000</f>
        <v>1.0624999999999999E-2</v>
      </c>
      <c r="AO71" s="239">
        <f t="shared" ca="1" si="24"/>
        <v>0.10478706947402323</v>
      </c>
      <c r="AP71" s="239">
        <f t="shared" ca="1" si="21"/>
        <v>0.12407152470811102</v>
      </c>
      <c r="AQ71" s="240">
        <f ca="1">$A71+AP71*Design!$B$19</f>
        <v>92.072076908362334</v>
      </c>
      <c r="AR71" s="240">
        <f ca="1">AO71*Design!$C$12+$A71</f>
        <v>88.562760362116791</v>
      </c>
      <c r="AS71" s="240">
        <f ca="1">Constants!$D$19+Constants!$D$19*Constants!$C$20/100*(AR71-25)</f>
        <v>161.78219162651797</v>
      </c>
      <c r="AT71" s="239">
        <f ca="1">(1-Constants!$D$17/1000000000*Design!$B$32*1000000) * ($B71+AH71-AG71*AS71/1000) - (AH71+AG71*(1+($A71-25)*Constants!$C$31/100)*IF(ISBLANK(Design!$B$40),Constants!$C$6/1000,Design!$B$40/1000))</f>
        <v>6.2776635017182887</v>
      </c>
      <c r="AU71" s="161">
        <f ca="1">IF(AT71&gt;Design!$C$28,Design!$C$28,AT71)</f>
        <v>3.3223709369024856</v>
      </c>
    </row>
    <row r="72" spans="1:47" ht="12.75" customHeight="1" x14ac:dyDescent="0.3">
      <c r="A72" s="154">
        <f>Design!$D$13</f>
        <v>85</v>
      </c>
      <c r="B72" s="155">
        <f t="shared" si="12"/>
        <v>6.8750000000000009</v>
      </c>
      <c r="C72" s="156">
        <f>Design!$D$6</f>
        <v>2.5</v>
      </c>
      <c r="D72" s="156">
        <f ca="1">FORECAST(C72, OFFSET(Design!$C$15:$C$17,MATCH(C72,Design!$B$15:$B$17,1)-1,0,2), OFFSET(Design!$B$15:$B$17,MATCH(C72,Design!$B$15:$B$17,1)-1,0,2))+(M72-25)*Design!$B$18/1000</f>
        <v>0.38859435023391375</v>
      </c>
      <c r="E72" s="215">
        <f ca="1">IF(100*(Design!$C$28+D72+C72*IF(ISBLANK(Design!$B$40),Constants!$C$6,Design!$B$40)/1000*(1+Constants!$C$31/100*(N72-25)))/($B72+D72-C72*O72/1000)&gt;Design!$C$35,Design!$C$35,100*(Design!$C$28+D72+C72*IF(ISBLANK(Design!$B$40),Constants!$C$6,Design!$B$40)/1000*(1+Constants!$C$31/100*(N72-25)))/($B72+D72-C72*O72/1000))</f>
        <v>56.829288530857959</v>
      </c>
      <c r="F72" s="157">
        <f ca="1">IF(($B72-C72*IF(ISBLANK(Design!$B$40),Constants!$C$6,Design!$B$40)/1000*(1+Constants!$C$31/100*(N72-25))-Design!$C$28)/(IF(ISBLANK(Design!$B$39),Design!$B$38,Design!$B$39)/1000000)*E72/100/(IF(ISBLANK(Design!$B$32),Design!$B$31,Design!$B$32)*1000000)&lt;0,0,($B72-C72*IF(ISBLANK(Design!$B$40),Constants!$C$6,Design!$B$40)/1000*(1+Constants!$C$31/100*(N72-25))-Design!$C$28)/(IF(ISBLANK(Design!$B$39),Design!$B$38,Design!$B$39)/1000000)*E72/100/(IF(ISBLANK(Design!$B$32),Design!$B$31,Design!$B$32)*1000000))</f>
        <v>0.20583483916013448</v>
      </c>
      <c r="G72" s="207">
        <f>B72*Constants!$C$18/1000+IF(ISBLANK(Design!$B$32),Design!$B$31,Design!$B$32)*1000000*Constants!$D$22/1000000000*(B72-Constants!$C$21)</f>
        <v>2.4609375000000006E-2</v>
      </c>
      <c r="H72" s="207">
        <f>B72*C72*(B72/(Constants!$C$23*1000000000)*IF(ISBLANK(Design!$B$32),Design!$B$31,Design!$B$32)*1000000/2+B72/(Constants!$C$24*1000000000)*IF(ISBLANK(Design!$B$32),Design!$B$31,Design!$B$32)*1000000/2)</f>
        <v>3.1768452173301029E-2</v>
      </c>
      <c r="I72" s="207">
        <f t="shared" ca="1" si="13"/>
        <v>0.62738110223655619</v>
      </c>
      <c r="J72" s="207">
        <f>Constants!$D$22/1000000000*Constants!$C$21*IF(ISBLANK(Design!$B$32),Design!$B$31,Design!$B$32)*1000000</f>
        <v>1.0624999999999999E-2</v>
      </c>
      <c r="K72" s="207">
        <f t="shared" ca="1" si="22"/>
        <v>0.69438392940985716</v>
      </c>
      <c r="L72" s="207">
        <f t="shared" ca="1" si="17"/>
        <v>0.4193973643121755</v>
      </c>
      <c r="M72" s="208">
        <f ca="1">$A72+L72*Design!$B$19</f>
        <v>108.90564976579401</v>
      </c>
      <c r="N72" s="208">
        <f ca="1">K72*Design!$C$12+A72</f>
        <v>108.60905359993515</v>
      </c>
      <c r="O72" s="208">
        <f ca="1">Constants!$D$19+Constants!$D$19*Constants!$C$20/100*(N72-25)</f>
        <v>176.53626344955228</v>
      </c>
      <c r="P72" s="207">
        <f ca="1">(1-Constants!$D$17/1000000000*Design!$B$32*1000000) * ($B72+D72-C72*O72/1000) - (D72+C72*(1+($A72-25)*Constants!$C$31/100)*IF(ISBLANK(Design!$B$40),Constants!$C$6/1000,Design!$B$40/1000))</f>
        <v>5.6992927775892666</v>
      </c>
      <c r="Q72" s="157">
        <f ca="1">IF(P72&gt;Design!$C$28,Design!$C$28,P72)</f>
        <v>3.3223709369024856</v>
      </c>
      <c r="R72" s="158">
        <f>2*Design!$D$6/3</f>
        <v>1.6666666666666667</v>
      </c>
      <c r="S72" s="158">
        <f ca="1">FORECAST(R72, OFFSET(Design!$C$15:$C$17,MATCH(R72,Design!$B$15:$B$17,1)-1,0,2), OFFSET(Design!$B$15:$B$17,MATCH(R72,Design!$B$15:$B$17,1)-1,0,2))+(AB72-25)*Design!$B$18/1000</f>
        <v>0.3585590210971239</v>
      </c>
      <c r="T72" s="224">
        <f ca="1">IF(100*(Design!$C$28+S72+R72*IF(ISBLANK(Design!$B$40),Constants!$C$6,Design!$B$40)/1000*(1+Constants!$C$31/100*(AC72-25)))/($B72+S72-R72*AD72/1000)&gt;Design!$C$35,Design!$C$35,100*(Design!$C$28+S72+R72*IF(ISBLANK(Design!$B$40),Constants!$C$6,Design!$B$40)/1000*(1+Constants!$C$31/100*(AC72-25)))/($B72+S72-R72*AD72/1000))</f>
        <v>54.452032296923733</v>
      </c>
      <c r="U72" s="159">
        <f ca="1">IF(($B72-R72*IF(ISBLANK(Design!$B$40),Constants!$C$6,Design!$B$40)/1000*(1+Constants!$C$31/100*(AC72-25))-Design!$C$28)/(IF(ISBLANK(Design!$B$39),Design!$B$38,Design!$B$39)/1000000)*T72/100/(IF(ISBLANK(Design!$B$32),Design!$B$31,Design!$B$32)*1000000)&lt;0,0,($B72-R72*IF(ISBLANK(Design!$B$40),Constants!$C$6,Design!$B$40)/1000*(1+Constants!$C$31/100*(AC72-25))-Design!$C$28)/(IF(ISBLANK(Design!$B$39),Design!$B$38,Design!$B$39)/1000000)*T72/100/(IF(ISBLANK(Design!$B$32),Design!$B$31,Design!$B$32)*1000000))</f>
        <v>0.20069815038163846</v>
      </c>
      <c r="V72" s="225">
        <f>$B72*Constants!$C$18/1000+IF(ISBLANK(Design!$B$32),Design!$B$31,Design!$B$32)*1000000*Constants!$D$22/1000000000*($B72-Constants!$C$21)</f>
        <v>2.4609375000000006E-2</v>
      </c>
      <c r="W72" s="225">
        <f>$B72*R72*($B72/(Constants!$C$23*1000000000)*IF(ISBLANK(Design!$B$32),Design!$B$31,Design!$B$32)*1000000/2+$B72/(Constants!$C$24*1000000000)*IF(ISBLANK(Design!$B$32),Design!$B$31,Design!$B$32)*1000000/2)</f>
        <v>2.1178968115534019E-2</v>
      </c>
      <c r="X72" s="225">
        <f t="shared" ca="1" si="14"/>
        <v>0.252745250352928</v>
      </c>
      <c r="Y72" s="225">
        <f>Constants!$D$22/1000000000*Constants!$C$21*IF(ISBLANK(Design!$B$32),Design!$B$31,Design!$B$32)*1000000</f>
        <v>1.0624999999999999E-2</v>
      </c>
      <c r="Z72" s="225">
        <f t="shared" ca="1" si="23"/>
        <v>0.30915859346846203</v>
      </c>
      <c r="AA72" s="225">
        <f t="shared" ca="1" si="19"/>
        <v>0.27219391187630737</v>
      </c>
      <c r="AB72" s="226">
        <f ca="1">$A72+AA72*Design!$B$19</f>
        <v>100.51505297694952</v>
      </c>
      <c r="AC72" s="226">
        <f ca="1">Z72*Design!$C$12+$A72</f>
        <v>95.511392177927704</v>
      </c>
      <c r="AD72" s="226">
        <f ca="1">Constants!$D$19+Constants!$D$19*Constants!$C$20/100*(AC72-25)</f>
        <v>166.89638464295479</v>
      </c>
      <c r="AE72" s="225">
        <f ca="1">(1-Constants!$D$17/1000000000*Design!$B$32*1000000) * ($B72+S72-R72*AD72/1000) - (S72+R72*(1+($A72-25)*Constants!$C$31/100)*IF(ISBLANK(Design!$B$40),Constants!$C$6/1000,Design!$B$40/1000))</f>
        <v>5.9026471632929063</v>
      </c>
      <c r="AF72" s="159">
        <f ca="1">IF(AE72&gt;Design!$C$28,Design!$C$28,AE72)</f>
        <v>3.3223709369024856</v>
      </c>
      <c r="AG72" s="160">
        <f>Design!$D$6/3</f>
        <v>0.83333333333333337</v>
      </c>
      <c r="AH72" s="160">
        <f ca="1">FORECAST(AG72, OFFSET(Design!$C$15:$C$17,MATCH(AG72,Design!$B$15:$B$17,1)-1,0,2), OFFSET(Design!$B$15:$B$17,MATCH(AG72,Design!$B$15:$B$17,1)-1,0,2))+(AQ72-25)*Design!$B$18/1000</f>
        <v>0.30239464373307851</v>
      </c>
      <c r="AI72" s="238">
        <f ca="1">IF(100*(Design!$C$28+AH72+AG72*IF(ISBLANK(Design!$B$40),Constants!$C$6,Design!$B$40)/1000*(1+Constants!$C$31/100*(AR72-25)))/($B72+AH72-AG72*AS72/1000)&gt;Design!$C$35,Design!$C$35,100*(Design!$C$28+AH72+AG72*IF(ISBLANK(Design!$B$40),Constants!$C$6,Design!$B$40)/1000*(1+Constants!$C$31/100*(AR72-25)))/($B72+AH72-AG72*AS72/1000))</f>
        <v>52.208736299122172</v>
      </c>
      <c r="AJ72" s="161">
        <f ca="1">IF(($B72-AG72*IF(ISBLANK(Design!$B$40),Constants!$C$6,Design!$B$40)/1000*(1+Constants!$C$31/100*(AR72-25))-Design!$C$28)/(IF(ISBLANK(Design!$B$39),Design!$B$38,Design!$B$39)/1000000)*AI72/100/(IF(ISBLANK(Design!$B$32),Design!$B$31,Design!$B$32)*1000000)&lt;0,0,($B72-AG72*IF(ISBLANK(Design!$B$40),Constants!$C$6,Design!$B$40)/1000*(1+Constants!$C$31/100*(AR72-25))-Design!$C$28)/(IF(ISBLANK(Design!$B$39),Design!$B$38,Design!$B$39)/1000000)*AI72/100/(IF(ISBLANK(Design!$B$32),Design!$B$31,Design!$B$32)*1000000))</f>
        <v>0.1954647183614657</v>
      </c>
      <c r="AK72" s="239">
        <f>$B72*Constants!$C$18/1000+IF(ISBLANK(Design!$B$32),Design!$B$31,Design!$B$32)*1000000*Constants!$D$22/1000000000*($B72-Constants!$C$21)</f>
        <v>2.4609375000000006E-2</v>
      </c>
      <c r="AL72" s="239">
        <f>$B72*AG72*($B72/(Constants!$C$23*1000000000)*IF(ISBLANK(Design!$B$32),Design!$B$31,Design!$B$32)*1000000/2+$B72/(Constants!$C$24*1000000000)*IF(ISBLANK(Design!$B$32),Design!$B$31,Design!$B$32)*1000000/2)</f>
        <v>1.058948405776701E-2</v>
      </c>
      <c r="AM72" s="239">
        <f t="shared" ca="1" si="15"/>
        <v>5.8924430033445593E-2</v>
      </c>
      <c r="AN72" s="239">
        <f>Constants!$D$22/1000000000*Constants!$C$21*IF(ISBLANK(Design!$B$32),Design!$B$31,Design!$B$32)*1000000</f>
        <v>1.0624999999999999E-2</v>
      </c>
      <c r="AO72" s="239">
        <f t="shared" ca="1" si="24"/>
        <v>0.1047482890912126</v>
      </c>
      <c r="AP72" s="239">
        <f t="shared" ca="1" si="21"/>
        <v>0.12043185133650466</v>
      </c>
      <c r="AQ72" s="240">
        <f ca="1">$A72+AP72*Design!$B$19</f>
        <v>91.864615526180771</v>
      </c>
      <c r="AR72" s="240">
        <f ca="1">AO72*Design!$C$12+$A72</f>
        <v>88.561441829101227</v>
      </c>
      <c r="AS72" s="240">
        <f ca="1">Constants!$D$19+Constants!$D$19*Constants!$C$20/100*(AR72-25)</f>
        <v>161.78122118621852</v>
      </c>
      <c r="AT72" s="239">
        <f ca="1">(1-Constants!$D$17/1000000000*Design!$B$32*1000000) * ($B72+AH72-AG72*AS72/1000) - (AH72+AG72*(1+($A72-25)*Constants!$C$31/100)*IF(ISBLANK(Design!$B$40),Constants!$C$6/1000,Design!$B$40/1000))</f>
        <v>6.0900716074615318</v>
      </c>
      <c r="AU72" s="161">
        <f ca="1">IF(AT72&gt;Design!$C$28,Design!$C$28,AT72)</f>
        <v>3.3223709369024856</v>
      </c>
    </row>
    <row r="73" spans="1:47" ht="12.75" customHeight="1" x14ac:dyDescent="0.3">
      <c r="A73" s="154">
        <f>Design!$D$13</f>
        <v>85</v>
      </c>
      <c r="B73" s="155">
        <f t="shared" si="12"/>
        <v>6.6700000000000008</v>
      </c>
      <c r="C73" s="156">
        <f>Design!$D$6</f>
        <v>2.5</v>
      </c>
      <c r="D73" s="156">
        <f ca="1">FORECAST(C73, OFFSET(Design!$C$15:$C$17,MATCH(C73,Design!$B$15:$B$17,1)-1,0,2), OFFSET(Design!$B$15:$B$17,MATCH(C73,Design!$B$15:$B$17,1)-1,0,2))+(M73-25)*Design!$B$18/1000</f>
        <v>0.38952576417264007</v>
      </c>
      <c r="E73" s="215">
        <f ca="1">IF(100*(Design!$C$28+D73+C73*IF(ISBLANK(Design!$B$40),Constants!$C$6,Design!$B$40)/1000*(1+Constants!$C$31/100*(N73-25)))/($B73+D73-C73*O73/1000)&gt;Design!$C$35,Design!$C$35,100*(Design!$C$28+D73+C73*IF(ISBLANK(Design!$B$40),Constants!$C$6,Design!$B$40)/1000*(1+Constants!$C$31/100*(N73-25)))/($B73+D73-C73*O73/1000))</f>
        <v>58.610515045136609</v>
      </c>
      <c r="F73" s="157">
        <f ca="1">IF(($B73-C73*IF(ISBLANK(Design!$B$40),Constants!$C$6,Design!$B$40)/1000*(1+Constants!$C$31/100*(N73-25))-Design!$C$28)/(IF(ISBLANK(Design!$B$39),Design!$B$38,Design!$B$39)/1000000)*E73/100/(IF(ISBLANK(Design!$B$32),Design!$B$31,Design!$B$32)*1000000)&lt;0,0,($B73-C73*IF(ISBLANK(Design!$B$40),Constants!$C$6,Design!$B$40)/1000*(1+Constants!$C$31/100*(N73-25))-Design!$C$28)/(IF(ISBLANK(Design!$B$39),Design!$B$38,Design!$B$39)/1000000)*E73/100/(IF(ISBLANK(Design!$B$32),Design!$B$31,Design!$B$32)*1000000))</f>
        <v>0.19941670221389141</v>
      </c>
      <c r="G73" s="207">
        <f>B73*Constants!$C$18/1000+IF(ISBLANK(Design!$B$32),Design!$B$31,Design!$B$32)*1000000*Constants!$D$22/1000000000*(B73-Constants!$C$21)</f>
        <v>2.3558750000000003E-2</v>
      </c>
      <c r="H73" s="207">
        <f>B73*C73*(B73/(Constants!$C$23*1000000000)*IF(ISBLANK(Design!$B$32),Design!$B$31,Design!$B$32)*1000000/2+B73/(Constants!$C$24*1000000000)*IF(ISBLANK(Design!$B$32),Design!$B$31,Design!$B$32)*1000000/2)</f>
        <v>2.9902143299549551E-2</v>
      </c>
      <c r="I73" s="207">
        <f t="shared" ca="1" si="13"/>
        <v>0.6487117962993707</v>
      </c>
      <c r="J73" s="207">
        <f>Constants!$D$22/1000000000*Constants!$C$21*IF(ISBLANK(Design!$B$32),Design!$B$31,Design!$B$32)*1000000</f>
        <v>1.0624999999999999E-2</v>
      </c>
      <c r="K73" s="207">
        <f t="shared" ca="1" si="22"/>
        <v>0.7127976895989202</v>
      </c>
      <c r="L73" s="207">
        <f t="shared" ca="1" si="17"/>
        <v>0.40305676889387876</v>
      </c>
      <c r="M73" s="208">
        <f ca="1">$A73+L73*Design!$B$19</f>
        <v>107.97423582695109</v>
      </c>
      <c r="N73" s="208">
        <f ca="1">K73*Design!$C$12+A73</f>
        <v>109.23512144636328</v>
      </c>
      <c r="O73" s="208">
        <f ca="1">Constants!$D$19+Constants!$D$19*Constants!$C$20/100*(N73-25)</f>
        <v>176.99704938452339</v>
      </c>
      <c r="P73" s="207">
        <f ca="1">(1-Constants!$D$17/1000000000*Design!$B$32*1000000) * ($B73+D73-C73*O73/1000) - (D73+C73*(1+($A73-25)*Constants!$C$31/100)*IF(ISBLANK(Design!$B$40),Constants!$C$6/1000,Design!$B$40/1000))</f>
        <v>5.5105845595782288</v>
      </c>
      <c r="Q73" s="157">
        <f ca="1">IF(P73&gt;Design!$C$28,Design!$C$28,P73)</f>
        <v>3.3223709369024856</v>
      </c>
      <c r="R73" s="158">
        <f>2*Design!$D$6/3</f>
        <v>1.6666666666666667</v>
      </c>
      <c r="S73" s="158">
        <f ca="1">FORECAST(R73, OFFSET(Design!$C$15:$C$17,MATCH(R73,Design!$B$15:$B$17,1)-1,0,2), OFFSET(Design!$B$15:$B$17,MATCH(R73,Design!$B$15:$B$17,1)-1,0,2))+(AB73-25)*Design!$B$18/1000</f>
        <v>0.3591018467277059</v>
      </c>
      <c r="T73" s="224">
        <f ca="1">IF(100*(Design!$C$28+S73+R73*IF(ISBLANK(Design!$B$40),Constants!$C$6,Design!$B$40)/1000*(1+Constants!$C$31/100*(AC73-25)))/($B73+S73-R73*AD73/1000)&gt;Design!$C$35,Design!$C$35,100*(Design!$C$28+S73+R73*IF(ISBLANK(Design!$B$40),Constants!$C$6,Design!$B$40)/1000*(1+Constants!$C$31/100*(AC73-25)))/($B73+S73-R73*AD73/1000))</f>
        <v>56.112062759965589</v>
      </c>
      <c r="U73" s="159">
        <f ca="1">IF(($B73-R73*IF(ISBLANK(Design!$B$40),Constants!$C$6,Design!$B$40)/1000*(1+Constants!$C$31/100*(AC73-25))-Design!$C$28)/(IF(ISBLANK(Design!$B$39),Design!$B$38,Design!$B$39)/1000000)*T73/100/(IF(ISBLANK(Design!$B$32),Design!$B$31,Design!$B$32)*1000000)&lt;0,0,($B73-R73*IF(ISBLANK(Design!$B$40),Constants!$C$6,Design!$B$40)/1000*(1+Constants!$C$31/100*(AC73-25))-Design!$C$28)/(IF(ISBLANK(Design!$B$39),Design!$B$38,Design!$B$39)/1000000)*T73/100/(IF(ISBLANK(Design!$B$32),Design!$B$31,Design!$B$32)*1000000))</f>
        <v>0.19451026171894484</v>
      </c>
      <c r="V73" s="225">
        <f>$B73*Constants!$C$18/1000+IF(ISBLANK(Design!$B$32),Design!$B$31,Design!$B$32)*1000000*Constants!$D$22/1000000000*($B73-Constants!$C$21)</f>
        <v>2.3558750000000003E-2</v>
      </c>
      <c r="W73" s="225">
        <f>$B73*R73*($B73/(Constants!$C$23*1000000000)*IF(ISBLANK(Design!$B$32),Design!$B$31,Design!$B$32)*1000000/2+$B73/(Constants!$C$24*1000000000)*IF(ISBLANK(Design!$B$32),Design!$B$31,Design!$B$32)*1000000/2)</f>
        <v>1.9934762199699703E-2</v>
      </c>
      <c r="X73" s="225">
        <f t="shared" ca="1" si="14"/>
        <v>0.26065046034026917</v>
      </c>
      <c r="Y73" s="225">
        <f>Constants!$D$22/1000000000*Constants!$C$21*IF(ISBLANK(Design!$B$32),Design!$B$31,Design!$B$32)*1000000</f>
        <v>1.0624999999999999E-2</v>
      </c>
      <c r="Z73" s="225">
        <f t="shared" ca="1" si="23"/>
        <v>0.31476897253996888</v>
      </c>
      <c r="AA73" s="225">
        <f t="shared" ca="1" si="19"/>
        <v>0.26267065519943356</v>
      </c>
      <c r="AB73" s="226">
        <f ca="1">$A73+AA73*Design!$B$19</f>
        <v>99.972227346367717</v>
      </c>
      <c r="AC73" s="226">
        <f ca="1">Z73*Design!$C$12+$A73</f>
        <v>95.702145066358938</v>
      </c>
      <c r="AD73" s="226">
        <f ca="1">Constants!$D$19+Constants!$D$19*Constants!$C$20/100*(AC73-25)</f>
        <v>167.03677876884018</v>
      </c>
      <c r="AE73" s="225">
        <f ca="1">(1-Constants!$D$17/1000000000*Design!$B$32*1000000) * ($B73+S73-R73*AD73/1000) - (S73+R73*(1+($A73-25)*Constants!$C$31/100)*IF(ISBLANK(Design!$B$40),Constants!$C$6/1000,Design!$B$40/1000))</f>
        <v>5.7148119220723315</v>
      </c>
      <c r="AF73" s="159">
        <f ca="1">IF(AE73&gt;Design!$C$28,Design!$C$28,AE73)</f>
        <v>3.3223709369024856</v>
      </c>
      <c r="AG73" s="160">
        <f>Design!$D$6/3</f>
        <v>0.83333333333333337</v>
      </c>
      <c r="AH73" s="160">
        <f ca="1">FORECAST(AG73, OFFSET(Design!$C$15:$C$17,MATCH(AG73,Design!$B$15:$B$17,1)-1,0,2), OFFSET(Design!$B$15:$B$17,MATCH(AG73,Design!$B$15:$B$17,1)-1,0,2))+(AQ73-25)*Design!$B$18/1000</f>
        <v>0.30261485946735739</v>
      </c>
      <c r="AI73" s="238">
        <f ca="1">IF(100*(Design!$C$28+AH73+AG73*IF(ISBLANK(Design!$B$40),Constants!$C$6,Design!$B$40)/1000*(1+Constants!$C$31/100*(AR73-25)))/($B73+AH73-AG73*AS73/1000)&gt;Design!$C$35,Design!$C$35,100*(Design!$C$28+AH73+AG73*IF(ISBLANK(Design!$B$40),Constants!$C$6,Design!$B$40)/1000*(1+Constants!$C$31/100*(AR73-25)))/($B73+AH73-AG73*AS73/1000))</f>
        <v>53.775534642166541</v>
      </c>
      <c r="AJ73" s="161">
        <f ca="1">IF(($B73-AG73*IF(ISBLANK(Design!$B$40),Constants!$C$6,Design!$B$40)/1000*(1+Constants!$C$31/100*(AR73-25))-Design!$C$28)/(IF(ISBLANK(Design!$B$39),Design!$B$38,Design!$B$39)/1000000)*AI73/100/(IF(ISBLANK(Design!$B$32),Design!$B$31,Design!$B$32)*1000000)&lt;0,0,($B73-AG73*IF(ISBLANK(Design!$B$40),Constants!$C$6,Design!$B$40)/1000*(1+Constants!$C$31/100*(AR73-25))-Design!$C$28)/(IF(ISBLANK(Design!$B$39),Design!$B$38,Design!$B$39)/1000000)*AI73/100/(IF(ISBLANK(Design!$B$32),Design!$B$31,Design!$B$32)*1000000))</f>
        <v>0.18954028417566182</v>
      </c>
      <c r="AK73" s="239">
        <f>$B73*Constants!$C$18/1000+IF(ISBLANK(Design!$B$32),Design!$B$31,Design!$B$32)*1000000*Constants!$D$22/1000000000*($B73-Constants!$C$21)</f>
        <v>2.3558750000000003E-2</v>
      </c>
      <c r="AL73" s="239">
        <f>$B73*AG73*($B73/(Constants!$C$23*1000000000)*IF(ISBLANK(Design!$B$32),Design!$B$31,Design!$B$32)*1000000/2+$B73/(Constants!$C$24*1000000000)*IF(ISBLANK(Design!$B$32),Design!$B$31,Design!$B$32)*1000000/2)</f>
        <v>9.9673810998498515E-3</v>
      </c>
      <c r="AM73" s="239">
        <f t="shared" ca="1" si="15"/>
        <v>6.0676980779084157E-2</v>
      </c>
      <c r="AN73" s="239">
        <f>Constants!$D$22/1000000000*Constants!$C$21*IF(ISBLANK(Design!$B$32),Design!$B$31,Design!$B$32)*1000000</f>
        <v>1.0624999999999999E-2</v>
      </c>
      <c r="AO73" s="239">
        <f t="shared" ca="1" si="24"/>
        <v>0.10482811187893401</v>
      </c>
      <c r="AP73" s="239">
        <f t="shared" ca="1" si="21"/>
        <v>0.11656841740178753</v>
      </c>
      <c r="AQ73" s="240">
        <f ca="1">$A73+AP73*Design!$B$19</f>
        <v>91.64439979190189</v>
      </c>
      <c r="AR73" s="240">
        <f ca="1">AO73*Design!$C$12+$A73</f>
        <v>88.56415580388375</v>
      </c>
      <c r="AS73" s="240">
        <f ca="1">Constants!$D$19+Constants!$D$19*Constants!$C$20/100*(AR73-25)</f>
        <v>161.78321867165846</v>
      </c>
      <c r="AT73" s="239">
        <f ca="1">(1-Constants!$D$17/1000000000*Design!$B$32*1000000) * ($B73+AH73-AG73*AS73/1000) - (AH73+AG73*(1+($A73-25)*Constants!$C$31/100)*IF(ISBLANK(Design!$B$40),Constants!$C$6/1000,Design!$B$40/1000))</f>
        <v>5.9024763660414683</v>
      </c>
      <c r="AU73" s="161">
        <f ca="1">IF(AT73&gt;Design!$C$28,Design!$C$28,AT73)</f>
        <v>3.3223709369024856</v>
      </c>
    </row>
    <row r="74" spans="1:47" ht="12.75" customHeight="1" x14ac:dyDescent="0.3">
      <c r="A74" s="154">
        <f>Design!$D$13</f>
        <v>85</v>
      </c>
      <c r="B74" s="155">
        <f t="shared" si="12"/>
        <v>6.4650000000000007</v>
      </c>
      <c r="C74" s="156">
        <f>Design!$D$6</f>
        <v>2.5</v>
      </c>
      <c r="D74" s="156">
        <f ca="1">FORECAST(C74, OFFSET(Design!$C$15:$C$17,MATCH(C74,Design!$B$15:$B$17,1)-1,0,2), OFFSET(Design!$B$15:$B$17,MATCH(C74,Design!$B$15:$B$17,1)-1,0,2))+(M74-25)*Design!$B$18/1000</f>
        <v>0.39052264266512682</v>
      </c>
      <c r="E74" s="215">
        <f ca="1">IF(100*(Design!$C$28+D74+C74*IF(ISBLANK(Design!$B$40),Constants!$C$6,Design!$B$40)/1000*(1+Constants!$C$31/100*(N74-25)))/($B74+D74-C74*O74/1000)&gt;Design!$C$35,Design!$C$35,100*(Design!$C$28+D74+C74*IF(ISBLANK(Design!$B$40),Constants!$C$6,Design!$B$40)/1000*(1+Constants!$C$31/100*(N74-25)))/($B74+D74-C74*O74/1000))</f>
        <v>60.5075219301049</v>
      </c>
      <c r="F74" s="157">
        <f ca="1">IF(($B74-C74*IF(ISBLANK(Design!$B$40),Constants!$C$6,Design!$B$40)/1000*(1+Constants!$C$31/100*(N74-25))-Design!$C$28)/(IF(ISBLANK(Design!$B$39),Design!$B$38,Design!$B$39)/1000000)*E74/100/(IF(ISBLANK(Design!$B$32),Design!$B$31,Design!$B$32)*1000000)&lt;0,0,($B74-C74*IF(ISBLANK(Design!$B$40),Constants!$C$6,Design!$B$40)/1000*(1+Constants!$C$31/100*(N74-25))-Design!$C$28)/(IF(ISBLANK(Design!$B$39),Design!$B$38,Design!$B$39)/1000000)*E74/100/(IF(ISBLANK(Design!$B$32),Design!$B$31,Design!$B$32)*1000000))</f>
        <v>0.19258310814824312</v>
      </c>
      <c r="G74" s="207">
        <f>B74*Constants!$C$18/1000+IF(ISBLANK(Design!$B$32),Design!$B$31,Design!$B$32)*1000000*Constants!$D$22/1000000000*(B74-Constants!$C$21)</f>
        <v>2.2508125000000004E-2</v>
      </c>
      <c r="H74" s="207">
        <f>B74*C74*(B74/(Constants!$C$23*1000000000)*IF(ISBLANK(Design!$B$32),Design!$B$31,Design!$B$32)*1000000/2+B74/(Constants!$C$24*1000000000)*IF(ISBLANK(Design!$B$32),Design!$B$31,Design!$B$32)*1000000/2)</f>
        <v>2.8092326610237962E-2</v>
      </c>
      <c r="I74" s="207">
        <f t="shared" ca="1" si="13"/>
        <v>0.67157850992873247</v>
      </c>
      <c r="J74" s="207">
        <f>Constants!$D$22/1000000000*Constants!$C$21*IF(ISBLANK(Design!$B$32),Design!$B$31,Design!$B$32)*1000000</f>
        <v>1.0624999999999999E-2</v>
      </c>
      <c r="K74" s="207">
        <f t="shared" ca="1" si="22"/>
        <v>0.73280396153897043</v>
      </c>
      <c r="L74" s="207">
        <f t="shared" ca="1" si="17"/>
        <v>0.38556767253125002</v>
      </c>
      <c r="M74" s="208">
        <f ca="1">$A74+L74*Design!$B$19</f>
        <v>106.97735733428125</v>
      </c>
      <c r="N74" s="208">
        <f ca="1">K74*Design!$C$12+A74</f>
        <v>109.91533469232499</v>
      </c>
      <c r="O74" s="208">
        <f ca="1">Constants!$D$19+Constants!$D$19*Constants!$C$20/100*(N74-25)</f>
        <v>177.4976863335512</v>
      </c>
      <c r="P74" s="207">
        <f ca="1">(1-Constants!$D$17/1000000000*Design!$B$32*1000000) * ($B74+D74-C74*O74/1000) - (D74+C74*(1+($A74-25)*Constants!$C$31/100)*IF(ISBLANK(Design!$B$40),Constants!$C$6/1000,Design!$B$40/1000))</f>
        <v>5.3217796178854666</v>
      </c>
      <c r="Q74" s="157">
        <f ca="1">IF(P74&gt;Design!$C$28,Design!$C$28,P74)</f>
        <v>3.3223709369024856</v>
      </c>
      <c r="R74" s="158">
        <f>2*Design!$D$6/3</f>
        <v>1.6666666666666667</v>
      </c>
      <c r="S74" s="158">
        <f ca="1">FORECAST(R74, OFFSET(Design!$C$15:$C$17,MATCH(R74,Design!$B$15:$B$17,1)-1,0,2), OFFSET(Design!$B$15:$B$17,MATCH(R74,Design!$B$15:$B$17,1)-1,0,2))+(AB74-25)*Design!$B$18/1000</f>
        <v>0.35968059854892243</v>
      </c>
      <c r="T74" s="224">
        <f ca="1">IF(100*(Design!$C$28+S74+R74*IF(ISBLANK(Design!$B$40),Constants!$C$6,Design!$B$40)/1000*(1+Constants!$C$31/100*(AC74-25)))/($B74+S74-R74*AD74/1000)&gt;Design!$C$35,Design!$C$35,100*(Design!$C$28+S74+R74*IF(ISBLANK(Design!$B$40),Constants!$C$6,Design!$B$40)/1000*(1+Constants!$C$31/100*(AC74-25)))/($B74+S74-R74*AD74/1000))</f>
        <v>57.876441126641637</v>
      </c>
      <c r="U74" s="159">
        <f ca="1">IF(($B74-R74*IF(ISBLANK(Design!$B$40),Constants!$C$6,Design!$B$40)/1000*(1+Constants!$C$31/100*(AC74-25))-Design!$C$28)/(IF(ISBLANK(Design!$B$39),Design!$B$38,Design!$B$39)/1000000)*T74/100/(IF(ISBLANK(Design!$B$32),Design!$B$31,Design!$B$32)*1000000)&lt;0,0,($B74-R74*IF(ISBLANK(Design!$B$40),Constants!$C$6,Design!$B$40)/1000*(1+Constants!$C$31/100*(AC74-25))-Design!$C$28)/(IF(ISBLANK(Design!$B$39),Design!$B$38,Design!$B$39)/1000000)*T74/100/(IF(ISBLANK(Design!$B$32),Design!$B$31,Design!$B$32)*1000000))</f>
        <v>0.18793267245611406</v>
      </c>
      <c r="V74" s="225">
        <f>$B74*Constants!$C$18/1000+IF(ISBLANK(Design!$B$32),Design!$B$31,Design!$B$32)*1000000*Constants!$D$22/1000000000*($B74-Constants!$C$21)</f>
        <v>2.2508125000000004E-2</v>
      </c>
      <c r="W74" s="225">
        <f>$B74*R74*($B74/(Constants!$C$23*1000000000)*IF(ISBLANK(Design!$B$32),Design!$B$31,Design!$B$32)*1000000/2+$B74/(Constants!$C$24*1000000000)*IF(ISBLANK(Design!$B$32),Design!$B$31,Design!$B$32)*1000000/2)</f>
        <v>1.8728217740158641E-2</v>
      </c>
      <c r="X74" s="225">
        <f t="shared" ca="1" si="14"/>
        <v>0.26907439960044705</v>
      </c>
      <c r="Y74" s="225">
        <f>Constants!$D$22/1000000000*Constants!$C$21*IF(ISBLANK(Design!$B$32),Design!$B$31,Design!$B$32)*1000000</f>
        <v>1.0624999999999999E-2</v>
      </c>
      <c r="Z74" s="225">
        <f t="shared" ca="1" si="23"/>
        <v>0.32093574234060568</v>
      </c>
      <c r="AA74" s="225">
        <f t="shared" ca="1" si="19"/>
        <v>0.25251711447633846</v>
      </c>
      <c r="AB74" s="226">
        <f ca="1">$A74+AA74*Design!$B$19</f>
        <v>99.393475525151288</v>
      </c>
      <c r="AC74" s="226">
        <f ca="1">Z74*Design!$C$12+$A74</f>
        <v>95.911815239580591</v>
      </c>
      <c r="AD74" s="226">
        <f ca="1">Constants!$D$19+Constants!$D$19*Constants!$C$20/100*(AC74-25)</f>
        <v>167.19109601633133</v>
      </c>
      <c r="AE74" s="225">
        <f ca="1">(1-Constants!$D$17/1000000000*Design!$B$32*1000000) * ($B74+S74-R74*AD74/1000) - (S74+R74*(1+($A74-25)*Constants!$C$31/100)*IF(ISBLANK(Design!$B$40),Constants!$C$6/1000,Design!$B$40/1000))</f>
        <v>5.5269523943651038</v>
      </c>
      <c r="AF74" s="159">
        <f ca="1">IF(AE74&gt;Design!$C$28,Design!$C$28,AE74)</f>
        <v>3.3223709369024856</v>
      </c>
      <c r="AG74" s="160">
        <f>Design!$D$6/3</f>
        <v>0.83333333333333337</v>
      </c>
      <c r="AH74" s="160">
        <f ca="1">FORECAST(AG74, OFFSET(Design!$C$15:$C$17,MATCH(AG74,Design!$B$15:$B$17,1)-1,0,2), OFFSET(Design!$B$15:$B$17,MATCH(AG74,Design!$B$15:$B$17,1)-1,0,2))+(AQ74-25)*Design!$B$18/1000</f>
        <v>0.30284904187052902</v>
      </c>
      <c r="AI74" s="238">
        <f ca="1">IF(100*(Design!$C$28+AH74+AG74*IF(ISBLANK(Design!$B$40),Constants!$C$6,Design!$B$40)/1000*(1+Constants!$C$31/100*(AR74-25)))/($B74+AH74-AG74*AS74/1000)&gt;Design!$C$35,Design!$C$35,100*(Design!$C$28+AH74+AG74*IF(ISBLANK(Design!$B$40),Constants!$C$6,Design!$B$40)/1000*(1+Constants!$C$31/100*(AR74-25)))/($B74+AH74-AG74*AS74/1000))</f>
        <v>55.439203574039027</v>
      </c>
      <c r="AJ74" s="161">
        <f ca="1">IF(($B74-AG74*IF(ISBLANK(Design!$B$40),Constants!$C$6,Design!$B$40)/1000*(1+Constants!$C$31/100*(AR74-25))-Design!$C$28)/(IF(ISBLANK(Design!$B$39),Design!$B$38,Design!$B$39)/1000000)*AI74/100/(IF(ISBLANK(Design!$B$32),Design!$B$31,Design!$B$32)*1000000)&lt;0,0,($B74-AG74*IF(ISBLANK(Design!$B$40),Constants!$C$6,Design!$B$40)/1000*(1+Constants!$C$31/100*(AR74-25))-Design!$C$28)/(IF(ISBLANK(Design!$B$39),Design!$B$38,Design!$B$39)/1000000)*AI74/100/(IF(ISBLANK(Design!$B$32),Design!$B$31,Design!$B$32)*1000000))</f>
        <v>0.18324895749451431</v>
      </c>
      <c r="AK74" s="239">
        <f>$B74*Constants!$C$18/1000+IF(ISBLANK(Design!$B$32),Design!$B$31,Design!$B$32)*1000000*Constants!$D$22/1000000000*($B74-Constants!$C$21)</f>
        <v>2.2508125000000004E-2</v>
      </c>
      <c r="AL74" s="239">
        <f>$B74*AG74*($B74/(Constants!$C$23*1000000000)*IF(ISBLANK(Design!$B$32),Design!$B$31,Design!$B$32)*1000000/2+$B74/(Constants!$C$24*1000000000)*IF(ISBLANK(Design!$B$32),Design!$B$31,Design!$B$32)*1000000/2)</f>
        <v>9.3641088700793206E-3</v>
      </c>
      <c r="AM74" s="239">
        <f t="shared" ca="1" si="15"/>
        <v>6.2538641671572068E-2</v>
      </c>
      <c r="AN74" s="239">
        <f>Constants!$D$22/1000000000*Constants!$C$21*IF(ISBLANK(Design!$B$32),Design!$B$31,Design!$B$32)*1000000</f>
        <v>1.0624999999999999E-2</v>
      </c>
      <c r="AO74" s="239">
        <f t="shared" ca="1" si="24"/>
        <v>0.10503587554165139</v>
      </c>
      <c r="AP74" s="239">
        <f t="shared" ca="1" si="21"/>
        <v>0.11245995418824979</v>
      </c>
      <c r="AQ74" s="240">
        <f ca="1">$A74+AP74*Design!$B$19</f>
        <v>91.410217388730246</v>
      </c>
      <c r="AR74" s="240">
        <f ca="1">AO74*Design!$C$12+$A74</f>
        <v>88.571219768416142</v>
      </c>
      <c r="AS74" s="240">
        <f ca="1">Constants!$D$19+Constants!$D$19*Constants!$C$20/100*(AR74-25)</f>
        <v>161.7884177495543</v>
      </c>
      <c r="AT74" s="239">
        <f ca="1">(1-Constants!$D$17/1000000000*Design!$B$32*1000000) * ($B74+AH74-AG74*AS74/1000) - (AH74+AG74*(1+($A74-25)*Constants!$C$31/100)*IF(ISBLANK(Design!$B$40),Constants!$C$6/1000,Design!$B$40/1000))</f>
        <v>5.7148774962403044</v>
      </c>
      <c r="AU74" s="161">
        <f ca="1">IF(AT74&gt;Design!$C$28,Design!$C$28,AT74)</f>
        <v>3.3223709369024856</v>
      </c>
    </row>
    <row r="75" spans="1:47" ht="12.75" customHeight="1" x14ac:dyDescent="0.3">
      <c r="A75" s="154">
        <f>Design!$D$13</f>
        <v>85</v>
      </c>
      <c r="B75" s="155">
        <f t="shared" si="12"/>
        <v>6.2600000000000007</v>
      </c>
      <c r="C75" s="156">
        <f>Design!$D$6</f>
        <v>2.5</v>
      </c>
      <c r="D75" s="156">
        <f ca="1">FORECAST(C75, OFFSET(Design!$C$15:$C$17,MATCH(C75,Design!$B$15:$B$17,1)-1,0,2), OFFSET(Design!$B$15:$B$17,MATCH(C75,Design!$B$15:$B$17,1)-1,0,2))+(M75-25)*Design!$B$18/1000</f>
        <v>0.39159216456830098</v>
      </c>
      <c r="E75" s="215">
        <f ca="1">IF(100*(Design!$C$28+D75+C75*IF(ISBLANK(Design!$B$40),Constants!$C$6,Design!$B$40)/1000*(1+Constants!$C$31/100*(N75-25)))/($B75+D75-C75*O75/1000)&gt;Design!$C$35,Design!$C$35,100*(Design!$C$28+D75+C75*IF(ISBLANK(Design!$B$40),Constants!$C$6,Design!$B$40)/1000*(1+Constants!$C$31/100*(N75-25)))/($B75+D75-C75*O75/1000))</f>
        <v>62.532025555757293</v>
      </c>
      <c r="F75" s="157">
        <f ca="1">IF(($B75-C75*IF(ISBLANK(Design!$B$40),Constants!$C$6,Design!$B$40)/1000*(1+Constants!$C$31/100*(N75-25))-Design!$C$28)/(IF(ISBLANK(Design!$B$39),Design!$B$38,Design!$B$39)/1000000)*E75/100/(IF(ISBLANK(Design!$B$32),Design!$B$31,Design!$B$32)*1000000)&lt;0,0,($B75-C75*IF(ISBLANK(Design!$B$40),Constants!$C$6,Design!$B$40)/1000*(1+Constants!$C$31/100*(N75-25))-Design!$C$28)/(IF(ISBLANK(Design!$B$39),Design!$B$38,Design!$B$39)/1000000)*E75/100/(IF(ISBLANK(Design!$B$32),Design!$B$31,Design!$B$32)*1000000))</f>
        <v>0.18529214114555473</v>
      </c>
      <c r="G75" s="207">
        <f>B75*Constants!$C$18/1000+IF(ISBLANK(Design!$B$32),Design!$B$31,Design!$B$32)*1000000*Constants!$D$22/1000000000*(B75-Constants!$C$21)</f>
        <v>2.1457500000000004E-2</v>
      </c>
      <c r="H75" s="207">
        <f>B75*C75*(B75/(Constants!$C$23*1000000000)*IF(ISBLANK(Design!$B$32),Design!$B$31,Design!$B$32)*1000000/2+B75/(Constants!$C$24*1000000000)*IF(ISBLANK(Design!$B$32),Design!$B$31,Design!$B$32)*1000000/2)</f>
        <v>2.633900210536624E-2</v>
      </c>
      <c r="I75" s="207">
        <f t="shared" ca="1" si="13"/>
        <v>0.69615334708766918</v>
      </c>
      <c r="J75" s="207">
        <f>Constants!$D$22/1000000000*Constants!$C$21*IF(ISBLANK(Design!$B$32),Design!$B$31,Design!$B$32)*1000000</f>
        <v>1.0624999999999999E-2</v>
      </c>
      <c r="K75" s="207">
        <f t="shared" ca="1" si="22"/>
        <v>0.75457484919303541</v>
      </c>
      <c r="L75" s="207">
        <f t="shared" ca="1" si="17"/>
        <v>0.3668041303652696</v>
      </c>
      <c r="M75" s="208">
        <f ca="1">$A75+L75*Design!$B$19</f>
        <v>105.90783543082037</v>
      </c>
      <c r="N75" s="208">
        <f ca="1">K75*Design!$C$12+A75</f>
        <v>110.65554487256321</v>
      </c>
      <c r="O75" s="208">
        <f ca="1">Constants!$D$19+Constants!$D$19*Constants!$C$20/100*(N75-25)</f>
        <v>178.04248102620653</v>
      </c>
      <c r="P75" s="207">
        <f ca="1">(1-Constants!$D$17/1000000000*Design!$B$32*1000000) * ($B75+D75-C75*O75/1000) - (D75+C75*(1+($A75-25)*Constants!$C$31/100)*IF(ISBLANK(Design!$B$40),Constants!$C$6/1000,Design!$B$40/1000))</f>
        <v>5.132867490664248</v>
      </c>
      <c r="Q75" s="157">
        <f ca="1">IF(P75&gt;Design!$C$28,Design!$C$28,P75)</f>
        <v>3.3223709369024856</v>
      </c>
      <c r="R75" s="158">
        <f>2*Design!$D$6/3</f>
        <v>1.6666666666666667</v>
      </c>
      <c r="S75" s="158">
        <f ca="1">FORECAST(R75, OFFSET(Design!$C$15:$C$17,MATCH(R75,Design!$B$15:$B$17,1)-1,0,2), OFFSET(Design!$B$15:$B$17,MATCH(R75,Design!$B$15:$B$17,1)-1,0,2))+(AB75-25)*Design!$B$18/1000</f>
        <v>0.36029896147389573</v>
      </c>
      <c r="T75" s="224">
        <f ca="1">IF(100*(Design!$C$28+S75+R75*IF(ISBLANK(Design!$B$40),Constants!$C$6,Design!$B$40)/1000*(1+Constants!$C$31/100*(AC75-25)))/($B75+S75-R75*AD75/1000)&gt;Design!$C$35,Design!$C$35,100*(Design!$C$28+S75+R75*IF(ISBLANK(Design!$B$40),Constants!$C$6,Design!$B$40)/1000*(1+Constants!$C$31/100*(AC75-25)))/($B75+S75-R75*AD75/1000))</f>
        <v>59.755314122508786</v>
      </c>
      <c r="U75" s="159">
        <f ca="1">IF(($B75-R75*IF(ISBLANK(Design!$B$40),Constants!$C$6,Design!$B$40)/1000*(1+Constants!$C$31/100*(AC75-25))-Design!$C$28)/(IF(ISBLANK(Design!$B$39),Design!$B$38,Design!$B$39)/1000000)*T75/100/(IF(ISBLANK(Design!$B$32),Design!$B$31,Design!$B$32)*1000000)&lt;0,0,($B75-R75*IF(ISBLANK(Design!$B$40),Constants!$C$6,Design!$B$40)/1000*(1+Constants!$C$31/100*(AC75-25))-Design!$C$28)/(IF(ISBLANK(Design!$B$39),Design!$B$38,Design!$B$39)/1000000)*T75/100/(IF(ISBLANK(Design!$B$32),Design!$B$31,Design!$B$32)*1000000))</f>
        <v>0.18092737411889209</v>
      </c>
      <c r="V75" s="225">
        <f>$B75*Constants!$C$18/1000+IF(ISBLANK(Design!$B$32),Design!$B$31,Design!$B$32)*1000000*Constants!$D$22/1000000000*($B75-Constants!$C$21)</f>
        <v>2.1457500000000004E-2</v>
      </c>
      <c r="W75" s="225">
        <f>$B75*R75*($B75/(Constants!$C$23*1000000000)*IF(ISBLANK(Design!$B$32),Design!$B$31,Design!$B$32)*1000000/2+$B75/(Constants!$C$24*1000000000)*IF(ISBLANK(Design!$B$32),Design!$B$31,Design!$B$32)*1000000/2)</f>
        <v>1.7559334736910827E-2</v>
      </c>
      <c r="X75" s="225">
        <f t="shared" ca="1" si="14"/>
        <v>0.2780697089509519</v>
      </c>
      <c r="Y75" s="225">
        <f>Constants!$D$22/1000000000*Constants!$C$21*IF(ISBLANK(Design!$B$32),Design!$B$31,Design!$B$32)*1000000</f>
        <v>1.0624999999999999E-2</v>
      </c>
      <c r="Z75" s="225">
        <f t="shared" ca="1" si="23"/>
        <v>0.32771154368786271</v>
      </c>
      <c r="AA75" s="225">
        <f t="shared" ca="1" si="19"/>
        <v>0.2416686421083874</v>
      </c>
      <c r="AB75" s="226">
        <f ca="1">$A75+AA75*Design!$B$19</f>
        <v>98.775112600178076</v>
      </c>
      <c r="AC75" s="226">
        <f ca="1">Z75*Design!$C$12+$A75</f>
        <v>96.142192485387326</v>
      </c>
      <c r="AD75" s="226">
        <f ca="1">Constants!$D$19+Constants!$D$19*Constants!$C$20/100*(AC75-25)</f>
        <v>167.3606536692451</v>
      </c>
      <c r="AE75" s="225">
        <f ca="1">(1-Constants!$D$17/1000000000*Design!$B$32*1000000) * ($B75+S75-R75*AD75/1000) - (S75+R75*(1+($A75-25)*Constants!$C$31/100)*IF(ISBLANK(Design!$B$40),Constants!$C$6/1000,Design!$B$40/1000))</f>
        <v>5.3390662580957873</v>
      </c>
      <c r="AF75" s="159">
        <f ca="1">IF(AE75&gt;Design!$C$28,Design!$C$28,AE75)</f>
        <v>3.3223709369024856</v>
      </c>
      <c r="AG75" s="160">
        <f>Design!$D$6/3</f>
        <v>0.83333333333333337</v>
      </c>
      <c r="AH75" s="160">
        <f ca="1">FORECAST(AG75, OFFSET(Design!$C$15:$C$17,MATCH(AG75,Design!$B$15:$B$17,1)-1,0,2), OFFSET(Design!$B$15:$B$17,MATCH(AG75,Design!$B$15:$B$17,1)-1,0,2))+(AQ75-25)*Design!$B$18/1000</f>
        <v>0.30309856177070782</v>
      </c>
      <c r="AI75" s="238">
        <f ca="1">IF(100*(Design!$C$28+AH75+AG75*IF(ISBLANK(Design!$B$40),Constants!$C$6,Design!$B$40)/1000*(1+Constants!$C$31/100*(AR75-25)))/($B75+AH75-AG75*AS75/1000)&gt;Design!$C$35,Design!$C$35,100*(Design!$C$28+AH75+AG75*IF(ISBLANK(Design!$B$40),Constants!$C$6,Design!$B$40)/1000*(1+Constants!$C$31/100*(AR75-25)))/($B75+AH75-AG75*AS75/1000))</f>
        <v>57.209003652766746</v>
      </c>
      <c r="AJ75" s="161">
        <f ca="1">IF(($B75-AG75*IF(ISBLANK(Design!$B$40),Constants!$C$6,Design!$B$40)/1000*(1+Constants!$C$31/100*(AR75-25))-Design!$C$28)/(IF(ISBLANK(Design!$B$39),Design!$B$38,Design!$B$39)/1000000)*AI75/100/(IF(ISBLANK(Design!$B$32),Design!$B$31,Design!$B$32)*1000000)&lt;0,0,($B75-AG75*IF(ISBLANK(Design!$B$40),Constants!$C$6,Design!$B$40)/1000*(1+Constants!$C$31/100*(AR75-25))-Design!$C$28)/(IF(ISBLANK(Design!$B$39),Design!$B$38,Design!$B$39)/1000000)*AI75/100/(IF(ISBLANK(Design!$B$32),Design!$B$31,Design!$B$32)*1000000))</f>
        <v>0.17655559302139975</v>
      </c>
      <c r="AK75" s="239">
        <f>$B75*Constants!$C$18/1000+IF(ISBLANK(Design!$B$32),Design!$B$31,Design!$B$32)*1000000*Constants!$D$22/1000000000*($B75-Constants!$C$21)</f>
        <v>2.1457500000000004E-2</v>
      </c>
      <c r="AL75" s="239">
        <f>$B75*AG75*($B75/(Constants!$C$23*1000000000)*IF(ISBLANK(Design!$B$32),Design!$B$31,Design!$B$32)*1000000/2+$B75/(Constants!$C$24*1000000000)*IF(ISBLANK(Design!$B$32),Design!$B$31,Design!$B$32)*1000000/2)</f>
        <v>8.7796673684554134E-3</v>
      </c>
      <c r="AM75" s="239">
        <f t="shared" ca="1" si="15"/>
        <v>6.4519958582072351E-2</v>
      </c>
      <c r="AN75" s="239">
        <f>Constants!$D$22/1000000000*Constants!$C$21*IF(ISBLANK(Design!$B$32),Design!$B$31,Design!$B$32)*1000000</f>
        <v>1.0624999999999999E-2</v>
      </c>
      <c r="AO75" s="239">
        <f t="shared" ca="1" si="24"/>
        <v>0.10538212595052776</v>
      </c>
      <c r="AP75" s="239">
        <f t="shared" ca="1" si="21"/>
        <v>0.10808241207985012</v>
      </c>
      <c r="AQ75" s="240">
        <f ca="1">$A75+AP75*Design!$B$19</f>
        <v>91.160697488551463</v>
      </c>
      <c r="AR75" s="240">
        <f ca="1">AO75*Design!$C$12+$A75</f>
        <v>88.582992282317946</v>
      </c>
      <c r="AS75" s="240">
        <f ca="1">Constants!$D$19+Constants!$D$19*Constants!$C$20/100*(AR75-25)</f>
        <v>161.797082319786</v>
      </c>
      <c r="AT75" s="239">
        <f ca="1">(1-Constants!$D$17/1000000000*Design!$B$32*1000000) * ($B75+AH75-AG75*AS75/1000) - (AH75+AG75*(1+($A75-25)*Constants!$C$31/100)*IF(ISBLANK(Design!$B$40),Constants!$C$6/1000,Design!$B$40/1000))</f>
        <v>5.5272746803139867</v>
      </c>
      <c r="AU75" s="161">
        <f ca="1">IF(AT75&gt;Design!$C$28,Design!$C$28,AT75)</f>
        <v>3.3223709369024856</v>
      </c>
    </row>
    <row r="76" spans="1:47" ht="12.75" customHeight="1" x14ac:dyDescent="0.3">
      <c r="A76" s="154">
        <f>Design!$D$13</f>
        <v>85</v>
      </c>
      <c r="B76" s="155">
        <f t="shared" si="12"/>
        <v>6.0550000000000006</v>
      </c>
      <c r="C76" s="156">
        <f>Design!$D$6</f>
        <v>2.5</v>
      </c>
      <c r="D76" s="156">
        <f ca="1">FORECAST(C76, OFFSET(Design!$C$15:$C$17,MATCH(C76,Design!$B$15:$B$17,1)-1,0,2), OFFSET(Design!$B$15:$B$17,MATCH(C76,Design!$B$15:$B$17,1)-1,0,2))+(M76-25)*Design!$B$18/1000</f>
        <v>0.39274260276397377</v>
      </c>
      <c r="E76" s="215">
        <f ca="1">IF(100*(Design!$C$28+D76+C76*IF(ISBLANK(Design!$B$40),Constants!$C$6,Design!$B$40)/1000*(1+Constants!$C$31/100*(N76-25)))/($B76+D76-C76*O76/1000)&gt;Design!$C$35,Design!$C$35,100*(Design!$C$28+D76+C76*IF(ISBLANK(Design!$B$40),Constants!$C$6,Design!$B$40)/1000*(1+Constants!$C$31/100*(N76-25)))/($B76+D76-C76*O76/1000))</f>
        <v>64.697386870884316</v>
      </c>
      <c r="F76" s="157">
        <f ca="1">IF(($B76-C76*IF(ISBLANK(Design!$B$40),Constants!$C$6,Design!$B$40)/1000*(1+Constants!$C$31/100*(N76-25))-Design!$C$28)/(IF(ISBLANK(Design!$B$39),Design!$B$38,Design!$B$39)/1000000)*E76/100/(IF(ISBLANK(Design!$B$32),Design!$B$31,Design!$B$32)*1000000)&lt;0,0,($B76-C76*IF(ISBLANK(Design!$B$40),Constants!$C$6,Design!$B$40)/1000*(1+Constants!$C$31/100*(N76-25))-Design!$C$28)/(IF(ISBLANK(Design!$B$39),Design!$B$38,Design!$B$39)/1000000)*E76/100/(IF(ISBLANK(Design!$B$32),Design!$B$31,Design!$B$32)*1000000))</f>
        <v>0.17749602514711066</v>
      </c>
      <c r="G76" s="207">
        <f>B76*Constants!$C$18/1000+IF(ISBLANK(Design!$B$32),Design!$B$31,Design!$B$32)*1000000*Constants!$D$22/1000000000*(B76-Constants!$C$21)</f>
        <v>2.0406875000000005E-2</v>
      </c>
      <c r="H76" s="207">
        <f>B76*C76*(B76/(Constants!$C$23*1000000000)*IF(ISBLANK(Design!$B$32),Design!$B$31,Design!$B$32)*1000000/2+B76/(Constants!$C$24*1000000000)*IF(ISBLANK(Design!$B$32),Design!$B$31,Design!$B$32)*1000000/2)</f>
        <v>2.4642169784934394E-2</v>
      </c>
      <c r="I76" s="207">
        <f t="shared" ca="1" si="13"/>
        <v>0.72263524011175873</v>
      </c>
      <c r="J76" s="207">
        <f>Constants!$D$22/1000000000*Constants!$C$21*IF(ISBLANK(Design!$B$32),Design!$B$31,Design!$B$32)*1000000</f>
        <v>1.0624999999999999E-2</v>
      </c>
      <c r="K76" s="207">
        <f t="shared" ca="1" si="22"/>
        <v>0.77830928489669315</v>
      </c>
      <c r="L76" s="207">
        <f t="shared" ca="1" si="17"/>
        <v>0.34662100411746322</v>
      </c>
      <c r="M76" s="208">
        <f ca="1">$A76+L76*Design!$B$19</f>
        <v>104.7573972346954</v>
      </c>
      <c r="N76" s="208">
        <f ca="1">K76*Design!$C$12+A76</f>
        <v>111.46251568648756</v>
      </c>
      <c r="O76" s="208">
        <f ca="1">Constants!$D$19+Constants!$D$19*Constants!$C$20/100*(N76-25)</f>
        <v>178.63641154525484</v>
      </c>
      <c r="P76" s="207">
        <f ca="1">(1-Constants!$D$17/1000000000*Design!$B$32*1000000) * ($B76+D76-C76*O76/1000) - (D76+C76*(1+($A76-25)*Constants!$C$31/100)*IF(ISBLANK(Design!$B$40),Constants!$C$6/1000,Design!$B$40/1000))</f>
        <v>4.9438360873552929</v>
      </c>
      <c r="Q76" s="157">
        <f ca="1">IF(P76&gt;Design!$C$28,Design!$C$28,P76)</f>
        <v>3.3223709369024856</v>
      </c>
      <c r="R76" s="158">
        <f>2*Design!$D$6/3</f>
        <v>1.6666666666666667</v>
      </c>
      <c r="S76" s="158">
        <f ca="1">FORECAST(R76, OFFSET(Design!$C$15:$C$17,MATCH(R76,Design!$B$15:$B$17,1)-1,0,2), OFFSET(Design!$B$15:$B$17,MATCH(R76,Design!$B$15:$B$17,1)-1,0,2))+(AB76-25)*Design!$B$18/1000</f>
        <v>0.36096114165351634</v>
      </c>
      <c r="T76" s="224">
        <f ca="1">IF(100*(Design!$C$28+S76+R76*IF(ISBLANK(Design!$B$40),Constants!$C$6,Design!$B$40)/1000*(1+Constants!$C$31/100*(AC76-25)))/($B76+S76-R76*AD76/1000)&gt;Design!$C$35,Design!$C$35,100*(Design!$C$28+S76+R76*IF(ISBLANK(Design!$B$40),Constants!$C$6,Design!$B$40)/1000*(1+Constants!$C$31/100*(AC76-25)))/($B76+S76-R76*AD76/1000))</f>
        <v>61.760186442087694</v>
      </c>
      <c r="U76" s="159">
        <f ca="1">IF(($B76-R76*IF(ISBLANK(Design!$B$40),Constants!$C$6,Design!$B$40)/1000*(1+Constants!$C$31/100*(AC76-25))-Design!$C$28)/(IF(ISBLANK(Design!$B$39),Design!$B$38,Design!$B$39)/1000000)*T76/100/(IF(ISBLANK(Design!$B$32),Design!$B$31,Design!$B$32)*1000000)&lt;0,0,($B76-R76*IF(ISBLANK(Design!$B$40),Constants!$C$6,Design!$B$40)/1000*(1+Constants!$C$31/100*(AC76-25))-Design!$C$28)/(IF(ISBLANK(Design!$B$39),Design!$B$38,Design!$B$39)/1000000)*T76/100/(IF(ISBLANK(Design!$B$32),Design!$B$31,Design!$B$32)*1000000))</f>
        <v>0.17345125519213161</v>
      </c>
      <c r="V76" s="225">
        <f>$B76*Constants!$C$18/1000+IF(ISBLANK(Design!$B$32),Design!$B$31,Design!$B$32)*1000000*Constants!$D$22/1000000000*($B76-Constants!$C$21)</f>
        <v>2.0406875000000005E-2</v>
      </c>
      <c r="W76" s="225">
        <f>$B76*R76*($B76/(Constants!$C$23*1000000000)*IF(ISBLANK(Design!$B$32),Design!$B$31,Design!$B$32)*1000000/2+$B76/(Constants!$C$24*1000000000)*IF(ISBLANK(Design!$B$32),Design!$B$31,Design!$B$32)*1000000/2)</f>
        <v>1.6428113189956264E-2</v>
      </c>
      <c r="X76" s="225">
        <f t="shared" ca="1" si="14"/>
        <v>0.28769640385935141</v>
      </c>
      <c r="Y76" s="225">
        <f>Constants!$D$22/1000000000*Constants!$C$21*IF(ISBLANK(Design!$B$32),Design!$B$31,Design!$B$32)*1000000</f>
        <v>1.0624999999999999E-2</v>
      </c>
      <c r="Z76" s="225">
        <f t="shared" ca="1" si="23"/>
        <v>0.33515639204930769</v>
      </c>
      <c r="AA76" s="225">
        <f t="shared" ca="1" si="19"/>
        <v>0.23005144597469396</v>
      </c>
      <c r="AB76" s="226">
        <f ca="1">$A76+AA76*Design!$B$19</f>
        <v>98.112932420557556</v>
      </c>
      <c r="AC76" s="226">
        <f ca="1">Z76*Design!$C$12+$A76</f>
        <v>96.395317329676459</v>
      </c>
      <c r="AD76" s="226">
        <f ca="1">Constants!$D$19+Constants!$D$19*Constants!$C$20/100*(AC76-25)</f>
        <v>167.54695355464187</v>
      </c>
      <c r="AE76" s="225">
        <f ca="1">(1-Constants!$D$17/1000000000*Design!$B$32*1000000) * ($B76+S76-R76*AD76/1000) - (S76+R76*(1+($A76-25)*Constants!$C$31/100)*IF(ISBLANK(Design!$B$40),Constants!$C$6/1000,Design!$B$40/1000))</f>
        <v>5.15115086545529</v>
      </c>
      <c r="AF76" s="159">
        <f ca="1">IF(AE76&gt;Design!$C$28,Design!$C$28,AE76)</f>
        <v>3.3223709369024856</v>
      </c>
      <c r="AG76" s="160">
        <f>Design!$D$6/3</f>
        <v>0.83333333333333337</v>
      </c>
      <c r="AH76" s="160">
        <f ca="1">FORECAST(AG76, OFFSET(Design!$C$15:$C$17,MATCH(AG76,Design!$B$15:$B$17,1)-1,0,2), OFFSET(Design!$B$15:$B$17,MATCH(AG76,Design!$B$15:$B$17,1)-1,0,2))+(AQ76-25)*Design!$B$18/1000</f>
        <v>0.30336497526086559</v>
      </c>
      <c r="AI76" s="238">
        <f ca="1">IF(100*(Design!$C$28+AH76+AG76*IF(ISBLANK(Design!$B$40),Constants!$C$6,Design!$B$40)/1000*(1+Constants!$C$31/100*(AR76-25)))/($B76+AH76-AG76*AS76/1000)&gt;Design!$C$35,Design!$C$35,100*(Design!$C$28+AH76+AG76*IF(ISBLANK(Design!$B$40),Constants!$C$6,Design!$B$40)/1000*(1+Constants!$C$31/100*(AR76-25)))/($B76+AH76-AG76*AS76/1000))</f>
        <v>59.09541326148117</v>
      </c>
      <c r="AJ76" s="161">
        <f ca="1">IF(($B76-AG76*IF(ISBLANK(Design!$B$40),Constants!$C$6,Design!$B$40)/1000*(1+Constants!$C$31/100*(AR76-25))-Design!$C$28)/(IF(ISBLANK(Design!$B$39),Design!$B$38,Design!$B$39)/1000000)*AI76/100/(IF(ISBLANK(Design!$B$32),Design!$B$31,Design!$B$32)*1000000)&lt;0,0,($B76-AG76*IF(ISBLANK(Design!$B$40),Constants!$C$6,Design!$B$40)/1000*(1+Constants!$C$31/100*(AR76-25))-Design!$C$28)/(IF(ISBLANK(Design!$B$39),Design!$B$38,Design!$B$39)/1000000)*AI76/100/(IF(ISBLANK(Design!$B$32),Design!$B$31,Design!$B$32)*1000000))</f>
        <v>0.16942041376380065</v>
      </c>
      <c r="AK76" s="239">
        <f>$B76*Constants!$C$18/1000+IF(ISBLANK(Design!$B$32),Design!$B$31,Design!$B$32)*1000000*Constants!$D$22/1000000000*($B76-Constants!$C$21)</f>
        <v>2.0406875000000005E-2</v>
      </c>
      <c r="AL76" s="239">
        <f>$B76*AG76*($B76/(Constants!$C$23*1000000000)*IF(ISBLANK(Design!$B$32),Design!$B$31,Design!$B$32)*1000000/2+$B76/(Constants!$C$24*1000000000)*IF(ISBLANK(Design!$B$32),Design!$B$31,Design!$B$32)*1000000/2)</f>
        <v>8.2140565949781318E-3</v>
      </c>
      <c r="AM76" s="239">
        <f t="shared" ca="1" si="15"/>
        <v>6.6632888427885506E-2</v>
      </c>
      <c r="AN76" s="239">
        <f>Constants!$D$22/1000000000*Constants!$C$21*IF(ISBLANK(Design!$B$32),Design!$B$31,Design!$B$32)*1000000</f>
        <v>1.0624999999999999E-2</v>
      </c>
      <c r="AO76" s="239">
        <f t="shared" ca="1" si="24"/>
        <v>0.10587882002286364</v>
      </c>
      <c r="AP76" s="239">
        <f t="shared" ca="1" si="21"/>
        <v>0.10340849119988914</v>
      </c>
      <c r="AQ76" s="240">
        <f ca="1">$A76+AP76*Design!$B$19</f>
        <v>90.894283998393675</v>
      </c>
      <c r="AR76" s="240">
        <f ca="1">AO76*Design!$C$12+$A76</f>
        <v>88.599879880777365</v>
      </c>
      <c r="AS76" s="240">
        <f ca="1">Constants!$D$19+Constants!$D$19*Constants!$C$20/100*(AR76-25)</f>
        <v>161.80951159225214</v>
      </c>
      <c r="AT76" s="239">
        <f ca="1">(1-Constants!$D$17/1000000000*Design!$B$32*1000000) * ($B76+AH76-AG76*AS76/1000) - (AH76+AG76*(1+($A76-25)*Constants!$C$31/100)*IF(ISBLANK(Design!$B$40),Constants!$C$6/1000,Design!$B$40/1000))</f>
        <v>5.3396675578470676</v>
      </c>
      <c r="AU76" s="161">
        <f ca="1">IF(AT76&gt;Design!$C$28,Design!$C$28,AT76)</f>
        <v>3.3223709369024856</v>
      </c>
    </row>
    <row r="77" spans="1:47" ht="12.75" customHeight="1" x14ac:dyDescent="0.3">
      <c r="A77" s="154">
        <f>Design!$D$13</f>
        <v>85</v>
      </c>
      <c r="B77" s="155">
        <f t="shared" si="12"/>
        <v>5.8500000000000005</v>
      </c>
      <c r="C77" s="156">
        <f>Design!$D$6</f>
        <v>2.5</v>
      </c>
      <c r="D77" s="156">
        <f ca="1">FORECAST(C77, OFFSET(Design!$C$15:$C$17,MATCH(C77,Design!$B$15:$B$17,1)-1,0,2), OFFSET(Design!$B$15:$B$17,MATCH(C77,Design!$B$15:$B$17,1)-1,0,2))+(M77-25)*Design!$B$18/1000</f>
        <v>0.39398354183970508</v>
      </c>
      <c r="E77" s="215">
        <f ca="1">IF(100*(Design!$C$28+D77+C77*IF(ISBLANK(Design!$B$40),Constants!$C$6,Design!$B$40)/1000*(1+Constants!$C$31/100*(N77-25)))/($B77+D77-C77*O77/1000)&gt;Design!$C$35,Design!$C$35,100*(Design!$C$28+D77+C77*IF(ISBLANK(Design!$B$40),Constants!$C$6,Design!$B$40)/1000*(1+Constants!$C$31/100*(N77-25)))/($B77+D77-C77*O77/1000))</f>
        <v>67.018912352514292</v>
      </c>
      <c r="F77" s="157">
        <f ca="1">IF(($B77-C77*IF(ISBLANK(Design!$B$40),Constants!$C$6,Design!$B$40)/1000*(1+Constants!$C$31/100*(N77-25))-Design!$C$28)/(IF(ISBLANK(Design!$B$39),Design!$B$38,Design!$B$39)/1000000)*E77/100/(IF(ISBLANK(Design!$B$32),Design!$B$31,Design!$B$32)*1000000)&lt;0,0,($B77-C77*IF(ISBLANK(Design!$B$40),Constants!$C$6,Design!$B$40)/1000*(1+Constants!$C$31/100*(N77-25))-Design!$C$28)/(IF(ISBLANK(Design!$B$39),Design!$B$38,Design!$B$39)/1000000)*E77/100/(IF(ISBLANK(Design!$B$32),Design!$B$31,Design!$B$32)*1000000))</f>
        <v>0.16914005662701051</v>
      </c>
      <c r="G77" s="207">
        <f>B77*Constants!$C$18/1000+IF(ISBLANK(Design!$B$32),Design!$B$31,Design!$B$32)*1000000*Constants!$D$22/1000000000*(B77-Constants!$C$21)</f>
        <v>1.9356250000000002E-2</v>
      </c>
      <c r="H77" s="207">
        <f>B77*C77*(B77/(Constants!$C$23*1000000000)*IF(ISBLANK(Design!$B$32),Design!$B$31,Design!$B$32)*1000000/2+B77/(Constants!$C$24*1000000000)*IF(ISBLANK(Design!$B$32),Design!$B$31,Design!$B$32)*1000000/2)</f>
        <v>2.3001829648942426E-2</v>
      </c>
      <c r="I77" s="207">
        <f t="shared" ca="1" si="13"/>
        <v>0.75125541571723842</v>
      </c>
      <c r="J77" s="207">
        <f>Constants!$D$22/1000000000*Constants!$C$21*IF(ISBLANK(Design!$B$32),Design!$B$31,Design!$B$32)*1000000</f>
        <v>1.0624999999999999E-2</v>
      </c>
      <c r="K77" s="207">
        <f t="shared" ca="1" si="22"/>
        <v>0.80423849536618086</v>
      </c>
      <c r="L77" s="207">
        <f t="shared" ca="1" si="17"/>
        <v>0.32485014312705413</v>
      </c>
      <c r="M77" s="208">
        <f ca="1">$A77+L77*Design!$B$19</f>
        <v>103.51645815824209</v>
      </c>
      <c r="N77" s="208">
        <f ca="1">K77*Design!$C$12+A77</f>
        <v>112.34410884245015</v>
      </c>
      <c r="O77" s="208">
        <f ca="1">Constants!$D$19+Constants!$D$19*Constants!$C$20/100*(N77-25)</f>
        <v>179.28526410804332</v>
      </c>
      <c r="P77" s="207">
        <f ca="1">(1-Constants!$D$17/1000000000*Design!$B$32*1000000) * ($B77+D77-C77*O77/1000) - (D77+C77*(1+($A77-25)*Constants!$C$31/100)*IF(ISBLANK(Design!$B$40),Constants!$C$6/1000,Design!$B$40/1000))</f>
        <v>4.7546713572964769</v>
      </c>
      <c r="Q77" s="157">
        <f ca="1">IF(P77&gt;Design!$C$28,Design!$C$28,P77)</f>
        <v>3.3223709369024856</v>
      </c>
      <c r="R77" s="158">
        <f>2*Design!$D$6/3</f>
        <v>1.6666666666666667</v>
      </c>
      <c r="S77" s="158">
        <f ca="1">FORECAST(R77, OFFSET(Design!$C$15:$C$17,MATCH(R77,Design!$B$15:$B$17,1)-1,0,2), OFFSET(Design!$B$15:$B$17,MATCH(R77,Design!$B$15:$B$17,1)-1,0,2))+(AB77-25)*Design!$B$18/1000</f>
        <v>0.36167196190831252</v>
      </c>
      <c r="T77" s="224">
        <f ca="1">IF(100*(Design!$C$28+S77+R77*IF(ISBLANK(Design!$B$40),Constants!$C$6,Design!$B$40)/1000*(1+Constants!$C$31/100*(AC77-25)))/($B77+S77-R77*AD77/1000)&gt;Design!$C$35,Design!$C$35,100*(Design!$C$28+S77+R77*IF(ISBLANK(Design!$B$40),Constants!$C$6,Design!$B$40)/1000*(1+Constants!$C$31/100*(AC77-25)))/($B77+S77-R77*AD77/1000))</f>
        <v>63.904155460529573</v>
      </c>
      <c r="U77" s="159">
        <f ca="1">IF(($B77-R77*IF(ISBLANK(Design!$B$40),Constants!$C$6,Design!$B$40)/1000*(1+Constants!$C$31/100*(AC77-25))-Design!$C$28)/(IF(ISBLANK(Design!$B$39),Design!$B$38,Design!$B$39)/1000000)*T77/100/(IF(ISBLANK(Design!$B$32),Design!$B$31,Design!$B$32)*1000000)&lt;0,0,($B77-R77*IF(ISBLANK(Design!$B$40),Constants!$C$6,Design!$B$40)/1000*(1+Constants!$C$31/100*(AC77-25))-Design!$C$28)/(IF(ISBLANK(Design!$B$39),Design!$B$38,Design!$B$39)/1000000)*T77/100/(IF(ISBLANK(Design!$B$32),Design!$B$31,Design!$B$32)*1000000))</f>
        <v>0.16545521599611959</v>
      </c>
      <c r="V77" s="225">
        <f>$B77*Constants!$C$18/1000+IF(ISBLANK(Design!$B$32),Design!$B$31,Design!$B$32)*1000000*Constants!$D$22/1000000000*($B77-Constants!$C$21)</f>
        <v>1.9356250000000002E-2</v>
      </c>
      <c r="W77" s="225">
        <f>$B77*R77*($B77/(Constants!$C$23*1000000000)*IF(ISBLANK(Design!$B$32),Design!$B$31,Design!$B$32)*1000000/2+$B77/(Constants!$C$24*1000000000)*IF(ISBLANK(Design!$B$32),Design!$B$31,Design!$B$32)*1000000/2)</f>
        <v>1.5334553099294952E-2</v>
      </c>
      <c r="X77" s="225">
        <f t="shared" ca="1" si="14"/>
        <v>0.29802321312828839</v>
      </c>
      <c r="Y77" s="225">
        <f>Constants!$D$22/1000000000*Constants!$C$21*IF(ISBLANK(Design!$B$32),Design!$B$31,Design!$B$32)*1000000</f>
        <v>1.0624999999999999E-2</v>
      </c>
      <c r="Z77" s="225">
        <f t="shared" ca="1" si="23"/>
        <v>0.34333901622758334</v>
      </c>
      <c r="AA77" s="225">
        <f t="shared" ca="1" si="19"/>
        <v>0.2175809151887953</v>
      </c>
      <c r="AB77" s="226">
        <f ca="1">$A77+AA77*Design!$B$19</f>
        <v>97.402112165761338</v>
      </c>
      <c r="AC77" s="226">
        <f ca="1">Z77*Design!$C$12+$A77</f>
        <v>96.673526551737837</v>
      </c>
      <c r="AD77" s="226">
        <f ca="1">Constants!$D$19+Constants!$D$19*Constants!$C$20/100*(AC77-25)</f>
        <v>167.75171554207907</v>
      </c>
      <c r="AE77" s="225">
        <f ca="1">(1-Constants!$D$17/1000000000*Design!$B$32*1000000) * ($B77+S77-R77*AD77/1000) - (S77+R77*(1+($A77-25)*Constants!$C$31/100)*IF(ISBLANK(Design!$B$40),Constants!$C$6/1000,Design!$B$40/1000))</f>
        <v>4.9632031837027908</v>
      </c>
      <c r="AF77" s="159">
        <f ca="1">IF(AE77&gt;Design!$C$28,Design!$C$28,AE77)</f>
        <v>3.3223709369024856</v>
      </c>
      <c r="AG77" s="160">
        <f>Design!$D$6/3</f>
        <v>0.83333333333333337</v>
      </c>
      <c r="AH77" s="160">
        <f ca="1">FORECAST(AG77, OFFSET(Design!$C$15:$C$17,MATCH(AG77,Design!$B$15:$B$17,1)-1,0,2), OFFSET(Design!$B$15:$B$17,MATCH(AG77,Design!$B$15:$B$17,1)-1,0,2))+(AQ77-25)*Design!$B$18/1000</f>
        <v>0.30365005605375406</v>
      </c>
      <c r="AI77" s="238">
        <f ca="1">IF(100*(Design!$C$28+AH77+AG77*IF(ISBLANK(Design!$B$40),Constants!$C$6,Design!$B$40)/1000*(1+Constants!$C$31/100*(AR77-25)))/($B77+AH77-AG77*AS77/1000)&gt;Design!$C$35,Design!$C$35,100*(Design!$C$28+AH77+AG77*IF(ISBLANK(Design!$B$40),Constants!$C$6,Design!$B$40)/1000*(1+Constants!$C$31/100*(AR77-25)))/($B77+AH77-AG77*AS77/1000))</f>
        <v>61.110335340742431</v>
      </c>
      <c r="AJ77" s="161">
        <f ca="1">IF(($B77-AG77*IF(ISBLANK(Design!$B$40),Constants!$C$6,Design!$B$40)/1000*(1+Constants!$C$31/100*(AR77-25))-Design!$C$28)/(IF(ISBLANK(Design!$B$39),Design!$B$38,Design!$B$39)/1000000)*AI77/100/(IF(ISBLANK(Design!$B$32),Design!$B$31,Design!$B$32)*1000000)&lt;0,0,($B77-AG77*IF(ISBLANK(Design!$B$40),Constants!$C$6,Design!$B$40)/1000*(1+Constants!$C$31/100*(AR77-25))-Design!$C$28)/(IF(ISBLANK(Design!$B$39),Design!$B$38,Design!$B$39)/1000000)*AI77/100/(IF(ISBLANK(Design!$B$32),Design!$B$31,Design!$B$32)*1000000))</f>
        <v>0.16179822299084945</v>
      </c>
      <c r="AK77" s="239">
        <f>$B77*Constants!$C$18/1000+IF(ISBLANK(Design!$B$32),Design!$B$31,Design!$B$32)*1000000*Constants!$D$22/1000000000*($B77-Constants!$C$21)</f>
        <v>1.9356250000000002E-2</v>
      </c>
      <c r="AL77" s="239">
        <f>$B77*AG77*($B77/(Constants!$C$23*1000000000)*IF(ISBLANK(Design!$B$32),Design!$B$31,Design!$B$32)*1000000/2+$B77/(Constants!$C$24*1000000000)*IF(ISBLANK(Design!$B$32),Design!$B$31,Design!$B$32)*1000000/2)</f>
        <v>7.6672765496474758E-3</v>
      </c>
      <c r="AM77" s="239">
        <f t="shared" ca="1" si="15"/>
        <v>6.8891044557782541E-2</v>
      </c>
      <c r="AN77" s="239">
        <f>Constants!$D$22/1000000000*Constants!$C$21*IF(ISBLANK(Design!$B$32),Design!$B$31,Design!$B$32)*1000000</f>
        <v>1.0624999999999999E-2</v>
      </c>
      <c r="AO77" s="239">
        <f t="shared" ca="1" si="24"/>
        <v>0.10653957110743001</v>
      </c>
      <c r="AP77" s="239">
        <f t="shared" ca="1" si="21"/>
        <v>9.8407073780793844E-2</v>
      </c>
      <c r="AQ77" s="240">
        <f ca="1">$A77+AP77*Design!$B$19</f>
        <v>90.609203205505253</v>
      </c>
      <c r="AR77" s="240">
        <f ca="1">AO77*Design!$C$12+$A77</f>
        <v>88.622345417652625</v>
      </c>
      <c r="AS77" s="240">
        <f ca="1">Constants!$D$19+Constants!$D$19*Constants!$C$20/100*(AR77-25)</f>
        <v>161.82604622739234</v>
      </c>
      <c r="AT77" s="239">
        <f ca="1">(1-Constants!$D$17/1000000000*Design!$B$32*1000000) * ($B77+AH77-AG77*AS77/1000) - (AH77+AG77*(1+($A77-25)*Constants!$C$31/100)*IF(ISBLANK(Design!$B$40),Constants!$C$6/1000,Design!$B$40/1000))</f>
        <v>5.1520557183203781</v>
      </c>
      <c r="AU77" s="161">
        <f ca="1">IF(AT77&gt;Design!$C$28,Design!$C$28,AT77)</f>
        <v>3.3223709369024856</v>
      </c>
    </row>
    <row r="78" spans="1:47" ht="12.75" customHeight="1" x14ac:dyDescent="0.3">
      <c r="A78" s="154">
        <f>Design!$D$13</f>
        <v>85</v>
      </c>
      <c r="B78" s="155">
        <f t="shared" si="12"/>
        <v>5.6450000000000005</v>
      </c>
      <c r="C78" s="156">
        <f>Design!$D$6</f>
        <v>2.5</v>
      </c>
      <c r="D78" s="156">
        <f ca="1">FORECAST(C78, OFFSET(Design!$C$15:$C$17,MATCH(C78,Design!$B$15:$B$17,1)-1,0,2), OFFSET(Design!$B$15:$B$17,MATCH(C78,Design!$B$15:$B$17,1)-1,0,2))+(M78-25)*Design!$B$18/1000</f>
        <v>0.39532615018603523</v>
      </c>
      <c r="E78" s="215">
        <f ca="1">IF(100*(Design!$C$28+D78+C78*IF(ISBLANK(Design!$B$40),Constants!$C$6,Design!$B$40)/1000*(1+Constants!$C$31/100*(N78-25)))/($B78+D78-C78*O78/1000)&gt;Design!$C$35,Design!$C$35,100*(Design!$C$28+D78+C78*IF(ISBLANK(Design!$B$40),Constants!$C$6,Design!$B$40)/1000*(1+Constants!$C$31/100*(N78-25)))/($B78+D78-C78*O78/1000))</f>
        <v>69.514224083283494</v>
      </c>
      <c r="F78" s="157">
        <f ca="1">IF(($B78-C78*IF(ISBLANK(Design!$B$40),Constants!$C$6,Design!$B$40)/1000*(1+Constants!$C$31/100*(N78-25))-Design!$C$28)/(IF(ISBLANK(Design!$B$39),Design!$B$38,Design!$B$39)/1000000)*E78/100/(IF(ISBLANK(Design!$B$32),Design!$B$31,Design!$B$32)*1000000)&lt;0,0,($B78-C78*IF(ISBLANK(Design!$B$40),Constants!$C$6,Design!$B$40)/1000*(1+Constants!$C$31/100*(N78-25))-Design!$C$28)/(IF(ISBLANK(Design!$B$39),Design!$B$38,Design!$B$39)/1000000)*E78/100/(IF(ISBLANK(Design!$B$32),Design!$B$31,Design!$B$32)*1000000))</f>
        <v>0.16016129365433765</v>
      </c>
      <c r="G78" s="207">
        <f>B78*Constants!$C$18/1000+IF(ISBLANK(Design!$B$32),Design!$B$31,Design!$B$32)*1000000*Constants!$D$22/1000000000*(B78-Constants!$C$21)</f>
        <v>1.8305625000000002E-2</v>
      </c>
      <c r="H78" s="207">
        <f>B78*C78*(B78/(Constants!$C$23*1000000000)*IF(ISBLANK(Design!$B$32),Design!$B$31,Design!$B$32)*1000000/2+B78/(Constants!$C$24*1000000000)*IF(ISBLANK(Design!$B$32),Design!$B$31,Design!$B$32)*1000000/2)</f>
        <v>2.1417981697390325E-2</v>
      </c>
      <c r="I78" s="207">
        <f t="shared" ca="1" si="13"/>
        <v>0.78228426146093211</v>
      </c>
      <c r="J78" s="207">
        <f>Constants!$D$22/1000000000*Constants!$C$21*IF(ISBLANK(Design!$B$32),Design!$B$31,Design!$B$32)*1000000</f>
        <v>1.0624999999999999E-2</v>
      </c>
      <c r="K78" s="207">
        <f t="shared" ca="1" si="22"/>
        <v>0.83263286815832238</v>
      </c>
      <c r="L78" s="207">
        <f t="shared" ca="1" si="17"/>
        <v>0.30129561071474215</v>
      </c>
      <c r="M78" s="208">
        <f ca="1">$A78+L78*Design!$B$19</f>
        <v>102.17384981074031</v>
      </c>
      <c r="N78" s="208">
        <f ca="1">K78*Design!$C$12+A78</f>
        <v>113.30951751738296</v>
      </c>
      <c r="O78" s="208">
        <f ca="1">Constants!$D$19+Constants!$D$19*Constants!$C$20/100*(N78-25)</f>
        <v>179.99580489279387</v>
      </c>
      <c r="P78" s="207">
        <f ca="1">(1-Constants!$D$17/1000000000*Design!$B$32*1000000) * ($B78+D78-C78*O78/1000) - (D78+C78*(1+($A78-25)*Constants!$C$31/100)*IF(ISBLANK(Design!$B$40),Constants!$C$6/1000,Design!$B$40/1000))</f>
        <v>4.565356873541921</v>
      </c>
      <c r="Q78" s="157">
        <f ca="1">IF(P78&gt;Design!$C$28,Design!$C$28,P78)</f>
        <v>3.3223709369024856</v>
      </c>
      <c r="R78" s="158">
        <f>2*Design!$D$6/3</f>
        <v>1.6666666666666667</v>
      </c>
      <c r="S78" s="158">
        <f ca="1">FORECAST(R78, OFFSET(Design!$C$15:$C$17,MATCH(R78,Design!$B$15:$B$17,1)-1,0,2), OFFSET(Design!$B$15:$B$17,MATCH(R78,Design!$B$15:$B$17,1)-1,0,2))+(AB78-25)*Design!$B$18/1000</f>
        <v>0.36243697889677456</v>
      </c>
      <c r="T78" s="224">
        <f ca="1">IF(100*(Design!$C$28+S78+R78*IF(ISBLANK(Design!$B$40),Constants!$C$6,Design!$B$40)/1000*(1+Constants!$C$31/100*(AC78-25)))/($B78+S78-R78*AD78/1000)&gt;Design!$C$35,Design!$C$35,100*(Design!$C$28+S78+R78*IF(ISBLANK(Design!$B$40),Constants!$C$6,Design!$B$40)/1000*(1+Constants!$C$31/100*(AC78-25)))/($B78+S78-R78*AD78/1000))</f>
        <v>66.202196287674994</v>
      </c>
      <c r="U78" s="159">
        <f ca="1">IF(($B78-R78*IF(ISBLANK(Design!$B$40),Constants!$C$6,Design!$B$40)/1000*(1+Constants!$C$31/100*(AC78-25))-Design!$C$28)/(IF(ISBLANK(Design!$B$39),Design!$B$38,Design!$B$39)/1000000)*T78/100/(IF(ISBLANK(Design!$B$32),Design!$B$31,Design!$B$32)*1000000)&lt;0,0,($B78-R78*IF(ISBLANK(Design!$B$40),Constants!$C$6,Design!$B$40)/1000*(1+Constants!$C$31/100*(AC78-25))-Design!$C$28)/(IF(ISBLANK(Design!$B$39),Design!$B$38,Design!$B$39)/1000000)*T78/100/(IF(ISBLANK(Design!$B$32),Design!$B$31,Design!$B$32)*1000000))</f>
        <v>0.15688309297285738</v>
      </c>
      <c r="V78" s="225">
        <f>$B78*Constants!$C$18/1000+IF(ISBLANK(Design!$B$32),Design!$B$31,Design!$B$32)*1000000*Constants!$D$22/1000000000*($B78-Constants!$C$21)</f>
        <v>1.8305625000000002E-2</v>
      </c>
      <c r="W78" s="225">
        <f>$B78*R78*($B78/(Constants!$C$23*1000000000)*IF(ISBLANK(Design!$B$32),Design!$B$31,Design!$B$32)*1000000/2+$B78/(Constants!$C$24*1000000000)*IF(ISBLANK(Design!$B$32),Design!$B$31,Design!$B$32)*1000000/2)</f>
        <v>1.4278654464926887E-2</v>
      </c>
      <c r="X78" s="225">
        <f t="shared" ca="1" si="14"/>
        <v>0.30912922023686834</v>
      </c>
      <c r="Y78" s="225">
        <f>Constants!$D$22/1000000000*Constants!$C$21*IF(ISBLANK(Design!$B$32),Design!$B$31,Design!$B$32)*1000000</f>
        <v>1.0624999999999999E-2</v>
      </c>
      <c r="Z78" s="225">
        <f t="shared" ca="1" si="23"/>
        <v>0.3523384997017952</v>
      </c>
      <c r="AA78" s="225">
        <f t="shared" ca="1" si="19"/>
        <v>0.20415956451402112</v>
      </c>
      <c r="AB78" s="226">
        <f ca="1">$A78+AA78*Design!$B$19</f>
        <v>96.637095177299202</v>
      </c>
      <c r="AC78" s="226">
        <f ca="1">Z78*Design!$C$12+$A78</f>
        <v>96.979508989861031</v>
      </c>
      <c r="AD78" s="226">
        <f ca="1">Constants!$D$19+Constants!$D$19*Constants!$C$20/100*(AC78-25)</f>
        <v>167.97691861653772</v>
      </c>
      <c r="AE78" s="225">
        <f ca="1">(1-Constants!$D$17/1000000000*Design!$B$32*1000000) * ($B78+S78-R78*AD78/1000) - (S78+R78*(1+($A78-25)*Constants!$C$31/100)*IF(ISBLANK(Design!$B$40),Constants!$C$6/1000,Design!$B$40/1000))</f>
        <v>4.7752197225702222</v>
      </c>
      <c r="AF78" s="159">
        <f ca="1">IF(AE78&gt;Design!$C$28,Design!$C$28,AE78)</f>
        <v>3.3223709369024856</v>
      </c>
      <c r="AG78" s="160">
        <f>Design!$D$6/3</f>
        <v>0.83333333333333337</v>
      </c>
      <c r="AH78" s="160">
        <f ca="1">FORECAST(AG78, OFFSET(Design!$C$15:$C$17,MATCH(AG78,Design!$B$15:$B$17,1)-1,0,2), OFFSET(Design!$B$15:$B$17,MATCH(AG78,Design!$B$15:$B$17,1)-1,0,2))+(AQ78-25)*Design!$B$18/1000</f>
        <v>0.30395583485414013</v>
      </c>
      <c r="AI78" s="238">
        <f ca="1">IF(100*(Design!$C$28+AH78+AG78*IF(ISBLANK(Design!$B$40),Constants!$C$6,Design!$B$40)/1000*(1+Constants!$C$31/100*(AR78-25)))/($B78+AH78-AG78*AS78/1000)&gt;Design!$C$35,Design!$C$35,100*(Design!$C$28+AH78+AG78*IF(ISBLANK(Design!$B$40),Constants!$C$6,Design!$B$40)/1000*(1+Constants!$C$31/100*(AR78-25)))/($B78+AH78-AG78*AS78/1000))</f>
        <v>63.267347652217182</v>
      </c>
      <c r="AJ78" s="161">
        <f ca="1">IF(($B78-AG78*IF(ISBLANK(Design!$B$40),Constants!$C$6,Design!$B$40)/1000*(1+Constants!$C$31/100*(AR78-25))-Design!$C$28)/(IF(ISBLANK(Design!$B$39),Design!$B$38,Design!$B$39)/1000000)*AI78/100/(IF(ISBLANK(Design!$B$32),Design!$B$31,Design!$B$32)*1000000)&lt;0,0,($B78-AG78*IF(ISBLANK(Design!$B$40),Constants!$C$6,Design!$B$40)/1000*(1+Constants!$C$31/100*(AR78-25))-Design!$C$28)/(IF(ISBLANK(Design!$B$39),Design!$B$38,Design!$B$39)/1000000)*AI78/100/(IF(ISBLANK(Design!$B$32),Design!$B$31,Design!$B$32)*1000000))</f>
        <v>0.15363744985057817</v>
      </c>
      <c r="AK78" s="239">
        <f>$B78*Constants!$C$18/1000+IF(ISBLANK(Design!$B$32),Design!$B$31,Design!$B$32)*1000000*Constants!$D$22/1000000000*($B78-Constants!$C$21)</f>
        <v>1.8305625000000002E-2</v>
      </c>
      <c r="AL78" s="239">
        <f>$B78*AG78*($B78/(Constants!$C$23*1000000000)*IF(ISBLANK(Design!$B$32),Design!$B$31,Design!$B$32)*1000000/2+$B78/(Constants!$C$24*1000000000)*IF(ISBLANK(Design!$B$32),Design!$B$31,Design!$B$32)*1000000/2)</f>
        <v>7.1393272324634435E-3</v>
      </c>
      <c r="AM78" s="239">
        <f t="shared" ca="1" si="15"/>
        <v>7.1309995460939996E-2</v>
      </c>
      <c r="AN78" s="239">
        <f>Constants!$D$22/1000000000*Constants!$C$21*IF(ISBLANK(Design!$B$32),Design!$B$31,Design!$B$32)*1000000</f>
        <v>1.0624999999999999E-2</v>
      </c>
      <c r="AO78" s="239">
        <f t="shared" ca="1" si="24"/>
        <v>0.10737994769340344</v>
      </c>
      <c r="AP78" s="239">
        <f t="shared" ca="1" si="21"/>
        <v>9.3042533423143461E-2</v>
      </c>
      <c r="AQ78" s="240">
        <f ca="1">$A78+AP78*Design!$B$19</f>
        <v>90.303424405119173</v>
      </c>
      <c r="AR78" s="240">
        <f ca="1">AO78*Design!$C$12+$A78</f>
        <v>88.650918221575722</v>
      </c>
      <c r="AS78" s="240">
        <f ca="1">Constants!$D$19+Constants!$D$19*Constants!$C$20/100*(AR78-25)</f>
        <v>161.84707581107975</v>
      </c>
      <c r="AT78" s="239">
        <f ca="1">(1-Constants!$D$17/1000000000*Design!$B$32*1000000) * ($B78+AH78-AG78*AS78/1000) - (AH78+AG78*(1+($A78-25)*Constants!$C$31/100)*IF(ISBLANK(Design!$B$40),Constants!$C$6/1000,Design!$B$40/1000))</f>
        <v>4.9644386920647836</v>
      </c>
      <c r="AU78" s="161">
        <f ca="1">IF(AT78&gt;Design!$C$28,Design!$C$28,AT78)</f>
        <v>3.3223709369024856</v>
      </c>
    </row>
    <row r="79" spans="1:47" ht="12.75" customHeight="1" x14ac:dyDescent="0.3">
      <c r="A79" s="154">
        <f>Design!$D$13</f>
        <v>85</v>
      </c>
      <c r="B79" s="155">
        <f t="shared" si="12"/>
        <v>5.44</v>
      </c>
      <c r="C79" s="156">
        <f>Design!$D$6</f>
        <v>2.5</v>
      </c>
      <c r="D79" s="156">
        <f ca="1">FORECAST(C79, OFFSET(Design!$C$15:$C$17,MATCH(C79,Design!$B$15:$B$17,1)-1,0,2), OFFSET(Design!$B$15:$B$17,MATCH(C79,Design!$B$15:$B$17,1)-1,0,2))+(M79-25)*Design!$B$18/1000</f>
        <v>0.39678352316926546</v>
      </c>
      <c r="E79" s="215">
        <f ca="1">IF(100*(Design!$C$28+D79+C79*IF(ISBLANK(Design!$B$40),Constants!$C$6,Design!$B$40)/1000*(1+Constants!$C$31/100*(N79-25)))/($B79+D79-C79*O79/1000)&gt;Design!$C$35,Design!$C$35,100*(Design!$C$28+D79+C79*IF(ISBLANK(Design!$B$40),Constants!$C$6,Design!$B$40)/1000*(1+Constants!$C$31/100*(N79-25)))/($B79+D79-C79*O79/1000))</f>
        <v>72.203718399977717</v>
      </c>
      <c r="F79" s="157">
        <f ca="1">IF(($B79-C79*IF(ISBLANK(Design!$B$40),Constants!$C$6,Design!$B$40)/1000*(1+Constants!$C$31/100*(N79-25))-Design!$C$28)/(IF(ISBLANK(Design!$B$39),Design!$B$38,Design!$B$39)/1000000)*E79/100/(IF(ISBLANK(Design!$B$32),Design!$B$31,Design!$B$32)*1000000)&lt;0,0,($B79-C79*IF(ISBLANK(Design!$B$40),Constants!$C$6,Design!$B$40)/1000*(1+Constants!$C$31/100*(N79-25))-Design!$C$28)/(IF(ISBLANK(Design!$B$39),Design!$B$38,Design!$B$39)/1000000)*E79/100/(IF(ISBLANK(Design!$B$32),Design!$B$31,Design!$B$32)*1000000))</f>
        <v>0.15048693317633841</v>
      </c>
      <c r="G79" s="207">
        <f>B79*Constants!$C$18/1000+IF(ISBLANK(Design!$B$32),Design!$B$31,Design!$B$32)*1000000*Constants!$D$22/1000000000*(B79-Constants!$C$21)</f>
        <v>1.7255000000000003E-2</v>
      </c>
      <c r="H79" s="207">
        <f>B79*C79*(B79/(Constants!$C$23*1000000000)*IF(ISBLANK(Design!$B$32),Design!$B$31,Design!$B$32)*1000000/2+B79/(Constants!$C$24*1000000000)*IF(ISBLANK(Design!$B$32),Design!$B$31,Design!$B$32)*1000000/2)</f>
        <v>1.9890625930278107E-2</v>
      </c>
      <c r="I79" s="207">
        <f t="shared" ca="1" si="13"/>
        <v>0.8160400324233108</v>
      </c>
      <c r="J79" s="207">
        <f>Constants!$D$22/1000000000*Constants!$C$21*IF(ISBLANK(Design!$B$32),Design!$B$31,Design!$B$32)*1000000</f>
        <v>1.0624999999999999E-2</v>
      </c>
      <c r="K79" s="207">
        <f t="shared" ca="1" si="22"/>
        <v>0.86381065835358894</v>
      </c>
      <c r="L79" s="207">
        <f t="shared" ca="1" si="17"/>
        <v>0.27572766360654677</v>
      </c>
      <c r="M79" s="208">
        <f ca="1">$A79+L79*Design!$B$19</f>
        <v>100.71647682557317</v>
      </c>
      <c r="N79" s="208">
        <f ca="1">K79*Design!$C$12+A79</f>
        <v>114.36956238402203</v>
      </c>
      <c r="O79" s="208">
        <f ca="1">Constants!$D$19+Constants!$D$19*Constants!$C$20/100*(N79-25)</f>
        <v>180.77599791464024</v>
      </c>
      <c r="P79" s="207">
        <f ca="1">(1-Constants!$D$17/1000000000*Design!$B$32*1000000) * ($B79+D79-C79*O79/1000) - (D79+C79*(1+($A79-25)*Constants!$C$31/100)*IF(ISBLANK(Design!$B$40),Constants!$C$6/1000,Design!$B$40/1000))</f>
        <v>4.3758733053008729</v>
      </c>
      <c r="Q79" s="157">
        <f ca="1">IF(P79&gt;Design!$C$28,Design!$C$28,P79)</f>
        <v>3.3223709369024856</v>
      </c>
      <c r="R79" s="158">
        <f>2*Design!$D$6/3</f>
        <v>1.6666666666666667</v>
      </c>
      <c r="S79" s="158">
        <f ca="1">FORECAST(R79, OFFSET(Design!$C$15:$C$17,MATCH(R79,Design!$B$15:$B$17,1)-1,0,2), OFFSET(Design!$B$15:$B$17,MATCH(R79,Design!$B$15:$B$17,1)-1,0,2))+(AB79-25)*Design!$B$18/1000</f>
        <v>0.36326262801584031</v>
      </c>
      <c r="T79" s="224">
        <f ca="1">IF(100*(Design!$C$28+S79+R79*IF(ISBLANK(Design!$B$40),Constants!$C$6,Design!$B$40)/1000*(1+Constants!$C$31/100*(AC79-25)))/($B79+S79-R79*AD79/1000)&gt;Design!$C$35,Design!$C$35,100*(Design!$C$28+S79+R79*IF(ISBLANK(Design!$B$40),Constants!$C$6,Design!$B$40)/1000*(1+Constants!$C$31/100*(AC79-25)))/($B79+S79-R79*AD79/1000))</f>
        <v>68.671510204220141</v>
      </c>
      <c r="U79" s="159">
        <f ca="1">IF(($B79-R79*IF(ISBLANK(Design!$B$40),Constants!$C$6,Design!$B$40)/1000*(1+Constants!$C$31/100*(AC79-25))-Design!$C$28)/(IF(ISBLANK(Design!$B$39),Design!$B$38,Design!$B$39)/1000000)*T79/100/(IF(ISBLANK(Design!$B$32),Design!$B$31,Design!$B$32)*1000000)&lt;0,0,($B79-R79*IF(ISBLANK(Design!$B$40),Constants!$C$6,Design!$B$40)/1000*(1+Constants!$C$31/100*(AC79-25))-Design!$C$28)/(IF(ISBLANK(Design!$B$39),Design!$B$38,Design!$B$39)/1000000)*T79/100/(IF(ISBLANK(Design!$B$32),Design!$B$31,Design!$B$32)*1000000))</f>
        <v>0.1476703428001741</v>
      </c>
      <c r="V79" s="225">
        <f>$B79*Constants!$C$18/1000+IF(ISBLANK(Design!$B$32),Design!$B$31,Design!$B$32)*1000000*Constants!$D$22/1000000000*($B79-Constants!$C$21)</f>
        <v>1.7255000000000003E-2</v>
      </c>
      <c r="W79" s="225">
        <f>$B79*R79*($B79/(Constants!$C$23*1000000000)*IF(ISBLANK(Design!$B$32),Design!$B$31,Design!$B$32)*1000000/2+$B79/(Constants!$C$24*1000000000)*IF(ISBLANK(Design!$B$32),Design!$B$31,Design!$B$32)*1000000/2)</f>
        <v>1.3260417286852072E-2</v>
      </c>
      <c r="X79" s="225">
        <f t="shared" ca="1" si="14"/>
        <v>0.32110589030519682</v>
      </c>
      <c r="Y79" s="225">
        <f>Constants!$D$22/1000000000*Constants!$C$21*IF(ISBLANK(Design!$B$32),Design!$B$31,Design!$B$32)*1000000</f>
        <v>1.0624999999999999E-2</v>
      </c>
      <c r="Z79" s="225">
        <f t="shared" ca="1" si="23"/>
        <v>0.3622463075920489</v>
      </c>
      <c r="AA79" s="225">
        <f t="shared" ca="1" si="19"/>
        <v>0.18967449224970712</v>
      </c>
      <c r="AB79" s="226">
        <f ca="1">$A79+AA79*Design!$B$19</f>
        <v>95.811446058233301</v>
      </c>
      <c r="AC79" s="226">
        <f ca="1">Z79*Design!$C$12+$A79</f>
        <v>97.316374458129658</v>
      </c>
      <c r="AD79" s="226">
        <f ca="1">Constants!$D$19+Constants!$D$19*Constants!$C$20/100*(AC79-25)</f>
        <v>168.22485160118345</v>
      </c>
      <c r="AE79" s="225">
        <f ca="1">(1-Constants!$D$17/1000000000*Design!$B$32*1000000) * ($B79+S79-R79*AD79/1000) - (S79+R79*(1+($A79-25)*Constants!$C$31/100)*IF(ISBLANK(Design!$B$40),Constants!$C$6/1000,Design!$B$40/1000))</f>
        <v>4.5871964445935163</v>
      </c>
      <c r="AF79" s="159">
        <f ca="1">IF(AE79&gt;Design!$C$28,Design!$C$28,AE79)</f>
        <v>3.3223709369024856</v>
      </c>
      <c r="AG79" s="160">
        <f>Design!$D$6/3</f>
        <v>0.83333333333333337</v>
      </c>
      <c r="AH79" s="160">
        <f ca="1">FORECAST(AG79, OFFSET(Design!$C$15:$C$17,MATCH(AG79,Design!$B$15:$B$17,1)-1,0,2), OFFSET(Design!$B$15:$B$17,MATCH(AG79,Design!$B$15:$B$17,1)-1,0,2))+(AQ79-25)*Design!$B$18/1000</f>
        <v>0.30428464758809304</v>
      </c>
      <c r="AI79" s="238">
        <f ca="1">IF(100*(Design!$C$28+AH79+AG79*IF(ISBLANK(Design!$B$40),Constants!$C$6,Design!$B$40)/1000*(1+Constants!$C$31/100*(AR79-25)))/($B79+AH79-AG79*AS79/1000)&gt;Design!$C$35,Design!$C$35,100*(Design!$C$28+AH79+AG79*IF(ISBLANK(Design!$B$40),Constants!$C$6,Design!$B$40)/1000*(1+Constants!$C$31/100*(AR79-25)))/($B79+AH79-AG79*AS79/1000))</f>
        <v>65.582007639384713</v>
      </c>
      <c r="AJ79" s="161">
        <f ca="1">IF(($B79-AG79*IF(ISBLANK(Design!$B$40),Constants!$C$6,Design!$B$40)/1000*(1+Constants!$C$31/100*(AR79-25))-Design!$C$28)/(IF(ISBLANK(Design!$B$39),Design!$B$38,Design!$B$39)/1000000)*AI79/100/(IF(ISBLANK(Design!$B$32),Design!$B$31,Design!$B$32)*1000000)&lt;0,0,($B79-AG79*IF(ISBLANK(Design!$B$40),Constants!$C$6,Design!$B$40)/1000*(1+Constants!$C$31/100*(AR79-25))-Design!$C$28)/(IF(ISBLANK(Design!$B$39),Design!$B$38,Design!$B$39)/1000000)*AI79/100/(IF(ISBLANK(Design!$B$32),Design!$B$31,Design!$B$32)*1000000))</f>
        <v>0.14487898625297208</v>
      </c>
      <c r="AK79" s="239">
        <f>$B79*Constants!$C$18/1000+IF(ISBLANK(Design!$B$32),Design!$B$31,Design!$B$32)*1000000*Constants!$D$22/1000000000*($B79-Constants!$C$21)</f>
        <v>1.7255000000000003E-2</v>
      </c>
      <c r="AL79" s="239">
        <f>$B79*AG79*($B79/(Constants!$C$23*1000000000)*IF(ISBLANK(Design!$B$32),Design!$B$31,Design!$B$32)*1000000/2+$B79/(Constants!$C$24*1000000000)*IF(ISBLANK(Design!$B$32),Design!$B$31,Design!$B$32)*1000000/2)</f>
        <v>6.6302086434260358E-3</v>
      </c>
      <c r="AM79" s="239">
        <f t="shared" ca="1" si="15"/>
        <v>7.3907630897792773E-2</v>
      </c>
      <c r="AN79" s="239">
        <f>Constants!$D$22/1000000000*Constants!$C$21*IF(ISBLANK(Design!$B$32),Design!$B$31,Design!$B$32)*1000000</f>
        <v>1.0624999999999999E-2</v>
      </c>
      <c r="AO79" s="239">
        <f t="shared" ca="1" si="24"/>
        <v>0.10841783954121881</v>
      </c>
      <c r="AP79" s="239">
        <f t="shared" ca="1" si="21"/>
        <v>8.7273888967829186E-2</v>
      </c>
      <c r="AQ79" s="240">
        <f ca="1">$A79+AP79*Design!$B$19</f>
        <v>89.974611671166258</v>
      </c>
      <c r="AR79" s="240">
        <f ca="1">AO79*Design!$C$12+$A79</f>
        <v>88.686206544401443</v>
      </c>
      <c r="AS79" s="240">
        <f ca="1">Constants!$D$19+Constants!$D$19*Constants!$C$20/100*(AR79-25)</f>
        <v>161.87304801667946</v>
      </c>
      <c r="AT79" s="239">
        <f ca="1">(1-Constants!$D$17/1000000000*Design!$B$32*1000000) * ($B79+AH79-AG79*AS79/1000) - (AH79+AG79*(1+($A79-25)*Constants!$C$31/100)*IF(ISBLANK(Design!$B$40),Constants!$C$6/1000,Design!$B$40/1000))</f>
        <v>4.776815939175628</v>
      </c>
      <c r="AU79" s="161">
        <f ca="1">IF(AT79&gt;Design!$C$28,Design!$C$28,AT79)</f>
        <v>3.3223709369024856</v>
      </c>
    </row>
    <row r="80" spans="1:47" ht="12.75" customHeight="1" x14ac:dyDescent="0.3">
      <c r="A80" s="154">
        <f>Design!$D$13</f>
        <v>85</v>
      </c>
      <c r="B80" s="155">
        <f t="shared" si="12"/>
        <v>5.2350000000000003</v>
      </c>
      <c r="C80" s="156">
        <f>Design!$D$6</f>
        <v>2.5</v>
      </c>
      <c r="D80" s="156">
        <f ca="1">FORECAST(C80, OFFSET(Design!$C$15:$C$17,MATCH(C80,Design!$B$15:$B$17,1)-1,0,2), OFFSET(Design!$B$15:$B$17,MATCH(C80,Design!$B$15:$B$17,1)-1,0,2))+(M80-25)*Design!$B$18/1000</f>
        <v>0.39837112017508558</v>
      </c>
      <c r="E80" s="215">
        <f ca="1">IF(100*(Design!$C$28+D80+C80*IF(ISBLANK(Design!$B$40),Constants!$C$6,Design!$B$40)/1000*(1+Constants!$C$31/100*(N80-25)))/($B80+D80-C80*O80/1000)&gt;Design!$C$35,Design!$C$35,100*(Design!$C$28+D80+C80*IF(ISBLANK(Design!$B$40),Constants!$C$6,Design!$B$40)/1000*(1+Constants!$C$31/100*(N80-25)))/($B80+D80-C80*O80/1000))</f>
        <v>75.111139141735407</v>
      </c>
      <c r="F80" s="157">
        <f ca="1">IF(($B80-C80*IF(ISBLANK(Design!$B$40),Constants!$C$6,Design!$B$40)/1000*(1+Constants!$C$31/100*(N80-25))-Design!$C$28)/(IF(ISBLANK(Design!$B$39),Design!$B$38,Design!$B$39)/1000000)*E80/100/(IF(ISBLANK(Design!$B$32),Design!$B$31,Design!$B$32)*1000000)&lt;0,0,($B80-C80*IF(ISBLANK(Design!$B$40),Constants!$C$6,Design!$B$40)/1000*(1+Constants!$C$31/100*(N80-25))-Design!$C$28)/(IF(ISBLANK(Design!$B$39),Design!$B$38,Design!$B$39)/1000000)*E80/100/(IF(ISBLANK(Design!$B$32),Design!$B$31,Design!$B$32)*1000000))</f>
        <v>0.14003228559371825</v>
      </c>
      <c r="G80" s="207">
        <f>B80*Constants!$C$18/1000+IF(ISBLANK(Design!$B$32),Design!$B$31,Design!$B$32)*1000000*Constants!$D$22/1000000000*(B80-Constants!$C$21)</f>
        <v>1.6204375E-2</v>
      </c>
      <c r="H80" s="207">
        <f>B80*C80*(B80/(Constants!$C$23*1000000000)*IF(ISBLANK(Design!$B$32),Design!$B$31,Design!$B$32)*1000000/2+B80/(Constants!$C$24*1000000000)*IF(ISBLANK(Design!$B$32),Design!$B$31,Design!$B$32)*1000000/2)</f>
        <v>1.8419762347605759E-2</v>
      </c>
      <c r="I80" s="207">
        <f t="shared" ca="1" si="13"/>
        <v>0.85290000414037603</v>
      </c>
      <c r="J80" s="207">
        <f>Constants!$D$22/1000000000*Constants!$C$21*IF(ISBLANK(Design!$B$32),Design!$B$31,Design!$B$32)*1000000</f>
        <v>1.0624999999999999E-2</v>
      </c>
      <c r="K80" s="207">
        <f t="shared" ca="1" si="22"/>
        <v>0.89814914148798175</v>
      </c>
      <c r="L80" s="207">
        <f t="shared" ca="1" si="17"/>
        <v>0.24787508449971771</v>
      </c>
      <c r="M80" s="208">
        <f ca="1">$A80+L80*Design!$B$19</f>
        <v>99.128879816483902</v>
      </c>
      <c r="N80" s="208">
        <f ca="1">K80*Design!$C$12+A80</f>
        <v>115.53707081059139</v>
      </c>
      <c r="O80" s="208">
        <f ca="1">Constants!$D$19+Constants!$D$19*Constants!$C$20/100*(N80-25)</f>
        <v>181.63528411659527</v>
      </c>
      <c r="P80" s="207">
        <f ca="1">(1-Constants!$D$17/1000000000*Design!$B$32*1000000) * ($B80+D80-C80*O80/1000) - (D80+C80*(1+($A80-25)*Constants!$C$31/100)*IF(ISBLANK(Design!$B$40),Constants!$C$6/1000,Design!$B$40/1000))</f>
        <v>4.1861977423684067</v>
      </c>
      <c r="Q80" s="157">
        <f ca="1">IF(P80&gt;Design!$C$28,Design!$C$28,P80)</f>
        <v>3.3223709369024856</v>
      </c>
      <c r="R80" s="158">
        <f>2*Design!$D$6/3</f>
        <v>1.6666666666666667</v>
      </c>
      <c r="S80" s="158">
        <f ca="1">FORECAST(R80, OFFSET(Design!$C$15:$C$17,MATCH(R80,Design!$B$15:$B$17,1)-1,0,2), OFFSET(Design!$B$15:$B$17,MATCH(R80,Design!$B$15:$B$17,1)-1,0,2))+(AB80-25)*Design!$B$18/1000</f>
        <v>0.36415640399390425</v>
      </c>
      <c r="T80" s="224">
        <f ca="1">IF(100*(Design!$C$28+S80+R80*IF(ISBLANK(Design!$B$40),Constants!$C$6,Design!$B$40)/1000*(1+Constants!$C$31/100*(AC80-25)))/($B80+S80-R80*AD80/1000)&gt;Design!$C$35,Design!$C$35,100*(Design!$C$28+S80+R80*IF(ISBLANK(Design!$B$40),Constants!$C$6,Design!$B$40)/1000*(1+Constants!$C$31/100*(AC80-25)))/($B80+S80-R80*AD80/1000))</f>
        <v>71.331953519229614</v>
      </c>
      <c r="U80" s="159">
        <f ca="1">IF(($B80-R80*IF(ISBLANK(Design!$B$40),Constants!$C$6,Design!$B$40)/1000*(1+Constants!$C$31/100*(AC80-25))-Design!$C$28)/(IF(ISBLANK(Design!$B$39),Design!$B$38,Design!$B$39)/1000000)*T80/100/(IF(ISBLANK(Design!$B$32),Design!$B$31,Design!$B$32)*1000000)&lt;0,0,($B80-R80*IF(ISBLANK(Design!$B$40),Constants!$C$6,Design!$B$40)/1000*(1+Constants!$C$31/100*(AC80-25))-Design!$C$28)/(IF(ISBLANK(Design!$B$39),Design!$B$38,Design!$B$39)/1000000)*T80/100/(IF(ISBLANK(Design!$B$32),Design!$B$31,Design!$B$32)*1000000))</f>
        <v>0.13774242146947391</v>
      </c>
      <c r="V80" s="225">
        <f>$B80*Constants!$C$18/1000+IF(ISBLANK(Design!$B$32),Design!$B$31,Design!$B$32)*1000000*Constants!$D$22/1000000000*($B80-Constants!$C$21)</f>
        <v>1.6204375E-2</v>
      </c>
      <c r="W80" s="225">
        <f>$B80*R80*($B80/(Constants!$C$23*1000000000)*IF(ISBLANK(Design!$B$32),Design!$B$31,Design!$B$32)*1000000/2+$B80/(Constants!$C$24*1000000000)*IF(ISBLANK(Design!$B$32),Design!$B$31,Design!$B$32)*1000000/2)</f>
        <v>1.2279841565070507E-2</v>
      </c>
      <c r="X80" s="225">
        <f t="shared" ca="1" si="14"/>
        <v>0.33405959270154661</v>
      </c>
      <c r="Y80" s="225">
        <f>Constants!$D$22/1000000000*Constants!$C$21*IF(ISBLANK(Design!$B$32),Design!$B$31,Design!$B$32)*1000000</f>
        <v>1.0624999999999999E-2</v>
      </c>
      <c r="Z80" s="225">
        <f t="shared" ca="1" si="23"/>
        <v>0.37316880926661711</v>
      </c>
      <c r="AA80" s="225">
        <f t="shared" ca="1" si="19"/>
        <v>0.17399421193279077</v>
      </c>
      <c r="AB80" s="226">
        <f ca="1">$A80+AA80*Design!$B$19</f>
        <v>94.917670080169074</v>
      </c>
      <c r="AC80" s="226">
        <f ca="1">Z80*Design!$C$12+$A80</f>
        <v>97.687739515064976</v>
      </c>
      <c r="AD80" s="226">
        <f ca="1">Constants!$D$19+Constants!$D$19*Constants!$C$20/100*(AC80-25)</f>
        <v>168.49817628308784</v>
      </c>
      <c r="AE80" s="225">
        <f ca="1">(1-Constants!$D$17/1000000000*Design!$B$32*1000000) * ($B80+S80-R80*AD80/1000) - (S80+R80*(1+($A80-25)*Constants!$C$31/100)*IF(ISBLANK(Design!$B$40),Constants!$C$6/1000,Design!$B$40/1000))</f>
        <v>4.3991286534954765</v>
      </c>
      <c r="AF80" s="159">
        <f ca="1">IF(AE80&gt;Design!$C$28,Design!$C$28,AE80)</f>
        <v>3.3223709369024856</v>
      </c>
      <c r="AG80" s="160">
        <f>Design!$D$6/3</f>
        <v>0.83333333333333337</v>
      </c>
      <c r="AH80" s="160">
        <f ca="1">FORECAST(AG80, OFFSET(Design!$C$15:$C$17,MATCH(AG80,Design!$B$15:$B$17,1)-1,0,2), OFFSET(Design!$B$15:$B$17,MATCH(AG80,Design!$B$15:$B$17,1)-1,0,2))+(AQ80-25)*Design!$B$18/1000</f>
        <v>0.30463919490090985</v>
      </c>
      <c r="AI80" s="238">
        <f ca="1">IF(100*(Design!$C$28+AH80+AG80*IF(ISBLANK(Design!$B$40),Constants!$C$6,Design!$B$40)/1000*(1+Constants!$C$31/100*(AR80-25)))/($B80+AH80-AG80*AS80/1000)&gt;Design!$C$35,Design!$C$35,100*(Design!$C$28+AH80+AG80*IF(ISBLANK(Design!$B$40),Constants!$C$6,Design!$B$40)/1000*(1+Constants!$C$31/100*(AR80-25)))/($B80+AH80-AG80*AS80/1000))</f>
        <v>68.072226280996489</v>
      </c>
      <c r="AJ80" s="161">
        <f ca="1">IF(($B80-AG80*IF(ISBLANK(Design!$B$40),Constants!$C$6,Design!$B$40)/1000*(1+Constants!$C$31/100*(AR80-25))-Design!$C$28)/(IF(ISBLANK(Design!$B$39),Design!$B$38,Design!$B$39)/1000000)*AI80/100/(IF(ISBLANK(Design!$B$32),Design!$B$31,Design!$B$32)*1000000)&lt;0,0,($B80-AG80*IF(ISBLANK(Design!$B$40),Constants!$C$6,Design!$B$40)/1000*(1+Constants!$C$31/100*(AR80-25))-Design!$C$28)/(IF(ISBLANK(Design!$B$39),Design!$B$38,Design!$B$39)/1000000)*AI80/100/(IF(ISBLANK(Design!$B$32),Design!$B$31,Design!$B$32)*1000000))</f>
        <v>0.13545475983134528</v>
      </c>
      <c r="AK80" s="239">
        <f>$B80*Constants!$C$18/1000+IF(ISBLANK(Design!$B$32),Design!$B$31,Design!$B$32)*1000000*Constants!$D$22/1000000000*($B80-Constants!$C$21)</f>
        <v>1.6204375E-2</v>
      </c>
      <c r="AL80" s="239">
        <f>$B80*AG80*($B80/(Constants!$C$23*1000000000)*IF(ISBLANK(Design!$B$32),Design!$B$31,Design!$B$32)*1000000/2+$B80/(Constants!$C$24*1000000000)*IF(ISBLANK(Design!$B$32),Design!$B$31,Design!$B$32)*1000000/2)</f>
        <v>6.1399207825352537E-3</v>
      </c>
      <c r="AM80" s="239">
        <f t="shared" ca="1" si="15"/>
        <v>7.6704614000378507E-2</v>
      </c>
      <c r="AN80" s="239">
        <f>Constants!$D$22/1000000000*Constants!$C$21*IF(ISBLANK(Design!$B$32),Design!$B$31,Design!$B$32)*1000000</f>
        <v>1.0624999999999999E-2</v>
      </c>
      <c r="AO80" s="239">
        <f t="shared" ca="1" si="24"/>
        <v>0.10967390978291375</v>
      </c>
      <c r="AP80" s="239">
        <f t="shared" ca="1" si="21"/>
        <v>8.1053760672797168E-2</v>
      </c>
      <c r="AQ80" s="240">
        <f ca="1">$A80+AP80*Design!$B$19</f>
        <v>89.620064358349438</v>
      </c>
      <c r="AR80" s="240">
        <f ca="1">AO80*Design!$C$12+$A80</f>
        <v>88.728912932619068</v>
      </c>
      <c r="AS80" s="240">
        <f ca="1">Constants!$D$19+Constants!$D$19*Constants!$C$20/100*(AR80-25)</f>
        <v>161.90447991840765</v>
      </c>
      <c r="AT80" s="239">
        <f ca="1">(1-Constants!$D$17/1000000000*Design!$B$32*1000000) * ($B80+AH80-AG80*AS80/1000) - (AH80+AG80*(1+($A80-25)*Constants!$C$31/100)*IF(ISBLANK(Design!$B$40),Constants!$C$6/1000,Design!$B$40/1000))</f>
        <v>4.5891868358289702</v>
      </c>
      <c r="AU80" s="161">
        <f ca="1">IF(AT80&gt;Design!$C$28,Design!$C$28,AT80)</f>
        <v>3.3223709369024856</v>
      </c>
    </row>
    <row r="81" spans="1:47" ht="12.75" customHeight="1" x14ac:dyDescent="0.3">
      <c r="A81" s="154">
        <f>Design!$D$13</f>
        <v>85</v>
      </c>
      <c r="B81" s="155">
        <f t="shared" si="12"/>
        <v>5.03</v>
      </c>
      <c r="C81" s="156">
        <f>Design!$D$6</f>
        <v>2.5</v>
      </c>
      <c r="D81" s="156">
        <f ca="1">FORECAST(C81, OFFSET(Design!$C$15:$C$17,MATCH(C81,Design!$B$15:$B$17,1)-1,0,2), OFFSET(Design!$B$15:$B$17,MATCH(C81,Design!$B$15:$B$17,1)-1,0,2))+(M81-25)*Design!$B$18/1000</f>
        <v>0.40010732713984531</v>
      </c>
      <c r="E81" s="215">
        <f ca="1">IF(100*(Design!$C$28+D81+C81*IF(ISBLANK(Design!$B$40),Constants!$C$6,Design!$B$40)/1000*(1+Constants!$C$31/100*(N81-25)))/($B81+D81-C81*O81/1000)&gt;Design!$C$35,Design!$C$35,100*(Design!$C$28+D81+C81*IF(ISBLANK(Design!$B$40),Constants!$C$6,Design!$B$40)/1000*(1+Constants!$C$31/100*(N81-25)))/($B81+D81-C81*O81/1000))</f>
        <v>78.264300767165111</v>
      </c>
      <c r="F81" s="157">
        <f ca="1">IF(($B81-C81*IF(ISBLANK(Design!$B$40),Constants!$C$6,Design!$B$40)/1000*(1+Constants!$C$31/100*(N81-25))-Design!$C$28)/(IF(ISBLANK(Design!$B$39),Design!$B$38,Design!$B$39)/1000000)*E81/100/(IF(ISBLANK(Design!$B$32),Design!$B$31,Design!$B$32)*1000000)&lt;0,0,($B81-C81*IF(ISBLANK(Design!$B$40),Constants!$C$6,Design!$B$40)/1000*(1+Constants!$C$31/100*(N81-25))-Design!$C$28)/(IF(ISBLANK(Design!$B$39),Design!$B$38,Design!$B$39)/1000000)*E81/100/(IF(ISBLANK(Design!$B$32),Design!$B$31,Design!$B$32)*1000000))</f>
        <v>0.12869822370871267</v>
      </c>
      <c r="G81" s="207">
        <f>B81*Constants!$C$18/1000+IF(ISBLANK(Design!$B$32),Design!$B$31,Design!$B$32)*1000000*Constants!$D$22/1000000000*(B81-Constants!$C$21)</f>
        <v>1.5153750000000001E-2</v>
      </c>
      <c r="H81" s="207">
        <f>B81*C81*(B81/(Constants!$C$23*1000000000)*IF(ISBLANK(Design!$B$32),Design!$B$31,Design!$B$32)*1000000/2+B81/(Constants!$C$24*1000000000)*IF(ISBLANK(Design!$B$32),Design!$B$31,Design!$B$32)*1000000/2)</f>
        <v>1.7005390949373287E-2</v>
      </c>
      <c r="I81" s="207">
        <f t="shared" ca="1" si="13"/>
        <v>0.89331491877338309</v>
      </c>
      <c r="J81" s="207">
        <f>Constants!$D$22/1000000000*Constants!$C$21*IF(ISBLANK(Design!$B$32),Design!$B$31,Design!$B$32)*1000000</f>
        <v>1.0624999999999999E-2</v>
      </c>
      <c r="K81" s="207">
        <f t="shared" ca="1" si="22"/>
        <v>0.93609905972275642</v>
      </c>
      <c r="L81" s="207">
        <f t="shared" ca="1" si="17"/>
        <v>0.21741531308912887</v>
      </c>
      <c r="M81" s="208">
        <f ca="1">$A81+L81*Design!$B$19</f>
        <v>97.392672846080345</v>
      </c>
      <c r="N81" s="208">
        <f ca="1">K81*Design!$C$12+A81</f>
        <v>116.82736803057372</v>
      </c>
      <c r="O81" s="208">
        <f ca="1">Constants!$D$19+Constants!$D$19*Constants!$C$20/100*(N81-25)</f>
        <v>182.58494287050229</v>
      </c>
      <c r="P81" s="207">
        <f ca="1">(1-Constants!$D$17/1000000000*Design!$B$32*1000000) * ($B81+D81-C81*O81/1000) - (D81+C81*(1+($A81-25)*Constants!$C$31/100)*IF(ISBLANK(Design!$B$40),Constants!$C$6/1000,Design!$B$40/1000))</f>
        <v>3.9963028203768389</v>
      </c>
      <c r="Q81" s="157">
        <f ca="1">IF(P81&gt;Design!$C$28,Design!$C$28,P81)</f>
        <v>3.3223709369024856</v>
      </c>
      <c r="R81" s="158">
        <f>2*Design!$D$6/3</f>
        <v>1.6666666666666667</v>
      </c>
      <c r="S81" s="158">
        <f ca="1">FORECAST(R81, OFFSET(Design!$C$15:$C$17,MATCH(R81,Design!$B$15:$B$17,1)-1,0,2), OFFSET(Design!$B$15:$B$17,MATCH(R81,Design!$B$15:$B$17,1)-1,0,2))+(AB81-25)*Design!$B$18/1000</f>
        <v>0.36512708785528042</v>
      </c>
      <c r="T81" s="224">
        <f ca="1">IF(100*(Design!$C$28+S81+R81*IF(ISBLANK(Design!$B$40),Constants!$C$6,Design!$B$40)/1000*(1+Constants!$C$31/100*(AC81-25)))/($B81+S81-R81*AD81/1000)&gt;Design!$C$35,Design!$C$35,100*(Design!$C$28+S81+R81*IF(ISBLANK(Design!$B$40),Constants!$C$6,Design!$B$40)/1000*(1+Constants!$C$31/100*(AC81-25)))/($B81+S81-R81*AD81/1000))</f>
        <v>74.206569319117136</v>
      </c>
      <c r="U81" s="159">
        <f ca="1">IF(($B81-R81*IF(ISBLANK(Design!$B$40),Constants!$C$6,Design!$B$40)/1000*(1+Constants!$C$31/100*(AC81-25))-Design!$C$28)/(IF(ISBLANK(Design!$B$39),Design!$B$38,Design!$B$39)/1000000)*T81/100/(IF(ISBLANK(Design!$B$32),Design!$B$31,Design!$B$32)*1000000)&lt;0,0,($B81-R81*IF(ISBLANK(Design!$B$40),Constants!$C$6,Design!$B$40)/1000*(1+Constants!$C$31/100*(AC81-25))-Design!$C$28)/(IF(ISBLANK(Design!$B$39),Design!$B$38,Design!$B$39)/1000000)*T81/100/(IF(ISBLANK(Design!$B$32),Design!$B$31,Design!$B$32)*1000000))</f>
        <v>0.12701277268155131</v>
      </c>
      <c r="V81" s="225">
        <f>$B81*Constants!$C$18/1000+IF(ISBLANK(Design!$B$32),Design!$B$31,Design!$B$32)*1000000*Constants!$D$22/1000000000*($B81-Constants!$C$21)</f>
        <v>1.5153750000000001E-2</v>
      </c>
      <c r="W81" s="225">
        <f>$B81*R81*($B81/(Constants!$C$23*1000000000)*IF(ISBLANK(Design!$B$32),Design!$B$31,Design!$B$32)*1000000/2+$B81/(Constants!$C$24*1000000000)*IF(ISBLANK(Design!$B$32),Design!$B$31,Design!$B$32)*1000000/2)</f>
        <v>1.1336927299582193E-2</v>
      </c>
      <c r="X81" s="225">
        <f t="shared" ca="1" si="14"/>
        <v>0.3481147667087145</v>
      </c>
      <c r="Y81" s="225">
        <f>Constants!$D$22/1000000000*Constants!$C$21*IF(ISBLANK(Design!$B$32),Design!$B$31,Design!$B$32)*1000000</f>
        <v>1.0624999999999999E-2</v>
      </c>
      <c r="Z81" s="225">
        <f t="shared" ca="1" si="23"/>
        <v>0.3852304440082967</v>
      </c>
      <c r="AA81" s="225">
        <f t="shared" ca="1" si="19"/>
        <v>0.15696467050513008</v>
      </c>
      <c r="AB81" s="226">
        <f ca="1">$A81+AA81*Design!$B$19</f>
        <v>93.946986218792418</v>
      </c>
      <c r="AC81" s="226">
        <f ca="1">Z81*Design!$C$12+$A81</f>
        <v>98.097835096282083</v>
      </c>
      <c r="AD81" s="226">
        <f ca="1">Constants!$D$19+Constants!$D$19*Constants!$C$20/100*(AC81-25)</f>
        <v>168.80000663086361</v>
      </c>
      <c r="AE81" s="225">
        <f ca="1">(1-Constants!$D$17/1000000000*Design!$B$32*1000000) * ($B81+S81-R81*AD81/1000) - (S81+R81*(1+($A81-25)*Constants!$C$31/100)*IF(ISBLANK(Design!$B$40),Constants!$C$6/1000,Design!$B$40/1000))</f>
        <v>4.2110108540869016</v>
      </c>
      <c r="AF81" s="159">
        <f ca="1">IF(AE81&gt;Design!$C$28,Design!$C$28,AE81)</f>
        <v>3.3223709369024856</v>
      </c>
      <c r="AG81" s="160">
        <f>Design!$D$6/3</f>
        <v>0.83333333333333337</v>
      </c>
      <c r="AH81" s="160">
        <f ca="1">FORECAST(AG81, OFFSET(Design!$C$15:$C$17,MATCH(AG81,Design!$B$15:$B$17,1)-1,0,2), OFFSET(Design!$B$15:$B$17,MATCH(AG81,Design!$B$15:$B$17,1)-1,0,2))+(AQ81-25)*Design!$B$18/1000</f>
        <v>0.30502261611483938</v>
      </c>
      <c r="AI81" s="238">
        <f ca="1">IF(100*(Design!$C$28+AH81+AG81*IF(ISBLANK(Design!$B$40),Constants!$C$6,Design!$B$40)/1000*(1+Constants!$C$31/100*(AR81-25)))/($B81+AH81-AG81*AS81/1000)&gt;Design!$C$35,Design!$C$35,100*(Design!$C$28+AH81+AG81*IF(ISBLANK(Design!$B$40),Constants!$C$6,Design!$B$40)/1000*(1+Constants!$C$31/100*(AR81-25)))/($B81+AH81-AG81*AS81/1000))</f>
        <v>70.758729832228298</v>
      </c>
      <c r="AJ81" s="161">
        <f ca="1">IF(($B81-AG81*IF(ISBLANK(Design!$B$40),Constants!$C$6,Design!$B$40)/1000*(1+Constants!$C$31/100*(AR81-25))-Design!$C$28)/(IF(ISBLANK(Design!$B$39),Design!$B$38,Design!$B$39)/1000000)*AI81/100/(IF(ISBLANK(Design!$B$32),Design!$B$31,Design!$B$32)*1000000)&lt;0,0,($B81-AG81*IF(ISBLANK(Design!$B$40),Constants!$C$6,Design!$B$40)/1000*(1+Constants!$C$31/100*(AR81-25))-Design!$C$28)/(IF(ISBLANK(Design!$B$39),Design!$B$38,Design!$B$39)/1000000)*AI81/100/(IF(ISBLANK(Design!$B$32),Design!$B$31,Design!$B$32)*1000000))</f>
        <v>0.12528597049559853</v>
      </c>
      <c r="AK81" s="239">
        <f>$B81*Constants!$C$18/1000+IF(ISBLANK(Design!$B$32),Design!$B$31,Design!$B$32)*1000000*Constants!$D$22/1000000000*($B81-Constants!$C$21)</f>
        <v>1.5153750000000001E-2</v>
      </c>
      <c r="AL81" s="239">
        <f>$B81*AG81*($B81/(Constants!$C$23*1000000000)*IF(ISBLANK(Design!$B$32),Design!$B$31,Design!$B$32)*1000000/2+$B81/(Constants!$C$24*1000000000)*IF(ISBLANK(Design!$B$32),Design!$B$31,Design!$B$32)*1000000/2)</f>
        <v>5.6684636497910963E-3</v>
      </c>
      <c r="AM81" s="239">
        <f t="shared" ca="1" si="15"/>
        <v>7.9724943991326389E-2</v>
      </c>
      <c r="AN81" s="239">
        <f>Constants!$D$22/1000000000*Constants!$C$21*IF(ISBLANK(Design!$B$32),Design!$B$31,Design!$B$32)*1000000</f>
        <v>1.0624999999999999E-2</v>
      </c>
      <c r="AO81" s="239">
        <f t="shared" ca="1" si="24"/>
        <v>0.11117215764111749</v>
      </c>
      <c r="AP81" s="239">
        <f t="shared" ca="1" si="21"/>
        <v>7.4327072709121117E-2</v>
      </c>
      <c r="AQ81" s="240">
        <f ca="1">$A81+AP81*Design!$B$19</f>
        <v>89.236643144419901</v>
      </c>
      <c r="AR81" s="240">
        <f ca="1">AO81*Design!$C$12+$A81</f>
        <v>88.779853359797997</v>
      </c>
      <c r="AS81" s="240">
        <f ca="1">Constants!$D$19+Constants!$D$19*Constants!$C$20/100*(AR81-25)</f>
        <v>161.94197207281132</v>
      </c>
      <c r="AT81" s="239">
        <f ca="1">(1-Constants!$D$17/1000000000*Design!$B$32*1000000) * ($B81+AH81-AG81*AS81/1000) - (AH81+AG81*(1+($A81-25)*Constants!$C$31/100)*IF(ISBLANK(Design!$B$40),Constants!$C$6/1000,Design!$B$40/1000))</f>
        <v>4.4015506572580536</v>
      </c>
      <c r="AU81" s="161">
        <f ca="1">IF(AT81&gt;Design!$C$28,Design!$C$28,AT81)</f>
        <v>3.3223709369024856</v>
      </c>
    </row>
    <row r="82" spans="1:47" ht="12.75" customHeight="1" x14ac:dyDescent="0.3">
      <c r="A82" s="154">
        <f>Design!$D$13</f>
        <v>85</v>
      </c>
      <c r="B82" s="155">
        <f t="shared" si="12"/>
        <v>4.8250000000000002</v>
      </c>
      <c r="C82" s="156">
        <f>Design!$D$6</f>
        <v>2.5</v>
      </c>
      <c r="D82" s="156">
        <f ca="1">FORECAST(C82, OFFSET(Design!$C$15:$C$17,MATCH(C82,Design!$B$15:$B$17,1)-1,0,2), OFFSET(Design!$B$15:$B$17,MATCH(C82,Design!$B$15:$B$17,1)-1,0,2))+(M82-25)*Design!$B$18/1000</f>
        <v>0.40201418907716474</v>
      </c>
      <c r="E82" s="215">
        <f ca="1">IF(100*(Design!$C$28+D82+C82*IF(ISBLANK(Design!$B$40),Constants!$C$6,Design!$B$40)/1000*(1+Constants!$C$31/100*(N82-25)))/($B82+D82-C82*O82/1000)&gt;Design!$C$35,Design!$C$35,100*(Design!$C$28+D82+C82*IF(ISBLANK(Design!$B$40),Constants!$C$6,Design!$B$40)/1000*(1+Constants!$C$31/100*(N82-25)))/($B82+D82-C82*O82/1000))</f>
        <v>81.69600977143574</v>
      </c>
      <c r="F82" s="157">
        <f ca="1">IF(($B82-C82*IF(ISBLANK(Design!$B$40),Constants!$C$6,Design!$B$40)/1000*(1+Constants!$C$31/100*(N82-25))-Design!$C$28)/(IF(ISBLANK(Design!$B$39),Design!$B$38,Design!$B$39)/1000000)*E82/100/(IF(ISBLANK(Design!$B$32),Design!$B$31,Design!$B$32)*1000000)&lt;0,0,($B82-C82*IF(ISBLANK(Design!$B$40),Constants!$C$6,Design!$B$40)/1000*(1+Constants!$C$31/100*(N82-25))-Design!$C$28)/(IF(ISBLANK(Design!$B$39),Design!$B$38,Design!$B$39)/1000000)*E82/100/(IF(ISBLANK(Design!$B$32),Design!$B$31,Design!$B$32)*1000000))</f>
        <v>0.11636793770599095</v>
      </c>
      <c r="G82" s="207">
        <f>B82*Constants!$C$18/1000+IF(ISBLANK(Design!$B$32),Design!$B$31,Design!$B$32)*1000000*Constants!$D$22/1000000000*(B82-Constants!$C$21)</f>
        <v>1.4103125000000003E-2</v>
      </c>
      <c r="H82" s="207">
        <f>B82*C82*(B82/(Constants!$C$23*1000000000)*IF(ISBLANK(Design!$B$32),Design!$B$31,Design!$B$32)*1000000/2+B82/(Constants!$C$24*1000000000)*IF(ISBLANK(Design!$B$32),Design!$B$31,Design!$B$32)*1000000/2)</f>
        <v>1.5647511735580689E-2</v>
      </c>
      <c r="I82" s="207">
        <f t="shared" ca="1" si="13"/>
        <v>0.93782792672138593</v>
      </c>
      <c r="J82" s="207">
        <f>Constants!$D$22/1000000000*Constants!$C$21*IF(ISBLANK(Design!$B$32),Design!$B$31,Design!$B$32)*1000000</f>
        <v>1.0624999999999999E-2</v>
      </c>
      <c r="K82" s="207">
        <f t="shared" ca="1" si="22"/>
        <v>0.97820356345696657</v>
      </c>
      <c r="L82" s="207">
        <f t="shared" ca="1" si="17"/>
        <v>0.1839615947153152</v>
      </c>
      <c r="M82" s="208">
        <f ca="1">$A82+L82*Design!$B$19</f>
        <v>95.485810898772968</v>
      </c>
      <c r="N82" s="208">
        <f ca="1">K82*Design!$C$12+A82</f>
        <v>118.25892115753686</v>
      </c>
      <c r="O82" s="208">
        <f ca="1">Constants!$D$19+Constants!$D$19*Constants!$C$20/100*(N82-25)</f>
        <v>183.63856597194714</v>
      </c>
      <c r="P82" s="207">
        <f ca="1">(1-Constants!$D$17/1000000000*Design!$B$32*1000000) * ($B82+D82-C82*O82/1000) - (D82+C82*(1+($A82-25)*Constants!$C$31/100)*IF(ISBLANK(Design!$B$40),Constants!$C$6/1000,Design!$B$40/1000))</f>
        <v>3.8061555742676125</v>
      </c>
      <c r="Q82" s="157">
        <f ca="1">IF(P82&gt;Design!$C$28,Design!$C$28,P82)</f>
        <v>3.3223709369024856</v>
      </c>
      <c r="R82" s="158">
        <f>2*Design!$D$6/3</f>
        <v>1.6666666666666667</v>
      </c>
      <c r="S82" s="158">
        <f ca="1">FORECAST(R82, OFFSET(Design!$C$15:$C$17,MATCH(R82,Design!$B$15:$B$17,1)-1,0,2), OFFSET(Design!$B$15:$B$17,MATCH(R82,Design!$B$15:$B$17,1)-1,0,2))+(AB82-25)*Design!$B$18/1000</f>
        <v>0.36618503474268033</v>
      </c>
      <c r="T82" s="224">
        <f ca="1">IF(100*(Design!$C$28+S82+R82*IF(ISBLANK(Design!$B$40),Constants!$C$6,Design!$B$40)/1000*(1+Constants!$C$31/100*(AC82-25)))/($B82+S82-R82*AD82/1000)&gt;Design!$C$35,Design!$C$35,100*(Design!$C$28+S82+R82*IF(ISBLANK(Design!$B$40),Constants!$C$6,Design!$B$40)/1000*(1+Constants!$C$31/100*(AC82-25)))/($B82+S82-R82*AD82/1000))</f>
        <v>77.322252031363945</v>
      </c>
      <c r="U82" s="159">
        <f ca="1">IF(($B82-R82*IF(ISBLANK(Design!$B$40),Constants!$C$6,Design!$B$40)/1000*(1+Constants!$C$31/100*(AC82-25))-Design!$C$28)/(IF(ISBLANK(Design!$B$39),Design!$B$38,Design!$B$39)/1000000)*T82/100/(IF(ISBLANK(Design!$B$32),Design!$B$31,Design!$B$32)*1000000)&lt;0,0,($B82-R82*IF(ISBLANK(Design!$B$40),Constants!$C$6,Design!$B$40)/1000*(1+Constants!$C$31/100*(AC82-25))-Design!$C$28)/(IF(ISBLANK(Design!$B$39),Design!$B$38,Design!$B$39)/1000000)*T82/100/(IF(ISBLANK(Design!$B$32),Design!$B$31,Design!$B$32)*1000000))</f>
        <v>0.11538031134976193</v>
      </c>
      <c r="V82" s="225">
        <f>$B82*Constants!$C$18/1000+IF(ISBLANK(Design!$B$32),Design!$B$31,Design!$B$32)*1000000*Constants!$D$22/1000000000*($B82-Constants!$C$21)</f>
        <v>1.4103125000000003E-2</v>
      </c>
      <c r="W82" s="225">
        <f>$B82*R82*($B82/(Constants!$C$23*1000000000)*IF(ISBLANK(Design!$B$32),Design!$B$31,Design!$B$32)*1000000/2+$B82/(Constants!$C$24*1000000000)*IF(ISBLANK(Design!$B$32),Design!$B$31,Design!$B$32)*1000000/2)</f>
        <v>1.0431674490387127E-2</v>
      </c>
      <c r="X82" s="225">
        <f t="shared" ca="1" si="14"/>
        <v>0.36341792999643241</v>
      </c>
      <c r="Y82" s="225">
        <f>Constants!$D$22/1000000000*Constants!$C$21*IF(ISBLANK(Design!$B$32),Design!$B$31,Design!$B$32)*1000000</f>
        <v>1.0624999999999999E-2</v>
      </c>
      <c r="Z82" s="225">
        <f t="shared" ca="1" si="23"/>
        <v>0.39857772948681952</v>
      </c>
      <c r="AA82" s="225">
        <f t="shared" ca="1" si="19"/>
        <v>0.13840419879634569</v>
      </c>
      <c r="AB82" s="226">
        <f ca="1">$A82+AA82*Design!$B$19</f>
        <v>92.8890393313917</v>
      </c>
      <c r="AC82" s="226">
        <f ca="1">Z82*Design!$C$12+$A82</f>
        <v>98.551642802551868</v>
      </c>
      <c r="AD82" s="226">
        <f ca="1">Constants!$D$19+Constants!$D$19*Constants!$C$20/100*(AC82-25)</f>
        <v>169.13400910267819</v>
      </c>
      <c r="AE82" s="225">
        <f ca="1">(1-Constants!$D$17/1000000000*Design!$B$32*1000000) * ($B82+S82-R82*AD82/1000) - (S82+R82*(1+($A82-25)*Constants!$C$31/100)*IF(ISBLANK(Design!$B$40),Constants!$C$6/1000,Design!$B$40/1000))</f>
        <v>4.0228365748319543</v>
      </c>
      <c r="AF82" s="159">
        <f ca="1">IF(AE82&gt;Design!$C$28,Design!$C$28,AE82)</f>
        <v>3.3223709369024856</v>
      </c>
      <c r="AG82" s="160">
        <f>Design!$D$6/3</f>
        <v>0.83333333333333337</v>
      </c>
      <c r="AH82" s="160">
        <f ca="1">FORECAST(AG82, OFFSET(Design!$C$15:$C$17,MATCH(AG82,Design!$B$15:$B$17,1)-1,0,2), OFFSET(Design!$B$15:$B$17,MATCH(AG82,Design!$B$15:$B$17,1)-1,0,2))+(AQ82-25)*Design!$B$18/1000</f>
        <v>0.30543858191227508</v>
      </c>
      <c r="AI82" s="238">
        <f ca="1">IF(100*(Design!$C$28+AH82+AG82*IF(ISBLANK(Design!$B$40),Constants!$C$6,Design!$B$40)/1000*(1+Constants!$C$31/100*(AR82-25)))/($B82+AH82-AG82*AS82/1000)&gt;Design!$C$35,Design!$C$35,100*(Design!$C$28+AH82+AG82*IF(ISBLANK(Design!$B$40),Constants!$C$6,Design!$B$40)/1000*(1+Constants!$C$31/100*(AR82-25)))/($B82+AH82-AG82*AS82/1000))</f>
        <v>73.665634490409332</v>
      </c>
      <c r="AJ82" s="161">
        <f ca="1">IF(($B82-AG82*IF(ISBLANK(Design!$B$40),Constants!$C$6,Design!$B$40)/1000*(1+Constants!$C$31/100*(AR82-25))-Design!$C$28)/(IF(ISBLANK(Design!$B$39),Design!$B$38,Design!$B$39)/1000000)*AI82/100/(IF(ISBLANK(Design!$B$32),Design!$B$31,Design!$B$32)*1000000)&lt;0,0,($B82-AG82*IF(ISBLANK(Design!$B$40),Constants!$C$6,Design!$B$40)/1000*(1+Constants!$C$31/100*(AR82-25))-Design!$C$28)/(IF(ISBLANK(Design!$B$39),Design!$B$38,Design!$B$39)/1000000)*AI82/100/(IF(ISBLANK(Design!$B$32),Design!$B$31,Design!$B$32)*1000000))</f>
        <v>0.11428089445571724</v>
      </c>
      <c r="AK82" s="239">
        <f>$B82*Constants!$C$18/1000+IF(ISBLANK(Design!$B$32),Design!$B$31,Design!$B$32)*1000000*Constants!$D$22/1000000000*($B82-Constants!$C$21)</f>
        <v>1.4103125000000003E-2</v>
      </c>
      <c r="AL82" s="239">
        <f>$B82*AG82*($B82/(Constants!$C$23*1000000000)*IF(ISBLANK(Design!$B$32),Design!$B$31,Design!$B$32)*1000000/2+$B82/(Constants!$C$24*1000000000)*IF(ISBLANK(Design!$B$32),Design!$B$31,Design!$B$32)*1000000/2)</f>
        <v>5.2158372451935634E-3</v>
      </c>
      <c r="AM82" s="239">
        <f t="shared" ca="1" si="15"/>
        <v>8.2996662638803384E-2</v>
      </c>
      <c r="AN82" s="239">
        <f>Constants!$D$22/1000000000*Constants!$C$21*IF(ISBLANK(Design!$B$32),Design!$B$31,Design!$B$32)*1000000</f>
        <v>1.0624999999999999E-2</v>
      </c>
      <c r="AO82" s="239">
        <f t="shared" ca="1" si="24"/>
        <v>0.11294062488399695</v>
      </c>
      <c r="AP82" s="239">
        <f t="shared" ca="1" si="21"/>
        <v>6.7029427140074191E-2</v>
      </c>
      <c r="AQ82" s="240">
        <f ca="1">$A82+AP82*Design!$B$19</f>
        <v>88.820677346984226</v>
      </c>
      <c r="AR82" s="240">
        <f ca="1">AO82*Design!$C$12+$A82</f>
        <v>88.839981246055899</v>
      </c>
      <c r="AS82" s="240">
        <f ca="1">Constants!$D$19+Constants!$D$19*Constants!$C$20/100*(AR82-25)</f>
        <v>161.98622619709715</v>
      </c>
      <c r="AT82" s="239">
        <f ca="1">(1-Constants!$D$17/1000000000*Design!$B$32*1000000) * ($B82+AH82-AG82*AS82/1000) - (AH82+AG82*(1+($A82-25)*Constants!$C$31/100)*IF(ISBLANK(Design!$B$40),Constants!$C$6/1000,Design!$B$40/1000))</f>
        <v>4.2139065563955036</v>
      </c>
      <c r="AU82" s="161">
        <f ca="1">IF(AT82&gt;Design!$C$28,Design!$C$28,AT82)</f>
        <v>3.3223709369024856</v>
      </c>
    </row>
    <row r="83" spans="1:47" ht="12.75" customHeight="1" x14ac:dyDescent="0.3">
      <c r="A83" s="154">
        <f>Design!$D$13</f>
        <v>85</v>
      </c>
      <c r="B83" s="155">
        <f t="shared" si="12"/>
        <v>4.62</v>
      </c>
      <c r="C83" s="156">
        <f>Design!$D$6</f>
        <v>2.5</v>
      </c>
      <c r="D83" s="156">
        <f ca="1">FORECAST(C83, OFFSET(Design!$C$15:$C$17,MATCH(C83,Design!$B$15:$B$17,1)-1,0,2), OFFSET(Design!$B$15:$B$17,MATCH(C83,Design!$B$15:$B$17,1)-1,0,2))+(M83-25)*Design!$B$18/1000</f>
        <v>0.40411837628690184</v>
      </c>
      <c r="E83" s="215">
        <f ca="1">IF(100*(Design!$C$28+D83+C83*IF(ISBLANK(Design!$B$40),Constants!$C$6,Design!$B$40)/1000*(1+Constants!$C$31/100*(N83-25)))/($B83+D83-C83*O83/1000)&gt;Design!$C$35,Design!$C$35,100*(Design!$C$28+D83+C83*IF(ISBLANK(Design!$B$40),Constants!$C$6,Design!$B$40)/1000*(1+Constants!$C$31/100*(N83-25)))/($B83+D83-C83*O83/1000))</f>
        <v>85.445251892311816</v>
      </c>
      <c r="F83" s="157">
        <f ca="1">IF(($B83-C83*IF(ISBLANK(Design!$B$40),Constants!$C$6,Design!$B$40)/1000*(1+Constants!$C$31/100*(N83-25))-Design!$C$28)/(IF(ISBLANK(Design!$B$39),Design!$B$38,Design!$B$39)/1000000)*E83/100/(IF(ISBLANK(Design!$B$32),Design!$B$31,Design!$B$32)*1000000)&lt;0,0,($B83-C83*IF(ISBLANK(Design!$B$40),Constants!$C$6,Design!$B$40)/1000*(1+Constants!$C$31/100*(N83-25))-Design!$C$28)/(IF(ISBLANK(Design!$B$39),Design!$B$38,Design!$B$39)/1000000)*E83/100/(IF(ISBLANK(Design!$B$32),Design!$B$31,Design!$B$32)*1000000))</f>
        <v>0.10290276229351072</v>
      </c>
      <c r="G83" s="207">
        <f>B83*Constants!$C$18/1000+IF(ISBLANK(Design!$B$32),Design!$B$31,Design!$B$32)*1000000*Constants!$D$22/1000000000*(B83-Constants!$C$21)</f>
        <v>1.30525E-2</v>
      </c>
      <c r="H83" s="207">
        <f>B83*C83*(B83/(Constants!$C$23*1000000000)*IF(ISBLANK(Design!$B$32),Design!$B$31,Design!$B$32)*1000000/2+B83/(Constants!$C$24*1000000000)*IF(ISBLANK(Design!$B$32),Design!$B$31,Design!$B$32)*1000000/2)</f>
        <v>1.4346124706227968E-2</v>
      </c>
      <c r="I83" s="207">
        <f t="shared" ca="1" si="13"/>
        <v>0.98709975939231209</v>
      </c>
      <c r="J83" s="207">
        <f>Constants!$D$22/1000000000*Constants!$C$21*IF(ISBLANK(Design!$B$32),Design!$B$31,Design!$B$32)*1000000</f>
        <v>1.0624999999999999E-2</v>
      </c>
      <c r="K83" s="207">
        <f ca="1">SUM(G83:J83)</f>
        <v>1.0251233840985401</v>
      </c>
      <c r="L83" s="207">
        <f t="shared" ca="1" si="17"/>
        <v>0.14704602931359517</v>
      </c>
      <c r="M83" s="208">
        <f ca="1">$A83+L83*Design!$B$19</f>
        <v>93.38162367087493</v>
      </c>
      <c r="N83" s="208">
        <f ca="1">K83*Design!$C$12+A83</f>
        <v>119.85419505935036</v>
      </c>
      <c r="O83" s="208">
        <f ca="1">Constants!$D$19+Constants!$D$19*Constants!$C$20/100*(N83-25)</f>
        <v>184.81268756368189</v>
      </c>
      <c r="P83" s="207">
        <f ca="1">(1-Constants!$D$17/1000000000*Design!$B$32*1000000) * ($B83+D83-C83*O83/1000) - (D83+C83*(1+($A83-25)*Constants!$C$31/100)*IF(ISBLANK(Design!$B$40),Constants!$C$6/1000,Design!$B$40/1000))</f>
        <v>3.6157159152136908</v>
      </c>
      <c r="Q83" s="157">
        <f ca="1">IF(P83&gt;Design!$C$28,Design!$C$28,P83)</f>
        <v>3.3223709369024856</v>
      </c>
      <c r="R83" s="158">
        <f>2*Design!$D$6/3</f>
        <v>1.6666666666666667</v>
      </c>
      <c r="S83" s="158">
        <f ca="1">FORECAST(R83, OFFSET(Design!$C$15:$C$17,MATCH(R83,Design!$B$15:$B$17,1)-1,0,2), OFFSET(Design!$B$15:$B$17,MATCH(R83,Design!$B$15:$B$17,1)-1,0,2))+(AB83-25)*Design!$B$18/1000</f>
        <v>0.3673425424872695</v>
      </c>
      <c r="T83" s="224">
        <f ca="1">IF(100*(Design!$C$28+S83+R83*IF(ISBLANK(Design!$B$40),Constants!$C$6,Design!$B$40)/1000*(1+Constants!$C$31/100*(AC83-25)))/($B83+S83-R83*AD83/1000)&gt;Design!$C$35,Design!$C$35,100*(Design!$C$28+S83+R83*IF(ISBLANK(Design!$B$40),Constants!$C$6,Design!$B$40)/1000*(1+Constants!$C$31/100*(AC83-25)))/($B83+S83-R83*AD83/1000))</f>
        <v>80.710585071441784</v>
      </c>
      <c r="U83" s="159">
        <f ca="1">IF(($B83-R83*IF(ISBLANK(Design!$B$40),Constants!$C$6,Design!$B$40)/1000*(1+Constants!$C$31/100*(AC83-25))-Design!$C$28)/(IF(ISBLANK(Design!$B$39),Design!$B$38,Design!$B$39)/1000000)*T83/100/(IF(ISBLANK(Design!$B$32),Design!$B$31,Design!$B$32)*1000000)&lt;0,0,($B83-R83*IF(ISBLANK(Design!$B$40),Constants!$C$6,Design!$B$40)/1000*(1+Constants!$C$31/100*(AC83-25))-Design!$C$28)/(IF(ISBLANK(Design!$B$39),Design!$B$38,Design!$B$39)/1000000)*T83/100/(IF(ISBLANK(Design!$B$32),Design!$B$31,Design!$B$32)*1000000))</f>
        <v>0.10272624828062703</v>
      </c>
      <c r="V83" s="225">
        <f>$B83*Constants!$C$18/1000+IF(ISBLANK(Design!$B$32),Design!$B$31,Design!$B$32)*1000000*Constants!$D$22/1000000000*($B83-Constants!$C$21)</f>
        <v>1.30525E-2</v>
      </c>
      <c r="W83" s="225">
        <f>$B83*R83*($B83/(Constants!$C$23*1000000000)*IF(ISBLANK(Design!$B$32),Design!$B$31,Design!$B$32)*1000000/2+$B83/(Constants!$C$24*1000000000)*IF(ISBLANK(Design!$B$32),Design!$B$31,Design!$B$32)*1000000/2)</f>
        <v>9.5640831374853123E-3</v>
      </c>
      <c r="X83" s="225">
        <f t="shared" ca="1" si="14"/>
        <v>0.3801428038414601</v>
      </c>
      <c r="Y83" s="225">
        <f>Constants!$D$22/1000000000*Constants!$C$21*IF(ISBLANK(Design!$B$32),Design!$B$31,Design!$B$32)*1000000</f>
        <v>1.0624999999999999E-2</v>
      </c>
      <c r="Z83" s="225">
        <f t="shared" ca="1" si="23"/>
        <v>0.41338438697894542</v>
      </c>
      <c r="AA83" s="225">
        <f t="shared" ca="1" si="19"/>
        <v>0.11809704538247442</v>
      </c>
      <c r="AB83" s="226">
        <f ca="1">$A83+AA83*Design!$B$19</f>
        <v>91.73153158680104</v>
      </c>
      <c r="AC83" s="226">
        <f ca="1">Z83*Design!$C$12+$A83</f>
        <v>99.055069157284152</v>
      </c>
      <c r="AD83" s="226">
        <f ca="1">Constants!$D$19+Constants!$D$19*Constants!$C$20/100*(AC83-25)</f>
        <v>169.50453089976114</v>
      </c>
      <c r="AE83" s="225">
        <f ca="1">(1-Constants!$D$17/1000000000*Design!$B$32*1000000) * ($B83+S83-R83*AD83/1000) - (S83+R83*(1+($A83-25)*Constants!$C$31/100)*IF(ISBLANK(Design!$B$40),Constants!$C$6/1000,Design!$B$40/1000))</f>
        <v>3.8345981409331129</v>
      </c>
      <c r="AF83" s="159">
        <f ca="1">IF(AE83&gt;Design!$C$28,Design!$C$28,AE83)</f>
        <v>3.3223709369024856</v>
      </c>
      <c r="AG83" s="160">
        <f>Design!$D$6/3</f>
        <v>0.83333333333333337</v>
      </c>
      <c r="AH83" s="160">
        <f ca="1">FORECAST(AG83, OFFSET(Design!$C$15:$C$17,MATCH(AG83,Design!$B$15:$B$17,1)-1,0,2), OFFSET(Design!$B$15:$B$17,MATCH(AG83,Design!$B$15:$B$17,1)-1,0,2))+(AQ83-25)*Design!$B$18/1000</f>
        <v>0.30589141150871924</v>
      </c>
      <c r="AI83" s="238">
        <f ca="1">IF(100*(Design!$C$28+AH83+AG83*IF(ISBLANK(Design!$B$40),Constants!$C$6,Design!$B$40)/1000*(1+Constants!$C$31/100*(AR83-25)))/($B83+AH83-AG83*AS83/1000)&gt;Design!$C$35,Design!$C$35,100*(Design!$C$28+AH83+AG83*IF(ISBLANK(Design!$B$40),Constants!$C$6,Design!$B$40)/1000*(1+Constants!$C$31/100*(AR83-25)))/($B83+AH83-AG83*AS83/1000))</f>
        <v>76.821167499799103</v>
      </c>
      <c r="AJ83" s="161">
        <f ca="1">IF(($B83-AG83*IF(ISBLANK(Design!$B$40),Constants!$C$6,Design!$B$40)/1000*(1+Constants!$C$31/100*(AR83-25))-Design!$C$28)/(IF(ISBLANK(Design!$B$39),Design!$B$38,Design!$B$39)/1000000)*AI83/100/(IF(ISBLANK(Design!$B$32),Design!$B$31,Design!$B$32)*1000000)&lt;0,0,($B83-AG83*IF(ISBLANK(Design!$B$40),Constants!$C$6,Design!$B$40)/1000*(1+Constants!$C$31/100*(AR83-25))-Design!$C$28)/(IF(ISBLANK(Design!$B$39),Design!$B$38,Design!$B$39)/1000000)*AI83/100/(IF(ISBLANK(Design!$B$32),Design!$B$31,Design!$B$32)*1000000))</f>
        <v>0.1023321269404506</v>
      </c>
      <c r="AK83" s="239">
        <f>$B83*Constants!$C$18/1000+IF(ISBLANK(Design!$B$32),Design!$B$31,Design!$B$32)*1000000*Constants!$D$22/1000000000*($B83-Constants!$C$21)</f>
        <v>1.30525E-2</v>
      </c>
      <c r="AL83" s="239">
        <f>$B83*AG83*($B83/(Constants!$C$23*1000000000)*IF(ISBLANK(Design!$B$32),Design!$B$31,Design!$B$32)*1000000/2+$B83/(Constants!$C$24*1000000000)*IF(ISBLANK(Design!$B$32),Design!$B$31,Design!$B$32)*1000000/2)</f>
        <v>4.7820415687426562E-3</v>
      </c>
      <c r="AM83" s="239">
        <f t="shared" ca="1" si="15"/>
        <v>8.6552749470074242E-2</v>
      </c>
      <c r="AN83" s="239">
        <f>Constants!$D$22/1000000000*Constants!$C$21*IF(ISBLANK(Design!$B$32),Design!$B$31,Design!$B$32)*1000000</f>
        <v>1.0624999999999999E-2</v>
      </c>
      <c r="AO83" s="239">
        <f t="shared" ca="1" si="24"/>
        <v>0.1150122910388169</v>
      </c>
      <c r="AP83" s="239">
        <f t="shared" ca="1" si="21"/>
        <v>5.9085048255088569E-2</v>
      </c>
      <c r="AQ83" s="240">
        <f ca="1">$A83+AP83*Design!$B$19</f>
        <v>88.367847750540051</v>
      </c>
      <c r="AR83" s="240">
        <f ca="1">AO83*Design!$C$12+$A83</f>
        <v>88.910417895319767</v>
      </c>
      <c r="AS83" s="240">
        <f ca="1">Constants!$D$19+Constants!$D$19*Constants!$C$20/100*(AR83-25)</f>
        <v>162.03806757095535</v>
      </c>
      <c r="AT83" s="239">
        <f ca="1">(1-Constants!$D$17/1000000000*Design!$B$32*1000000) * ($B83+AH83-AG83*AS83/1000) - (AH83+AG83*(1+($A83-25)*Constants!$C$31/100)*IF(ISBLANK(Design!$B$40),Constants!$C$6/1000,Design!$B$40/1000))</f>
        <v>4.0262535368322396</v>
      </c>
      <c r="AU83" s="161">
        <f ca="1">IF(AT83&gt;Design!$C$28,Design!$C$28,AT83)</f>
        <v>3.3223709369024856</v>
      </c>
    </row>
    <row r="84" spans="1:47" ht="12.75" customHeight="1" x14ac:dyDescent="0.3">
      <c r="A84" s="154">
        <f>Design!$D$13</f>
        <v>85</v>
      </c>
      <c r="B84" s="155">
        <f t="shared" si="12"/>
        <v>4.415</v>
      </c>
      <c r="C84" s="156">
        <f>Design!$D$6</f>
        <v>2.5</v>
      </c>
      <c r="D84" s="156">
        <f ca="1">FORECAST(C84, OFFSET(Design!$C$15:$C$17,MATCH(C84,Design!$B$15:$B$17,1)-1,0,2), OFFSET(Design!$B$15:$B$17,MATCH(C84,Design!$B$15:$B$17,1)-1,0,2))+(M84-25)*Design!$B$18/1000</f>
        <v>0.40645247704261522</v>
      </c>
      <c r="E84" s="215">
        <f ca="1">IF(100*(Design!$C$28+D84+C84*IF(ISBLANK(Design!$B$40),Constants!$C$6,Design!$B$40)/1000*(1+Constants!$C$31/100*(N84-25)))/($B84+D84-C84*O84/1000)&gt;Design!$C$35,Design!$C$35,100*(Design!$C$28+D84+C84*IF(ISBLANK(Design!$B$40),Constants!$C$6,Design!$B$40)/1000*(1+Constants!$C$31/100*(N84-25)))/($B84+D84-C84*O84/1000))</f>
        <v>89.558740699666146</v>
      </c>
      <c r="F84" s="157">
        <f ca="1">IF(($B84-C84*IF(ISBLANK(Design!$B$40),Constants!$C$6,Design!$B$40)/1000*(1+Constants!$C$31/100*(N84-25))-Design!$C$28)/(IF(ISBLANK(Design!$B$39),Design!$B$38,Design!$B$39)/1000000)*E84/100/(IF(ISBLANK(Design!$B$32),Design!$B$31,Design!$B$32)*1000000)&lt;0,0,($B84-C84*IF(ISBLANK(Design!$B$40),Constants!$C$6,Design!$B$40)/1000*(1+Constants!$C$31/100*(N84-25))-Design!$C$28)/(IF(ISBLANK(Design!$B$39),Design!$B$38,Design!$B$39)/1000000)*E84/100/(IF(ISBLANK(Design!$B$32),Design!$B$31,Design!$B$32)*1000000))</f>
        <v>8.8136745877381725E-2</v>
      </c>
      <c r="G84" s="207">
        <f>B84*Constants!$C$18/1000+IF(ISBLANK(Design!$B$32),Design!$B$31,Design!$B$32)*1000000*Constants!$D$22/1000000000*(B84-Constants!$C$21)</f>
        <v>1.2001875000000002E-2</v>
      </c>
      <c r="H84" s="207">
        <f>B84*C84*(B84/(Constants!$C$23*1000000000)*IF(ISBLANK(Design!$B$32),Design!$B$31,Design!$B$32)*1000000/2+B84/(Constants!$C$24*1000000000)*IF(ISBLANK(Design!$B$32),Design!$B$31,Design!$B$32)*1000000/2)</f>
        <v>1.3101229861315119E-2</v>
      </c>
      <c r="I84" s="207">
        <f t="shared" ca="1" si="13"/>
        <v>1.0419426868851589</v>
      </c>
      <c r="J84" s="207">
        <f>Constants!$D$22/1000000000*Constants!$C$21*IF(ISBLANK(Design!$B$32),Design!$B$31,Design!$B$32)*1000000</f>
        <v>1.0624999999999999E-2</v>
      </c>
      <c r="K84" s="207">
        <f t="shared" ca="1" si="22"/>
        <v>1.0776707917464741</v>
      </c>
      <c r="L84" s="207">
        <f t="shared" ca="1" si="17"/>
        <v>0.10609689265162341</v>
      </c>
      <c r="M84" s="208">
        <f ca="1">$A84+L84*Design!$B$19</f>
        <v>91.047522881142527</v>
      </c>
      <c r="N84" s="208">
        <f ca="1">K84*Design!$C$12+A84</f>
        <v>121.64080691938011</v>
      </c>
      <c r="O84" s="208">
        <f ca="1">Constants!$D$19+Constants!$D$19*Constants!$C$20/100*(N84-25)</f>
        <v>186.12763389266377</v>
      </c>
      <c r="P84" s="207">
        <f ca="1">(1-Constants!$D$17/1000000000*Design!$B$32*1000000) * ($B84+D84-C84*O84/1000) - (D84+C84*(1+($A84-25)*Constants!$C$31/100)*IF(ISBLANK(Design!$B$40),Constants!$C$6/1000,Design!$B$40/1000))</f>
        <v>3.4249345769219097</v>
      </c>
      <c r="Q84" s="157">
        <f ca="1">IF(P84&gt;Design!$C$28,Design!$C$28,P84)</f>
        <v>3.3223709369024856</v>
      </c>
      <c r="R84" s="158">
        <f>2*Design!$D$6/3</f>
        <v>1.6666666666666667</v>
      </c>
      <c r="S84" s="158">
        <f ca="1">FORECAST(R84, OFFSET(Design!$C$15:$C$17,MATCH(R84,Design!$B$15:$B$17,1)-1,0,2), OFFSET(Design!$B$15:$B$17,MATCH(R84,Design!$B$15:$B$17,1)-1,0,2))+(AB84-25)*Design!$B$18/1000</f>
        <v>0.36861432859147819</v>
      </c>
      <c r="T84" s="224">
        <f ca="1">IF(100*(Design!$C$28+S84+R84*IF(ISBLANK(Design!$B$40),Constants!$C$6,Design!$B$40)/1000*(1+Constants!$C$31/100*(AC84-25)))/($B84+S84-R84*AD84/1000)&gt;Design!$C$35,Design!$C$35,100*(Design!$C$28+S84+R84*IF(ISBLANK(Design!$B$40),Constants!$C$6,Design!$B$40)/1000*(1+Constants!$C$31/100*(AC84-25)))/($B84+S84-R84*AD84/1000))</f>
        <v>84.408906376619868</v>
      </c>
      <c r="U84" s="159">
        <f ca="1">IF(($B84-R84*IF(ISBLANK(Design!$B$40),Constants!$C$6,Design!$B$40)/1000*(1+Constants!$C$31/100*(AC84-25))-Design!$C$28)/(IF(ISBLANK(Design!$B$39),Design!$B$38,Design!$B$39)/1000000)*T84/100/(IF(ISBLANK(Design!$B$32),Design!$B$31,Design!$B$32)*1000000)&lt;0,0,($B84-R84*IF(ISBLANK(Design!$B$40),Constants!$C$6,Design!$B$40)/1000*(1+Constants!$C$31/100*(AC84-25))-Design!$C$28)/(IF(ISBLANK(Design!$B$39),Design!$B$38,Design!$B$39)/1000000)*T84/100/(IF(ISBLANK(Design!$B$32),Design!$B$31,Design!$B$32)*1000000))</f>
        <v>8.8910046186308878E-2</v>
      </c>
      <c r="V84" s="225">
        <f>$B84*Constants!$C$18/1000+IF(ISBLANK(Design!$B$32),Design!$B$31,Design!$B$32)*1000000*Constants!$D$22/1000000000*($B84-Constants!$C$21)</f>
        <v>1.2001875000000002E-2</v>
      </c>
      <c r="W84" s="225">
        <f>$B84*R84*($B84/(Constants!$C$23*1000000000)*IF(ISBLANK(Design!$B$32),Design!$B$31,Design!$B$32)*1000000/2+$B84/(Constants!$C$24*1000000000)*IF(ISBLANK(Design!$B$32),Design!$B$31,Design!$B$32)*1000000/2)</f>
        <v>8.7341532408767471E-3</v>
      </c>
      <c r="X84" s="225">
        <f t="shared" ca="1" si="14"/>
        <v>0.39849693573668554</v>
      </c>
      <c r="Y84" s="225">
        <f>Constants!$D$22/1000000000*Constants!$C$21*IF(ISBLANK(Design!$B$32),Design!$B$31,Design!$B$32)*1000000</f>
        <v>1.0624999999999999E-2</v>
      </c>
      <c r="Z84" s="225">
        <f t="shared" ca="1" si="23"/>
        <v>0.42985796397756226</v>
      </c>
      <c r="AA84" s="225">
        <f t="shared" ca="1" si="19"/>
        <v>9.5785008466485771E-2</v>
      </c>
      <c r="AB84" s="226">
        <f ca="1">$A84+AA84*Design!$B$19</f>
        <v>90.459745482589682</v>
      </c>
      <c r="AC84" s="226">
        <f ca="1">Z84*Design!$C$12+$A84</f>
        <v>99.615170775237118</v>
      </c>
      <c r="AD84" s="226">
        <f ca="1">Constants!$D$19+Constants!$D$19*Constants!$C$20/100*(AC84-25)</f>
        <v>169.91676569057452</v>
      </c>
      <c r="AE84" s="225">
        <f ca="1">(1-Constants!$D$17/1000000000*Design!$B$32*1000000) * ($B84+S84-R84*AD84/1000) - (S84+R84*(1+($A84-25)*Constants!$C$31/100)*IF(ISBLANK(Design!$B$40),Constants!$C$6/1000,Design!$B$40/1000))</f>
        <v>3.6462863810582653</v>
      </c>
      <c r="AF84" s="159">
        <f ca="1">IF(AE84&gt;Design!$C$28,Design!$C$28,AE84)</f>
        <v>3.3223709369024856</v>
      </c>
      <c r="AG84" s="160">
        <f>Design!$D$6/3</f>
        <v>0.83333333333333337</v>
      </c>
      <c r="AH84" s="160">
        <f ca="1">FORECAST(AG84, OFFSET(Design!$C$15:$C$17,MATCH(AG84,Design!$B$15:$B$17,1)-1,0,2), OFFSET(Design!$B$15:$B$17,MATCH(AG84,Design!$B$15:$B$17,1)-1,0,2))+(AQ84-25)*Design!$B$18/1000</f>
        <v>0.3063862221967123</v>
      </c>
      <c r="AI84" s="238">
        <f ca="1">IF(100*(Design!$C$28+AH84+AG84*IF(ISBLANK(Design!$B$40),Constants!$C$6,Design!$B$40)/1000*(1+Constants!$C$31/100*(AR84-25)))/($B84+AH84-AG84*AS84/1000)&gt;Design!$C$35,Design!$C$35,100*(Design!$C$28+AH84+AG84*IF(ISBLANK(Design!$B$40),Constants!$C$6,Design!$B$40)/1000*(1+Constants!$C$31/100*(AR84-25)))/($B84+AH84-AG84*AS84/1000))</f>
        <v>80.258580050760756</v>
      </c>
      <c r="AJ84" s="161">
        <f ca="1">IF(($B84-AG84*IF(ISBLANK(Design!$B$40),Constants!$C$6,Design!$B$40)/1000*(1+Constants!$C$31/100*(AR84-25))-Design!$C$28)/(IF(ISBLANK(Design!$B$39),Design!$B$38,Design!$B$39)/1000000)*AI84/100/(IF(ISBLANK(Design!$B$32),Design!$B$31,Design!$B$32)*1000000)&lt;0,0,($B84-AG84*IF(ISBLANK(Design!$B$40),Constants!$C$6,Design!$B$40)/1000*(1+Constants!$C$31/100*(AR84-25))-Design!$C$28)/(IF(ISBLANK(Design!$B$39),Design!$B$38,Design!$B$39)/1000000)*AI84/100/(IF(ISBLANK(Design!$B$32),Design!$B$31,Design!$B$32)*1000000))</f>
        <v>8.9313089182010585E-2</v>
      </c>
      <c r="AK84" s="239">
        <f>$B84*Constants!$C$18/1000+IF(ISBLANK(Design!$B$32),Design!$B$31,Design!$B$32)*1000000*Constants!$D$22/1000000000*($B84-Constants!$C$21)</f>
        <v>1.2001875000000002E-2</v>
      </c>
      <c r="AL84" s="239">
        <f>$B84*AG84*($B84/(Constants!$C$23*1000000000)*IF(ISBLANK(Design!$B$32),Design!$B$31,Design!$B$32)*1000000/2+$B84/(Constants!$C$24*1000000000)*IF(ISBLANK(Design!$B$32),Design!$B$31,Design!$B$32)*1000000/2)</f>
        <v>4.3670766204383735E-3</v>
      </c>
      <c r="AM84" s="239">
        <f t="shared" ca="1" si="15"/>
        <v>9.0432267739644426E-2</v>
      </c>
      <c r="AN84" s="239">
        <f>Constants!$D$22/1000000000*Constants!$C$21*IF(ISBLANK(Design!$B$32),Design!$B$31,Design!$B$32)*1000000</f>
        <v>1.0624999999999999E-2</v>
      </c>
      <c r="AO84" s="239">
        <f t="shared" ca="1" si="24"/>
        <v>0.1174262193600828</v>
      </c>
      <c r="AP84" s="239">
        <f t="shared" ca="1" si="21"/>
        <v>5.0404158992051876E-2</v>
      </c>
      <c r="AQ84" s="240">
        <f ca="1">$A84+AP84*Design!$B$19</f>
        <v>87.873037062546956</v>
      </c>
      <c r="AR84" s="240">
        <f ca="1">AO84*Design!$C$12+$A84</f>
        <v>88.99249145824281</v>
      </c>
      <c r="AS84" s="240">
        <f ca="1">Constants!$D$19+Constants!$D$19*Constants!$C$20/100*(AR84-25)</f>
        <v>162.09847371326671</v>
      </c>
      <c r="AT84" s="239">
        <f ca="1">(1-Constants!$D$17/1000000000*Design!$B$32*1000000) * ($B84+AH84-AG84*AS84/1000) - (AH84+AG84*(1+($A84-25)*Constants!$C$31/100)*IF(ISBLANK(Design!$B$40),Constants!$C$6/1000,Design!$B$40/1000))</f>
        <v>3.8385904182402473</v>
      </c>
      <c r="AU84" s="161">
        <f ca="1">IF(AT84&gt;Design!$C$28,Design!$C$28,AT84)</f>
        <v>3.3223709369024856</v>
      </c>
    </row>
    <row r="85" spans="1:47" ht="12.75" customHeight="1" x14ac:dyDescent="0.3">
      <c r="A85" s="154">
        <f>Design!$D$13</f>
        <v>85</v>
      </c>
      <c r="B85" s="155">
        <f t="shared" si="12"/>
        <v>4.21</v>
      </c>
      <c r="C85" s="156">
        <f>Design!$D$6</f>
        <v>2.5</v>
      </c>
      <c r="D85" s="156">
        <f ca="1">FORECAST(C85, OFFSET(Design!$C$15:$C$17,MATCH(C85,Design!$B$15:$B$17,1)-1,0,2), OFFSET(Design!$B$15:$B$17,MATCH(C85,Design!$B$15:$B$17,1)-1,0,2))+(M85-25)*Design!$B$18/1000</f>
        <v>0.40905675472464431</v>
      </c>
      <c r="E85" s="215">
        <f ca="1">IF(100*(Design!$C$28+D85+C85*IF(ISBLANK(Design!$B$40),Constants!$C$6,Design!$B$40)/1000*(1+Constants!$C$31/100*(N85-25)))/($B85+D85-C85*O85/1000)&gt;Design!$C$35,Design!$C$35,100*(Design!$C$28+D85+C85*IF(ISBLANK(Design!$B$40),Constants!$C$6,Design!$B$40)/1000*(1+Constants!$C$31/100*(N85-25)))/($B85+D85-C85*O85/1000))</f>
        <v>94.092965471637015</v>
      </c>
      <c r="F85" s="157">
        <f ca="1">IF(($B85-C85*IF(ISBLANK(Design!$B$40),Constants!$C$6,Design!$B$40)/1000*(1+Constants!$C$31/100*(N85-25))-Design!$C$28)/(IF(ISBLANK(Design!$B$39),Design!$B$38,Design!$B$39)/1000000)*E85/100/(IF(ISBLANK(Design!$B$32),Design!$B$31,Design!$B$32)*1000000)&lt;0,0,($B85-C85*IF(ISBLANK(Design!$B$40),Constants!$C$6,Design!$B$40)/1000*(1+Constants!$C$31/100*(N85-25))-Design!$C$28)/(IF(ISBLANK(Design!$B$39),Design!$B$38,Design!$B$39)/1000000)*E85/100/(IF(ISBLANK(Design!$B$32),Design!$B$31,Design!$B$32)*1000000))</f>
        <v>7.1869487418894415E-2</v>
      </c>
      <c r="G85" s="207">
        <f>B85*Constants!$C$18/1000+IF(ISBLANK(Design!$B$32),Design!$B$31,Design!$B$32)*1000000*Constants!$D$22/1000000000*(B85-Constants!$C$21)</f>
        <v>1.0951249999999999E-2</v>
      </c>
      <c r="H85" s="207">
        <f>B85*C85*(B85/(Constants!$C$23*1000000000)*IF(ISBLANK(Design!$B$32),Design!$B$31,Design!$B$32)*1000000/2+B85/(Constants!$C$24*1000000000)*IF(ISBLANK(Design!$B$32),Design!$B$31,Design!$B$32)*1000000/2)</f>
        <v>1.1912827200842148E-2</v>
      </c>
      <c r="I85" s="207">
        <f t="shared" ca="1" si="13"/>
        <v>1.1033670978680754</v>
      </c>
      <c r="J85" s="207">
        <f>Constants!$D$22/1000000000*Constants!$C$21*IF(ISBLANK(Design!$B$32),Design!$B$31,Design!$B$32)*1000000</f>
        <v>1.0624999999999999E-2</v>
      </c>
      <c r="K85" s="207">
        <f t="shared" ca="1" si="22"/>
        <v>1.1368561750689177</v>
      </c>
      <c r="L85" s="207">
        <f t="shared" ca="1" si="17"/>
        <v>6.0407809355464574E-2</v>
      </c>
      <c r="M85" s="208">
        <f ca="1">$A85+L85*Design!$B$19</f>
        <v>88.443245133261485</v>
      </c>
      <c r="N85" s="208">
        <f ca="1">K85*Design!$C$12+A85</f>
        <v>123.6531099523432</v>
      </c>
      <c r="O85" s="208">
        <f ca="1">Constants!$D$19+Constants!$D$19*Constants!$C$20/100*(N85-25)</f>
        <v>187.60868892492459</v>
      </c>
      <c r="P85" s="207">
        <f ca="1">(1-Constants!$D$17/1000000000*Design!$B$32*1000000) * ($B85+D85-C85*O85/1000) - (D85+C85*(1+($A85-25)*Constants!$C$31/100)*IF(ISBLANK(Design!$B$40),Constants!$C$6/1000,Design!$B$40/1000))</f>
        <v>3.2337502999326406</v>
      </c>
      <c r="Q85" s="331">
        <f ca="1">IF(P85&gt;Design!$C$28,Design!$C$28,P85)</f>
        <v>3.2337502999326406</v>
      </c>
      <c r="R85" s="158">
        <f>2*Design!$D$6/3</f>
        <v>1.6666666666666667</v>
      </c>
      <c r="S85" s="158">
        <f ca="1">FORECAST(R85, OFFSET(Design!$C$15:$C$17,MATCH(R85,Design!$B$15:$B$17,1)-1,0,2), OFFSET(Design!$B$15:$B$17,MATCH(R85,Design!$B$15:$B$17,1)-1,0,2))+(AB85-25)*Design!$B$18/1000</f>
        <v>0.37001815465195886</v>
      </c>
      <c r="T85" s="224">
        <f ca="1">IF(100*(Design!$C$28+S85+R85*IF(ISBLANK(Design!$B$40),Constants!$C$6,Design!$B$40)/1000*(1+Constants!$C$31/100*(AC85-25)))/($B85+S85-R85*AD85/1000)&gt;Design!$C$35,Design!$C$35,100*(Design!$C$28+S85+R85*IF(ISBLANK(Design!$B$40),Constants!$C$6,Design!$B$40)/1000*(1+Constants!$C$31/100*(AC85-25)))/($B85+S85-R85*AD85/1000))</f>
        <v>88.461677321242533</v>
      </c>
      <c r="U85" s="159">
        <f ca="1">IF(($B85-R85*IF(ISBLANK(Design!$B$40),Constants!$C$6,Design!$B$40)/1000*(1+Constants!$C$31/100*(AC85-25))-Design!$C$28)/(IF(ISBLANK(Design!$B$39),Design!$B$38,Design!$B$39)/1000000)*T85/100/(IF(ISBLANK(Design!$B$32),Design!$B$31,Design!$B$32)*1000000)&lt;0,0,($B85-R85*IF(ISBLANK(Design!$B$40),Constants!$C$6,Design!$B$40)/1000*(1+Constants!$C$31/100*(AC85-25))-Design!$C$28)/(IF(ISBLANK(Design!$B$39),Design!$B$38,Design!$B$39)/1000000)*T85/100/(IF(ISBLANK(Design!$B$32),Design!$B$31,Design!$B$32)*1000000))</f>
        <v>7.3764217413203603E-2</v>
      </c>
      <c r="V85" s="225">
        <f>$B85*Constants!$C$18/1000+IF(ISBLANK(Design!$B$32),Design!$B$31,Design!$B$32)*1000000*Constants!$D$22/1000000000*($B85-Constants!$C$21)</f>
        <v>1.0951249999999999E-2</v>
      </c>
      <c r="W85" s="225">
        <f>$B85*R85*($B85/(Constants!$C$23*1000000000)*IF(ISBLANK(Design!$B$32),Design!$B$31,Design!$B$32)*1000000/2+$B85/(Constants!$C$24*1000000000)*IF(ISBLANK(Design!$B$32),Design!$B$31,Design!$B$32)*1000000/2)</f>
        <v>7.9418848005614311E-3</v>
      </c>
      <c r="X85" s="225">
        <f t="shared" ca="1" si="14"/>
        <v>0.41873035585965646</v>
      </c>
      <c r="Y85" s="225">
        <f>Constants!$D$22/1000000000*Constants!$C$21*IF(ISBLANK(Design!$B$32),Design!$B$31,Design!$B$32)*1000000</f>
        <v>1.0624999999999999E-2</v>
      </c>
      <c r="Z85" s="225">
        <f t="shared" ca="1" si="23"/>
        <v>0.44824849066021788</v>
      </c>
      <c r="AA85" s="225">
        <f t="shared" ca="1" si="19"/>
        <v>7.1156481089544726E-2</v>
      </c>
      <c r="AB85" s="226">
        <f ca="1">$A85+AA85*Design!$B$19</f>
        <v>89.055919422104054</v>
      </c>
      <c r="AC85" s="226">
        <f ca="1">Z85*Design!$C$12+$A85</f>
        <v>100.24044868244741</v>
      </c>
      <c r="AD85" s="226">
        <f ca="1">Constants!$D$19+Constants!$D$19*Constants!$C$20/100*(AC85-25)</f>
        <v>170.3769702302813</v>
      </c>
      <c r="AE85" s="225">
        <f ca="1">(1-Constants!$D$17/1000000000*Design!$B$32*1000000) * ($B85+S85-R85*AD85/1000) - (S85+R85*(1+($A85-25)*Constants!$C$31/100)*IF(ISBLANK(Design!$B$40),Constants!$C$6/1000,Design!$B$40/1000))</f>
        <v>3.4578902439200712</v>
      </c>
      <c r="AF85" s="331">
        <f ca="1">IF(AE85&gt;Design!$C$28,Design!$C$28,AE85)</f>
        <v>3.3223709369024856</v>
      </c>
      <c r="AG85" s="160">
        <f>Design!$D$6/3</f>
        <v>0.83333333333333337</v>
      </c>
      <c r="AH85" s="160">
        <f ca="1">FORECAST(AG85, OFFSET(Design!$C$15:$C$17,MATCH(AG85,Design!$B$15:$B$17,1)-1,0,2), OFFSET(Design!$B$15:$B$17,MATCH(AG85,Design!$B$15:$B$17,1)-1,0,2))+(AQ85-25)*Design!$B$18/1000</f>
        <v>0.30692912217341783</v>
      </c>
      <c r="AI85" s="238">
        <f ca="1">IF(100*(Design!$C$28+AH85+AG85*IF(ISBLANK(Design!$B$40),Constants!$C$6,Design!$B$40)/1000*(1+Constants!$C$31/100*(AR85-25)))/($B85+AH85-AG85*AS85/1000)&gt;Design!$C$35,Design!$C$35,100*(Design!$C$28+AH85+AG85*IF(ISBLANK(Design!$B$40),Constants!$C$6,Design!$B$40)/1000*(1+Constants!$C$31/100*(AR85-25)))/($B85+AH85-AG85*AS85/1000))</f>
        <v>84.017314079129662</v>
      </c>
      <c r="AJ85" s="161">
        <f ca="1">IF(($B85-AG85*IF(ISBLANK(Design!$B$40),Constants!$C$6,Design!$B$40)/1000*(1+Constants!$C$31/100*(AR85-25))-Design!$C$28)/(IF(ISBLANK(Design!$B$39),Design!$B$38,Design!$B$39)/1000000)*AI85/100/(IF(ISBLANK(Design!$B$32),Design!$B$31,Design!$B$32)*1000000)&lt;0,0,($B85-AG85*IF(ISBLANK(Design!$B$40),Constants!$C$6,Design!$B$40)/1000*(1+Constants!$C$31/100*(AR85-25))-Design!$C$28)/(IF(ISBLANK(Design!$B$39),Design!$B$38,Design!$B$39)/1000000)*AI85/100/(IF(ISBLANK(Design!$B$32),Design!$B$31,Design!$B$32)*1000000))</f>
        <v>7.5073560582277876E-2</v>
      </c>
      <c r="AK85" s="239">
        <f>$B85*Constants!$C$18/1000+IF(ISBLANK(Design!$B$32),Design!$B$31,Design!$B$32)*1000000*Constants!$D$22/1000000000*($B85-Constants!$C$21)</f>
        <v>1.0951249999999999E-2</v>
      </c>
      <c r="AL85" s="239">
        <f>$B85*AG85*($B85/(Constants!$C$23*1000000000)*IF(ISBLANK(Design!$B$32),Design!$B$31,Design!$B$32)*1000000/2+$B85/(Constants!$C$24*1000000000)*IF(ISBLANK(Design!$B$32),Design!$B$31,Design!$B$32)*1000000/2)</f>
        <v>3.9709424002807156E-3</v>
      </c>
      <c r="AM85" s="239">
        <f t="shared" ca="1" si="15"/>
        <v>9.4681847716957965E-2</v>
      </c>
      <c r="AN85" s="239">
        <f>Constants!$D$22/1000000000*Constants!$C$21*IF(ISBLANK(Design!$B$32),Design!$B$31,Design!$B$32)*1000000</f>
        <v>1.0624999999999999E-2</v>
      </c>
      <c r="AO85" s="239">
        <f t="shared" ca="1" si="24"/>
        <v>0.12022904011723867</v>
      </c>
      <c r="AP85" s="239">
        <f t="shared" ca="1" si="21"/>
        <v>4.0879597997218159E-2</v>
      </c>
      <c r="AQ85" s="240">
        <f ca="1">$A85+AP85*Design!$B$19</f>
        <v>87.330137085841429</v>
      </c>
      <c r="AR85" s="240">
        <f ca="1">AO85*Design!$C$12+$A85</f>
        <v>89.087787363986109</v>
      </c>
      <c r="AS85" s="240">
        <f ca="1">Constants!$D$19+Constants!$D$19*Constants!$C$20/100*(AR85-25)</f>
        <v>162.16861149989379</v>
      </c>
      <c r="AT85" s="239">
        <f ca="1">(1-Constants!$D$17/1000000000*Design!$B$32*1000000) * ($B85+AH85-AG85*AS85/1000) - (AH85+AG85*(1+($A85-25)*Constants!$C$31/100)*IF(ISBLANK(Design!$B$40),Constants!$C$6/1000,Design!$B$40/1000))</f>
        <v>3.6509157916799237</v>
      </c>
      <c r="AU85" s="331">
        <f ca="1">IF(AT85&gt;Design!$C$28,Design!$C$28,AT85)</f>
        <v>3.3223709369024856</v>
      </c>
    </row>
    <row r="86" spans="1:47" ht="12.75" customHeight="1" x14ac:dyDescent="0.3">
      <c r="A86" s="154">
        <f>Design!$D$13</f>
        <v>85</v>
      </c>
      <c r="B86" s="155">
        <f t="shared" si="12"/>
        <v>4.0049999999999999</v>
      </c>
      <c r="C86" s="156">
        <f>Design!$D$6</f>
        <v>2.5</v>
      </c>
      <c r="D86" s="156">
        <f ca="1">FORECAST(C86, OFFSET(Design!$C$15:$C$17,MATCH(C86,Design!$B$15:$B$17,1)-1,0,2), OFFSET(Design!$B$15:$B$17,MATCH(C86,Design!$B$15:$B$17,1)-1,0,2))+(M86-25)*Design!$B$18/1000</f>
        <v>0.41001683553976231</v>
      </c>
      <c r="E86" s="215">
        <f ca="1">IF(100*(Design!$C$28+D86+C86*IF(ISBLANK(Design!$B$40),Constants!$C$6,Design!$B$40)/1000*(1+Constants!$C$31/100*(N86-25)))/($B86+D86-C86*O86/1000)&gt;Design!$C$35,Design!$C$35,100*(Design!$C$28+D86+C86*IF(ISBLANK(Design!$B$40),Constants!$C$6,Design!$B$40)/1000*(1+Constants!$C$31/100*(N86-25)))/($B86+D86-C86*O86/1000))</f>
        <v>95.75</v>
      </c>
      <c r="F86" s="157">
        <f ca="1">IF(($B86-C86*IF(ISBLANK(Design!$B$40),Constants!$C$6,Design!$B$40)/1000*(1+Constants!$C$31/100*(N86-25))-Design!$C$28)/(IF(ISBLANK(Design!$B$39),Design!$B$38,Design!$B$39)/1000000)*E86/100/(IF(ISBLANK(Design!$B$32),Design!$B$31,Design!$B$32)*1000000)&lt;0,0,($B86-C86*IF(ISBLANK(Design!$B$40),Constants!$C$6,Design!$B$40)/1000*(1+Constants!$C$31/100*(N86-25))-Design!$C$28)/(IF(ISBLANK(Design!$B$39),Design!$B$38,Design!$B$39)/1000000)*E86/100/(IF(ISBLANK(Design!$B$32),Design!$B$31,Design!$B$32)*1000000))</f>
        <v>5.2107212264400973E-2</v>
      </c>
      <c r="G86" s="207">
        <f>B86*Constants!$C$18/1000+IF(ISBLANK(Design!$B$32),Design!$B$31,Design!$B$32)*1000000*Constants!$D$22/1000000000*(B86-Constants!$C$21)</f>
        <v>9.9006250000000014E-3</v>
      </c>
      <c r="H86" s="207">
        <f>B86*C86*(B86/(Constants!$C$23*1000000000)*IF(ISBLANK(Design!$B$32),Design!$B$31,Design!$B$32)*1000000/2+B86/(Constants!$C$24*1000000000)*IF(ISBLANK(Design!$B$32),Design!$B$31,Design!$B$32)*1000000/2)</f>
        <v>1.0780916724809048E-2</v>
      </c>
      <c r="I86" s="207">
        <f t="shared" ca="1" si="13"/>
        <v>1.1257930072315028</v>
      </c>
      <c r="J86" s="207">
        <f>Constants!$D$22/1000000000*Constants!$C$21*IF(ISBLANK(Design!$B$32),Design!$B$31,Design!$B$32)*1000000</f>
        <v>1.0624999999999999E-2</v>
      </c>
      <c r="K86" s="207">
        <f t="shared" ca="1" si="22"/>
        <v>1.1570995489563118</v>
      </c>
      <c r="L86" s="207">
        <f t="shared" ca="1" si="17"/>
        <v>4.3564288776099733E-2</v>
      </c>
      <c r="M86" s="208">
        <f ca="1">$A86+L86*Design!$B$19</f>
        <v>87.483164460237688</v>
      </c>
      <c r="N86" s="208">
        <f ca="1">K86*Design!$C$12+A86</f>
        <v>124.34138466451461</v>
      </c>
      <c r="O86" s="208">
        <f ca="1">Constants!$D$19+Constants!$D$19*Constants!$C$20/100*(N86-25)</f>
        <v>188.11525911308274</v>
      </c>
      <c r="P86" s="207">
        <f ca="1">(1-Constants!$D$17/1000000000*Design!$B$32*1000000) * ($B86+D86-C86*O86/1000) - (D86+C86*(1+($A86-25)*Constants!$C$31/100)*IF(ISBLANK(Design!$B$40),Constants!$C$6/1000,Design!$B$40/1000))</f>
        <v>3.0449349137579436</v>
      </c>
      <c r="Q86" s="331">
        <f ca="1">IF(P86&gt;Design!$C$28,Design!$C$28,P86)</f>
        <v>3.0449349137579436</v>
      </c>
      <c r="R86" s="158">
        <f>2*Design!$D$6/3</f>
        <v>1.6666666666666667</v>
      </c>
      <c r="S86" s="158">
        <f ca="1">FORECAST(R86, OFFSET(Design!$C$15:$C$17,MATCH(R86,Design!$B$15:$B$17,1)-1,0,2), OFFSET(Design!$B$15:$B$17,MATCH(R86,Design!$B$15:$B$17,1)-1,0,2))+(AB86-25)*Design!$B$18/1000</f>
        <v>0.37157565413101634</v>
      </c>
      <c r="T86" s="224">
        <f ca="1">IF(100*(Design!$C$28+S86+R86*IF(ISBLANK(Design!$B$40),Constants!$C$6,Design!$B$40)/1000*(1+Constants!$C$31/100*(AC86-25)))/($B86+S86-R86*AD86/1000)&gt;Design!$C$35,Design!$C$35,100*(Design!$C$28+S86+R86*IF(ISBLANK(Design!$B$40),Constants!$C$6,Design!$B$40)/1000*(1+Constants!$C$31/100*(AC86-25)))/($B86+S86-R86*AD86/1000))</f>
        <v>92.922260378810208</v>
      </c>
      <c r="U86" s="159">
        <f ca="1">IF(($B86-R86*IF(ISBLANK(Design!$B$40),Constants!$C$6,Design!$B$40)/1000*(1+Constants!$C$31/100*(AC86-25))-Design!$C$28)/(IF(ISBLANK(Design!$B$39),Design!$B$38,Design!$B$39)/1000000)*T86/100/(IF(ISBLANK(Design!$B$32),Design!$B$31,Design!$B$32)*1000000)&lt;0,0,($B86-R86*IF(ISBLANK(Design!$B$40),Constants!$C$6,Design!$B$40)/1000*(1+Constants!$C$31/100*(AC86-25))-Design!$C$28)/(IF(ISBLANK(Design!$B$39),Design!$B$38,Design!$B$39)/1000000)*T86/100/(IF(ISBLANK(Design!$B$32),Design!$B$31,Design!$B$32)*1000000))</f>
        <v>5.7087558326143852E-2</v>
      </c>
      <c r="V86" s="225">
        <f>$B86*Constants!$C$18/1000+IF(ISBLANK(Design!$B$32),Design!$B$31,Design!$B$32)*1000000*Constants!$D$22/1000000000*($B86-Constants!$C$21)</f>
        <v>9.9006250000000014E-3</v>
      </c>
      <c r="W86" s="225">
        <f>$B86*R86*($B86/(Constants!$C$23*1000000000)*IF(ISBLANK(Design!$B$32),Design!$B$31,Design!$B$32)*1000000/2+$B86/(Constants!$C$24*1000000000)*IF(ISBLANK(Design!$B$32),Design!$B$31,Design!$B$32)*1000000/2)</f>
        <v>7.1872778165393654E-3</v>
      </c>
      <c r="X86" s="225">
        <f t="shared" ca="1" si="14"/>
        <v>0.44114703530356225</v>
      </c>
      <c r="Y86" s="225">
        <f>Constants!$D$22/1000000000*Constants!$C$21*IF(ISBLANK(Design!$B$32),Design!$B$31,Design!$B$32)*1000000</f>
        <v>1.0624999999999999E-2</v>
      </c>
      <c r="Z86" s="225">
        <f t="shared" ca="1" si="23"/>
        <v>0.46885993812010163</v>
      </c>
      <c r="AA86" s="225">
        <f t="shared" ca="1" si="19"/>
        <v>4.3831928825210156E-2</v>
      </c>
      <c r="AB86" s="226">
        <f ca="1">$A86+AA86*Design!$B$19</f>
        <v>87.498419943036978</v>
      </c>
      <c r="AC86" s="226">
        <f ca="1">Z86*Design!$C$12+$A86</f>
        <v>100.94123789608345</v>
      </c>
      <c r="AD86" s="226">
        <f ca="1">Constants!$D$19+Constants!$D$19*Constants!$C$20/100*(AC86-25)</f>
        <v>170.89275109151743</v>
      </c>
      <c r="AE86" s="225">
        <f ca="1">(1-Constants!$D$17/1000000000*Design!$B$32*1000000) * ($B86+S86-R86*AD86/1000) - (S86+R86*(1+($A86-25)*Constants!$C$31/100)*IF(ISBLANK(Design!$B$40),Constants!$C$6/1000,Design!$B$40/1000))</f>
        <v>3.2693962906509659</v>
      </c>
      <c r="AF86" s="331">
        <f ca="1">IF(AE86&gt;Design!$C$28,Design!$C$28,AE86)</f>
        <v>3.2693962906509659</v>
      </c>
      <c r="AG86" s="160">
        <f>Design!$D$6/3</f>
        <v>0.83333333333333337</v>
      </c>
      <c r="AH86" s="160">
        <f ca="1">FORECAST(AG86, OFFSET(Design!$C$15:$C$17,MATCH(AG86,Design!$B$15:$B$17,1)-1,0,2), OFFSET(Design!$B$15:$B$17,MATCH(AG86,Design!$B$15:$B$17,1)-1,0,2))+(AQ86-25)*Design!$B$18/1000</f>
        <v>0.30752746197071557</v>
      </c>
      <c r="AI86" s="238">
        <f ca="1">IF(100*(Design!$C$28+AH86+AG86*IF(ISBLANK(Design!$B$40),Constants!$C$6,Design!$B$40)/1000*(1+Constants!$C$31/100*(AR86-25)))/($B86+AH86-AG86*AS86/1000)&gt;Design!$C$35,Design!$C$35,100*(Design!$C$28+AH86+AG86*IF(ISBLANK(Design!$B$40),Constants!$C$6,Design!$B$40)/1000*(1+Constants!$C$31/100*(AR86-25)))/($B86+AH86-AG86*AS86/1000))</f>
        <v>88.144509094734843</v>
      </c>
      <c r="AJ86" s="161">
        <f ca="1">IF(($B86-AG86*IF(ISBLANK(Design!$B$40),Constants!$C$6,Design!$B$40)/1000*(1+Constants!$C$31/100*(AR86-25))-Design!$C$28)/(IF(ISBLANK(Design!$B$39),Design!$B$38,Design!$B$39)/1000000)*AI86/100/(IF(ISBLANK(Design!$B$32),Design!$B$31,Design!$B$32)*1000000)&lt;0,0,($B86-AG86*IF(ISBLANK(Design!$B$40),Constants!$C$6,Design!$B$40)/1000*(1+Constants!$C$31/100*(AR86-25))-Design!$C$28)/(IF(ISBLANK(Design!$B$39),Design!$B$38,Design!$B$39)/1000000)*AI86/100/(IF(ISBLANK(Design!$B$32),Design!$B$31,Design!$B$32)*1000000))</f>
        <v>5.9433904135230288E-2</v>
      </c>
      <c r="AK86" s="239">
        <f>$B86*Constants!$C$18/1000+IF(ISBLANK(Design!$B$32),Design!$B$31,Design!$B$32)*1000000*Constants!$D$22/1000000000*($B86-Constants!$C$21)</f>
        <v>9.9006250000000014E-3</v>
      </c>
      <c r="AL86" s="239">
        <f>$B86*AG86*($B86/(Constants!$C$23*1000000000)*IF(ISBLANK(Design!$B$32),Design!$B$31,Design!$B$32)*1000000/2+$B86/(Constants!$C$24*1000000000)*IF(ISBLANK(Design!$B$32),Design!$B$31,Design!$B$32)*1000000/2)</f>
        <v>3.5936389082696827E-3</v>
      </c>
      <c r="AM86" s="239">
        <f t="shared" ca="1" si="15"/>
        <v>9.935763001621499E-2</v>
      </c>
      <c r="AN86" s="239">
        <f>Constants!$D$22/1000000000*Constants!$C$21*IF(ISBLANK(Design!$B$32),Design!$B$31,Design!$B$32)*1000000</f>
        <v>1.0624999999999999E-2</v>
      </c>
      <c r="AO86" s="239">
        <f t="shared" ca="1" si="24"/>
        <v>0.12347689392448467</v>
      </c>
      <c r="AP86" s="239">
        <f t="shared" ca="1" si="21"/>
        <v>3.0382408570942449E-2</v>
      </c>
      <c r="AQ86" s="240">
        <f ca="1">$A86+AP86*Design!$B$19</f>
        <v>86.731797288543717</v>
      </c>
      <c r="AR86" s="240">
        <f ca="1">AO86*Design!$C$12+$A86</f>
        <v>89.19821439343248</v>
      </c>
      <c r="AS86" s="240">
        <f ca="1">Constants!$D$19+Constants!$D$19*Constants!$C$20/100*(AR86-25)</f>
        <v>162.24988579356631</v>
      </c>
      <c r="AT86" s="239">
        <f ca="1">(1-Constants!$D$17/1000000000*Design!$B$32*1000000) * ($B86+AH86-AG86*AS86/1000) - (AH86+AG86*(1+($A86-25)*Constants!$C$31/100)*IF(ISBLANK(Design!$B$40),Constants!$C$6/1000,Design!$B$40/1000))</f>
        <v>3.463227961148228</v>
      </c>
      <c r="AU86" s="331">
        <f ca="1">IF(AT86&gt;Design!$C$28,Design!$C$28,AT86)</f>
        <v>3.3223709369024856</v>
      </c>
    </row>
    <row r="87" spans="1:47" ht="12.75" customHeight="1" thickBot="1" x14ac:dyDescent="0.35">
      <c r="A87" s="163">
        <f>Design!$D$13</f>
        <v>85</v>
      </c>
      <c r="B87" s="164">
        <f>Constants!$C$7</f>
        <v>3.8</v>
      </c>
      <c r="C87" s="165">
        <f>Design!$D$6</f>
        <v>2.5</v>
      </c>
      <c r="D87" s="165">
        <f ca="1">FORECAST(C87, OFFSET(Design!$C$15:$C$17,MATCH(C87,Design!$B$15:$B$17,1)-1,0,2), OFFSET(Design!$B$15:$B$17,MATCH(C87,Design!$B$15:$B$17,1)-1,0,2))+(M87-25)*Design!$B$18/1000</f>
        <v>0.41001683553976231</v>
      </c>
      <c r="E87" s="216">
        <f ca="1">IF(100*(Design!$C$28+D87+C87*IF(ISBLANK(Design!$B$40),Constants!$C$6,Design!$B$40)/1000*(1+Constants!$C$31/100*(N87-25)))/($B87+D87-C87*O87/1000)&gt;Design!$C$35,Design!$C$35,100*(Design!$C$28+D87+C87*IF(ISBLANK(Design!$B$40),Constants!$C$6,Design!$B$40)/1000*(1+Constants!$C$31/100*(N87-25)))/($B87+D87-C87*O87/1000))</f>
        <v>95.75</v>
      </c>
      <c r="F87" s="166">
        <f ca="1">IF(($B87-C87*IF(ISBLANK(Design!$B$40),Constants!$C$6,Design!$B$40)/1000*(1+Constants!$C$31/100*(N87-25))-Design!$C$28)/(IF(ISBLANK(Design!$B$39),Design!$B$38,Design!$B$39)/1000000)*E87/100/(IF(ISBLANK(Design!$B$32),Design!$B$31,Design!$B$32)*1000000)&lt;0,0,($B87-C87*IF(ISBLANK(Design!$B$40),Constants!$C$6,Design!$B$40)/1000*(1+Constants!$C$31/100*(N87-25))-Design!$C$28)/(IF(ISBLANK(Design!$B$39),Design!$B$38,Design!$B$39)/1000000)*E87/100/(IF(ISBLANK(Design!$B$32),Design!$B$31,Design!$B$32)*1000000))</f>
        <v>3.1118226477109337E-2</v>
      </c>
      <c r="G87" s="209">
        <f>B87*Constants!$C$18/1000+IF(ISBLANK(Design!$B$32),Design!$B$31,Design!$B$32)*1000000*Constants!$D$22/1000000000*(B87-Constants!$C$21)</f>
        <v>8.8499999999999985E-3</v>
      </c>
      <c r="H87" s="209">
        <f>B87*C87*(B87/(Constants!$C$23*1000000000)*IF(ISBLANK(Design!$B$32),Design!$B$31,Design!$B$32)*1000000/2+B87/(Constants!$C$24*1000000000)*IF(ISBLANK(Design!$B$32),Design!$B$31,Design!$B$32)*1000000/2)</f>
        <v>9.7054984332158242E-3</v>
      </c>
      <c r="I87" s="209">
        <f t="shared" ca="1" si="13"/>
        <v>1.1253877061388198</v>
      </c>
      <c r="J87" s="209">
        <f>Constants!$D$22/1000000000*Constants!$C$21*IF(ISBLANK(Design!$B$32),Design!$B$31,Design!$B$32)*1000000</f>
        <v>1.0624999999999999E-2</v>
      </c>
      <c r="K87" s="209">
        <f t="shared" ca="1" si="22"/>
        <v>1.1545682045720358</v>
      </c>
      <c r="L87" s="209">
        <f t="shared" ca="1" si="17"/>
        <v>4.3564288776099733E-2</v>
      </c>
      <c r="M87" s="210">
        <f ca="1">$A87+L87*Design!$B$19</f>
        <v>87.483164460237688</v>
      </c>
      <c r="N87" s="210">
        <f ca="1">K87*Design!$C$12+A87</f>
        <v>124.25531895544921</v>
      </c>
      <c r="O87" s="210">
        <f ca="1">Constants!$D$19+Constants!$D$19*Constants!$C$20/100*(N87-25)</f>
        <v>188.05191475121063</v>
      </c>
      <c r="P87" s="209">
        <f ca="1">(1-Constants!$D$17/1000000000*Design!$B$32*1000000) * ($B87+D87-C87*O87/1000) - (D87+C87*(1+($A87-25)*Constants!$C$31/100)*IF(ISBLANK(Design!$B$40),Constants!$C$6/1000,Design!$B$40/1000))</f>
        <v>2.8575048139857255</v>
      </c>
      <c r="Q87" s="332">
        <f ca="1">IF(P87&gt;Design!$C$28,Design!$C$28,P87)</f>
        <v>2.8575048139857255</v>
      </c>
      <c r="R87" s="167">
        <f>2*Design!$D$6/3</f>
        <v>1.6666666666666667</v>
      </c>
      <c r="S87" s="167">
        <f ca="1">FORECAST(R87, OFFSET(Design!$C$15:$C$17,MATCH(R87,Design!$B$15:$B$17,1)-1,0,2), OFFSET(Design!$B$15:$B$17,MATCH(R87,Design!$B$15:$B$17,1)-1,0,2))+(AB87-25)*Design!$B$18/1000</f>
        <v>0.37256982341204797</v>
      </c>
      <c r="T87" s="228">
        <f ca="1">IF(100*(Design!$C$28+S87+R87*IF(ISBLANK(Design!$B$40),Constants!$C$6,Design!$B$40)/1000*(1+Constants!$C$31/100*(AC87-25)))/($B87+S87-R87*AD87/1000)&gt;Design!$C$35,Design!$C$35,100*(Design!$C$28+S87+R87*IF(ISBLANK(Design!$B$40),Constants!$C$6,Design!$B$40)/1000*(1+Constants!$C$31/100*(AC87-25)))/($B87+S87-R87*AD87/1000))</f>
        <v>95.75</v>
      </c>
      <c r="U87" s="168">
        <f ca="1">IF(($B87-R87*IF(ISBLANK(Design!$B$40),Constants!$C$6,Design!$B$40)/1000*(1+Constants!$C$31/100*(AC87-25))-Design!$C$28)/(IF(ISBLANK(Design!$B$39),Design!$B$38,Design!$B$39)/1000000)*T87/100/(IF(ISBLANK(Design!$B$32),Design!$B$31,Design!$B$32)*1000000)&lt;0,0,($B87-R87*IF(ISBLANK(Design!$B$40),Constants!$C$6,Design!$B$40)/1000*(1+Constants!$C$31/100*(AC87-25))-Design!$C$28)/(IF(ISBLANK(Design!$B$39),Design!$B$38,Design!$B$39)/1000000)*T87/100/(IF(ISBLANK(Design!$B$32),Design!$B$31,Design!$B$32)*1000000))</f>
        <v>3.7817278129037353E-2</v>
      </c>
      <c r="V87" s="229">
        <f>$B87*Constants!$C$18/1000+IF(ISBLANK(Design!$B$32),Design!$B$31,Design!$B$32)*1000000*Constants!$D$22/1000000000*($B87-Constants!$C$21)</f>
        <v>8.8499999999999985E-3</v>
      </c>
      <c r="W87" s="229">
        <f>$B87*R87*($B87/(Constants!$C$23*1000000000)*IF(ISBLANK(Design!$B$32),Design!$B$31,Design!$B$32)*1000000/2+$B87/(Constants!$C$24*1000000000)*IF(ISBLANK(Design!$B$32),Design!$B$31,Design!$B$32)*1000000/2)</f>
        <v>6.4703322888105489E-3</v>
      </c>
      <c r="X87" s="229">
        <f t="shared" ca="1" si="14"/>
        <v>0.45537618868181606</v>
      </c>
      <c r="Y87" s="229">
        <f>Constants!$D$22/1000000000*Constants!$C$21*IF(ISBLANK(Design!$B$32),Design!$B$31,Design!$B$32)*1000000</f>
        <v>1.0624999999999999E-2</v>
      </c>
      <c r="Z87" s="229">
        <f t="shared" ca="1" si="23"/>
        <v>0.48132152097062658</v>
      </c>
      <c r="AA87" s="229">
        <f t="shared" ca="1" si="19"/>
        <v>2.6390362491686723E-2</v>
      </c>
      <c r="AB87" s="230">
        <f ca="1">$A87+AA87*Design!$B$19</f>
        <v>86.504250662026138</v>
      </c>
      <c r="AC87" s="230">
        <f ca="1">Z87*Design!$C$12+$A87</f>
        <v>101.36493171300131</v>
      </c>
      <c r="AD87" s="230">
        <f ca="1">Constants!$D$19+Constants!$D$19*Constants!$C$20/100*(AC87-25)</f>
        <v>171.20458974076897</v>
      </c>
      <c r="AE87" s="229">
        <f ca="1">(1-Constants!$D$17/1000000000*Design!$B$32*1000000) * ($B87+S87-R87*AD87/1000) - (S87+R87*(1+($A87-25)*Constants!$C$31/100)*IF(ISBLANK(Design!$B$40),Constants!$C$6/1000,Design!$B$40/1000))</f>
        <v>3.0812612323219701</v>
      </c>
      <c r="AF87" s="332">
        <f ca="1">IF(AE87&gt;Design!$C$28,Design!$C$28,AE87)</f>
        <v>3.0812612323219701</v>
      </c>
      <c r="AG87" s="169">
        <f>Design!$D$6/3</f>
        <v>0.83333333333333337</v>
      </c>
      <c r="AH87" s="169">
        <f ca="1">FORECAST(AG87, OFFSET(Design!$C$15:$C$17,MATCH(AG87,Design!$B$15:$B$17,1)-1,0,2), OFFSET(Design!$B$15:$B$17,MATCH(AG87,Design!$B$15:$B$17,1)-1,0,2))+(AQ87-25)*Design!$B$18/1000</f>
        <v>0.30819016631482909</v>
      </c>
      <c r="AI87" s="242">
        <f ca="1">IF(100*(Design!$C$28+AH87+AG87*IF(ISBLANK(Design!$B$40),Constants!$C$6,Design!$B$40)/1000*(1+Constants!$C$31/100*(AR87-25)))/($B87+AH87-AG87*AS87/1000)&gt;Design!$C$35,Design!$C$35,100*(Design!$C$28+AH87+AG87*IF(ISBLANK(Design!$B$40),Constants!$C$6,Design!$B$40)/1000*(1+Constants!$C$31/100*(AR87-25)))/($B87+AH87-AG87*AS87/1000))</f>
        <v>92.696970136370808</v>
      </c>
      <c r="AJ87" s="170">
        <f ca="1">IF(($B87-AG87*IF(ISBLANK(Design!$B$40),Constants!$C$6,Design!$B$40)/1000*(1+Constants!$C$31/100*(AR87-25))-Design!$C$28)/(IF(ISBLANK(Design!$B$39),Design!$B$38,Design!$B$39)/1000000)*AI87/100/(IF(ISBLANK(Design!$B$32),Design!$B$31,Design!$B$32)*1000000)&lt;0,0,($B87-AG87*IF(ISBLANK(Design!$B$40),Constants!$C$6,Design!$B$40)/1000*(1+Constants!$C$31/100*(AR87-25))-Design!$C$28)/(IF(ISBLANK(Design!$B$39),Design!$B$38,Design!$B$39)/1000000)*AI87/100/(IF(ISBLANK(Design!$B$32),Design!$B$31,Design!$B$32)*1000000))</f>
        <v>4.2177517857550854E-2</v>
      </c>
      <c r="AK87" s="243">
        <f>$B87*Constants!$C$18/1000+IF(ISBLANK(Design!$B$32),Design!$B$31,Design!$B$32)*1000000*Constants!$D$22/1000000000*($B87-Constants!$C$21)</f>
        <v>8.8499999999999985E-3</v>
      </c>
      <c r="AL87" s="243">
        <f>$B87*AG87*($B87/(Constants!$C$23*1000000000)*IF(ISBLANK(Design!$B$32),Design!$B$31,Design!$B$32)*1000000/2+$B87/(Constants!$C$24*1000000000)*IF(ISBLANK(Design!$B$32),Design!$B$31,Design!$B$32)*1000000/2)</f>
        <v>3.2351661444052745E-3</v>
      </c>
      <c r="AM87" s="243">
        <f t="shared" ca="1" si="15"/>
        <v>0.10452784587588802</v>
      </c>
      <c r="AN87" s="243">
        <f>Constants!$D$22/1000000000*Constants!$C$21*IF(ISBLANK(Design!$B$32),Design!$B$31,Design!$B$32)*1000000</f>
        <v>1.0624999999999999E-2</v>
      </c>
      <c r="AO87" s="243">
        <f t="shared" ca="1" si="24"/>
        <v>0.12723801202029331</v>
      </c>
      <c r="AP87" s="243">
        <f t="shared" ca="1" si="21"/>
        <v>1.875601656895038E-2</v>
      </c>
      <c r="AQ87" s="244">
        <f ca="1">$A87+AP87*Design!$B$19</f>
        <v>86.069092944430167</v>
      </c>
      <c r="AR87" s="244">
        <f ca="1">AO87*Design!$C$12+$A87</f>
        <v>89.326092408689973</v>
      </c>
      <c r="AS87" s="244">
        <f ca="1">Constants!$D$19+Constants!$D$19*Constants!$C$20/100*(AR87-25)</f>
        <v>162.34400401279584</v>
      </c>
      <c r="AT87" s="243">
        <f ca="1">(1-Constants!$D$17/1000000000*Design!$B$32*1000000) * ($B87+AH87-AG87*AS87/1000) - (AH87+AG87*(1+($A87-25)*Constants!$C$31/100)*IF(ISBLANK(Design!$B$40),Constants!$C$6/1000,Design!$B$40/1000))</f>
        <v>3.2755248661368159</v>
      </c>
      <c r="AU87" s="332">
        <f ca="1">IF(AT87&gt;Design!$C$28,Design!$C$28,AT87)</f>
        <v>3.2755248661368159</v>
      </c>
    </row>
    <row r="88" spans="1:47" x14ac:dyDescent="0.3">
      <c r="AT88" s="172" t="s">
        <v>223</v>
      </c>
      <c r="AU88" s="172">
        <f>(Design!C4-Constants!C7)/40</f>
        <v>0.20499999999999999</v>
      </c>
    </row>
    <row r="112" ht="15" thickBot="1" x14ac:dyDescent="0.35"/>
    <row r="113" spans="2:9" x14ac:dyDescent="0.3">
      <c r="B113" s="248" t="s">
        <v>225</v>
      </c>
      <c r="C113" s="195"/>
      <c r="D113" s="195"/>
      <c r="E113" s="190"/>
      <c r="F113" s="190"/>
      <c r="H113" s="302">
        <f>Design!B4</f>
        <v>8</v>
      </c>
      <c r="I113" s="303">
        <v>1</v>
      </c>
    </row>
    <row r="114" spans="2:9" ht="15" thickBot="1" x14ac:dyDescent="0.35">
      <c r="B114" s="246" t="s">
        <v>250</v>
      </c>
      <c r="C114" s="196"/>
      <c r="D114" s="196"/>
      <c r="E114" s="191"/>
      <c r="F114" s="194"/>
      <c r="H114" s="304">
        <f>Design!B4</f>
        <v>8</v>
      </c>
      <c r="I114" s="305">
        <v>8</v>
      </c>
    </row>
    <row r="115" spans="2:9" x14ac:dyDescent="0.3">
      <c r="B115" s="406" t="s">
        <v>226</v>
      </c>
      <c r="C115" s="406"/>
      <c r="D115" s="171">
        <v>0</v>
      </c>
      <c r="F115" s="11"/>
    </row>
  </sheetData>
  <sheetProtection password="83AF" sheet="1" objects="1" scenarios="1"/>
  <mergeCells count="2">
    <mergeCell ref="A1:AU1"/>
    <mergeCell ref="B115:C115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2"/>
  <sheetViews>
    <sheetView topLeftCell="A34" zoomScaleNormal="100" workbookViewId="0">
      <selection sqref="A1:I1"/>
    </sheetView>
  </sheetViews>
  <sheetFormatPr defaultRowHeight="14.4" x14ac:dyDescent="0.3"/>
  <cols>
    <col min="1" max="1" width="20.6640625" style="1" customWidth="1"/>
    <col min="2" max="5" width="9.109375" style="1"/>
    <col min="6" max="6" width="18.6640625" customWidth="1"/>
  </cols>
  <sheetData>
    <row r="1" spans="1:9" ht="24" customHeight="1" thickBot="1" x14ac:dyDescent="0.35">
      <c r="A1" s="405" t="s">
        <v>192</v>
      </c>
      <c r="B1" s="405"/>
      <c r="C1" s="405"/>
      <c r="D1" s="405"/>
      <c r="E1" s="405"/>
      <c r="F1" s="405"/>
      <c r="G1" s="405"/>
      <c r="H1" s="405"/>
      <c r="I1" s="405"/>
    </row>
    <row r="2" spans="1:9" s="2" customFormat="1" ht="18" customHeight="1" x14ac:dyDescent="0.35">
      <c r="A2" s="33" t="s">
        <v>1</v>
      </c>
      <c r="B2" s="34" t="s">
        <v>33</v>
      </c>
      <c r="C2" s="34" t="s">
        <v>34</v>
      </c>
      <c r="D2" s="34" t="s">
        <v>35</v>
      </c>
      <c r="E2" s="34" t="s">
        <v>36</v>
      </c>
      <c r="F2" s="407" t="s">
        <v>38</v>
      </c>
      <c r="G2" s="407"/>
      <c r="H2" s="407"/>
      <c r="I2" s="408"/>
    </row>
    <row r="3" spans="1:9" x14ac:dyDescent="0.3">
      <c r="A3" s="35" t="s">
        <v>22</v>
      </c>
      <c r="B3" s="36">
        <v>0.79200000000000004</v>
      </c>
      <c r="C3" s="36">
        <v>0.8</v>
      </c>
      <c r="D3" s="36">
        <v>0.80800000000000005</v>
      </c>
      <c r="E3" s="37" t="s">
        <v>2</v>
      </c>
      <c r="F3" s="38" t="s">
        <v>58</v>
      </c>
      <c r="G3" s="39"/>
      <c r="H3" s="39"/>
      <c r="I3" s="40"/>
    </row>
    <row r="4" spans="1:9" x14ac:dyDescent="0.3">
      <c r="A4" s="35" t="s">
        <v>27</v>
      </c>
      <c r="B4" s="41">
        <f>100*(B3-C3)/C3</f>
        <v>-1.0000000000000009</v>
      </c>
      <c r="C4" s="42" t="s">
        <v>24</v>
      </c>
      <c r="D4" s="41">
        <f>100*(D3-C3)/C3</f>
        <v>1.0000000000000009</v>
      </c>
      <c r="E4" s="43" t="s">
        <v>26</v>
      </c>
      <c r="F4" s="38" t="s">
        <v>51</v>
      </c>
      <c r="G4" s="39"/>
      <c r="H4" s="39"/>
      <c r="I4" s="40"/>
    </row>
    <row r="5" spans="1:9" x14ac:dyDescent="0.3">
      <c r="A5" s="35" t="s">
        <v>81</v>
      </c>
      <c r="B5" s="42" t="s">
        <v>24</v>
      </c>
      <c r="C5" s="42">
        <v>4</v>
      </c>
      <c r="D5" s="42" t="s">
        <v>24</v>
      </c>
      <c r="E5" s="43" t="s">
        <v>69</v>
      </c>
      <c r="F5" s="38" t="s">
        <v>108</v>
      </c>
      <c r="G5" s="39"/>
      <c r="H5" s="39"/>
      <c r="I5" s="40"/>
    </row>
    <row r="6" spans="1:9" ht="15.6" x14ac:dyDescent="0.35">
      <c r="A6" s="35" t="s">
        <v>221</v>
      </c>
      <c r="B6" s="42" t="s">
        <v>24</v>
      </c>
      <c r="C6" s="42">
        <v>35</v>
      </c>
      <c r="D6" s="42" t="s">
        <v>24</v>
      </c>
      <c r="E6" s="43" t="s">
        <v>126</v>
      </c>
      <c r="F6" s="38" t="s">
        <v>222</v>
      </c>
      <c r="G6" s="39"/>
      <c r="H6" s="39"/>
      <c r="I6" s="40"/>
    </row>
    <row r="7" spans="1:9" x14ac:dyDescent="0.3">
      <c r="A7" s="35" t="s">
        <v>216</v>
      </c>
      <c r="B7" s="42" t="s">
        <v>24</v>
      </c>
      <c r="C7" s="334">
        <v>3.8</v>
      </c>
      <c r="D7" s="333">
        <v>4.2</v>
      </c>
      <c r="E7" s="43" t="s">
        <v>2</v>
      </c>
      <c r="F7" s="38" t="s">
        <v>60</v>
      </c>
      <c r="G7" s="39"/>
      <c r="H7" s="39"/>
      <c r="I7" s="40"/>
    </row>
    <row r="8" spans="1:9" x14ac:dyDescent="0.3">
      <c r="A8" s="35" t="s">
        <v>37</v>
      </c>
      <c r="B8" s="44">
        <v>280</v>
      </c>
      <c r="C8" s="42" t="s">
        <v>24</v>
      </c>
      <c r="D8" s="42" t="s">
        <v>24</v>
      </c>
      <c r="E8" s="43" t="s">
        <v>21</v>
      </c>
      <c r="F8" s="38" t="s">
        <v>60</v>
      </c>
      <c r="G8" s="39"/>
      <c r="H8" s="39"/>
      <c r="I8" s="40"/>
    </row>
    <row r="9" spans="1:9" x14ac:dyDescent="0.3">
      <c r="A9" s="35" t="s">
        <v>169</v>
      </c>
      <c r="B9" s="42" t="s">
        <v>24</v>
      </c>
      <c r="C9" s="42">
        <v>0.5</v>
      </c>
      <c r="D9" s="42" t="s">
        <v>24</v>
      </c>
      <c r="E9" s="42" t="s">
        <v>24</v>
      </c>
      <c r="F9" s="38" t="s">
        <v>170</v>
      </c>
      <c r="G9" s="39"/>
      <c r="H9" s="39"/>
      <c r="I9" s="40"/>
    </row>
    <row r="10" spans="1:9" x14ac:dyDescent="0.3">
      <c r="A10" s="35" t="s">
        <v>10</v>
      </c>
      <c r="B10" s="42" t="s">
        <v>24</v>
      </c>
      <c r="C10" s="37">
        <v>56</v>
      </c>
      <c r="D10" s="42" t="s">
        <v>24</v>
      </c>
      <c r="E10" s="43" t="s">
        <v>11</v>
      </c>
      <c r="F10" s="38" t="s">
        <v>60</v>
      </c>
      <c r="G10" s="39"/>
      <c r="H10" s="39"/>
      <c r="I10" s="40"/>
    </row>
    <row r="11" spans="1:9" x14ac:dyDescent="0.3">
      <c r="A11" s="35" t="s">
        <v>12</v>
      </c>
      <c r="B11" s="37">
        <v>550</v>
      </c>
      <c r="C11" s="37">
        <v>750</v>
      </c>
      <c r="D11" s="37">
        <v>1000</v>
      </c>
      <c r="E11" s="43" t="s">
        <v>120</v>
      </c>
      <c r="F11" s="38" t="s">
        <v>60</v>
      </c>
      <c r="G11" s="39"/>
      <c r="H11" s="39"/>
      <c r="I11" s="40"/>
    </row>
    <row r="12" spans="1:9" x14ac:dyDescent="0.3">
      <c r="A12" s="35" t="s">
        <v>87</v>
      </c>
      <c r="B12" s="41">
        <f>POWER(10,$C$10/20)/(D11/1000000)/1000000</f>
        <v>0.63095734448019325</v>
      </c>
      <c r="C12" s="41">
        <f>POWER(10,$C$10/20)/(C11/1000000)/1000000</f>
        <v>0.8412764593069243</v>
      </c>
      <c r="D12" s="41">
        <f>POWER(10,$C$10/20)/(B11/1000000)/1000000</f>
        <v>1.1471951717821696</v>
      </c>
      <c r="E12" s="43" t="s">
        <v>88</v>
      </c>
      <c r="F12" s="38" t="s">
        <v>51</v>
      </c>
      <c r="G12" s="39"/>
      <c r="H12" s="39"/>
      <c r="I12" s="40"/>
    </row>
    <row r="13" spans="1:9" x14ac:dyDescent="0.3">
      <c r="A13" s="35" t="s">
        <v>0</v>
      </c>
      <c r="B13" s="42" t="s">
        <v>24</v>
      </c>
      <c r="C13" s="120">
        <v>2.85</v>
      </c>
      <c r="D13" s="42" t="s">
        <v>24</v>
      </c>
      <c r="E13" s="43" t="s">
        <v>3</v>
      </c>
      <c r="F13" s="38" t="s">
        <v>60</v>
      </c>
      <c r="G13" s="39"/>
      <c r="H13" s="39"/>
      <c r="I13" s="40"/>
    </row>
    <row r="14" spans="1:9" x14ac:dyDescent="0.3">
      <c r="A14" s="35" t="s">
        <v>214</v>
      </c>
      <c r="B14" s="141">
        <v>0.245</v>
      </c>
      <c r="C14" s="42" t="s">
        <v>24</v>
      </c>
      <c r="D14" s="141">
        <v>0.505</v>
      </c>
      <c r="E14" s="43" t="s">
        <v>17</v>
      </c>
      <c r="F14" s="38" t="s">
        <v>58</v>
      </c>
      <c r="G14" s="39"/>
      <c r="H14" s="39"/>
      <c r="I14" s="40"/>
    </row>
    <row r="15" spans="1:9" x14ac:dyDescent="0.3">
      <c r="A15" s="35" t="s">
        <v>41</v>
      </c>
      <c r="B15" s="42">
        <v>-10</v>
      </c>
      <c r="C15" s="42" t="s">
        <v>24</v>
      </c>
      <c r="D15" s="42">
        <v>10</v>
      </c>
      <c r="E15" s="43" t="s">
        <v>26</v>
      </c>
      <c r="F15" s="38" t="s">
        <v>58</v>
      </c>
      <c r="G15" s="39"/>
      <c r="H15" s="39"/>
      <c r="I15" s="40"/>
    </row>
    <row r="16" spans="1:9" ht="15.6" x14ac:dyDescent="0.35">
      <c r="A16" s="35" t="s">
        <v>115</v>
      </c>
      <c r="B16" s="42" t="s">
        <v>24</v>
      </c>
      <c r="C16" s="42">
        <v>100</v>
      </c>
      <c r="D16" s="37">
        <v>140</v>
      </c>
      <c r="E16" s="43" t="s">
        <v>4</v>
      </c>
      <c r="F16" s="38" t="s">
        <v>113</v>
      </c>
      <c r="G16" s="39"/>
      <c r="H16" s="39"/>
      <c r="I16" s="40"/>
    </row>
    <row r="17" spans="1:9" ht="15.6" x14ac:dyDescent="0.35">
      <c r="A17" s="35" t="s">
        <v>116</v>
      </c>
      <c r="B17" s="42" t="s">
        <v>24</v>
      </c>
      <c r="C17" s="42">
        <v>100</v>
      </c>
      <c r="D17" s="37">
        <v>200</v>
      </c>
      <c r="E17" s="43" t="s">
        <v>4</v>
      </c>
      <c r="F17" s="38" t="s">
        <v>114</v>
      </c>
      <c r="G17" s="39"/>
      <c r="H17" s="39"/>
      <c r="I17" s="40"/>
    </row>
    <row r="18" spans="1:9" x14ac:dyDescent="0.3">
      <c r="A18" s="35" t="s">
        <v>211</v>
      </c>
      <c r="B18" s="42" t="s">
        <v>24</v>
      </c>
      <c r="C18" s="114">
        <v>3</v>
      </c>
      <c r="D18" s="42" t="s">
        <v>24</v>
      </c>
      <c r="E18" s="43" t="s">
        <v>5</v>
      </c>
      <c r="F18" s="38" t="s">
        <v>60</v>
      </c>
      <c r="G18" s="39"/>
      <c r="H18" s="39"/>
      <c r="I18" s="40"/>
    </row>
    <row r="19" spans="1:9" x14ac:dyDescent="0.3">
      <c r="A19" s="35" t="s">
        <v>110</v>
      </c>
      <c r="B19" s="42" t="s">
        <v>24</v>
      </c>
      <c r="C19" s="42" t="s">
        <v>24</v>
      </c>
      <c r="D19" s="42">
        <v>115</v>
      </c>
      <c r="E19" s="43" t="s">
        <v>109</v>
      </c>
      <c r="F19" s="38" t="s">
        <v>59</v>
      </c>
      <c r="G19" s="39"/>
      <c r="H19" s="39"/>
      <c r="I19" s="40"/>
    </row>
    <row r="20" spans="1:9" x14ac:dyDescent="0.3">
      <c r="A20" s="35" t="s">
        <v>118</v>
      </c>
      <c r="B20" s="42" t="s">
        <v>24</v>
      </c>
      <c r="C20" s="42">
        <v>0.64</v>
      </c>
      <c r="D20" s="42" t="s">
        <v>24</v>
      </c>
      <c r="E20" s="43" t="s">
        <v>119</v>
      </c>
      <c r="F20" s="38" t="s">
        <v>59</v>
      </c>
      <c r="G20" s="39"/>
      <c r="H20" s="39"/>
      <c r="I20" s="40"/>
    </row>
    <row r="21" spans="1:9" ht="15.6" x14ac:dyDescent="0.35">
      <c r="A21" s="35" t="s">
        <v>194</v>
      </c>
      <c r="B21" s="42" t="s">
        <v>24</v>
      </c>
      <c r="C21" s="43">
        <v>5</v>
      </c>
      <c r="D21" s="42" t="s">
        <v>24</v>
      </c>
      <c r="E21" s="43" t="s">
        <v>2</v>
      </c>
      <c r="F21" s="38" t="s">
        <v>59</v>
      </c>
      <c r="G21" s="39"/>
      <c r="H21" s="39"/>
      <c r="I21" s="40"/>
    </row>
    <row r="22" spans="1:9" x14ac:dyDescent="0.3">
      <c r="A22" s="35" t="s">
        <v>23</v>
      </c>
      <c r="B22" s="42" t="s">
        <v>24</v>
      </c>
      <c r="C22" s="42" t="s">
        <v>24</v>
      </c>
      <c r="D22" s="43">
        <v>5</v>
      </c>
      <c r="E22" s="43" t="s">
        <v>9</v>
      </c>
      <c r="F22" s="38" t="s">
        <v>59</v>
      </c>
      <c r="G22" s="39"/>
      <c r="H22" s="39"/>
      <c r="I22" s="40"/>
    </row>
    <row r="23" spans="1:9" x14ac:dyDescent="0.3">
      <c r="A23" s="35" t="s">
        <v>7</v>
      </c>
      <c r="B23" s="42" t="s">
        <v>24</v>
      </c>
      <c r="C23" s="45">
        <v>1.38</v>
      </c>
      <c r="D23" s="42" t="s">
        <v>24</v>
      </c>
      <c r="E23" s="43" t="s">
        <v>6</v>
      </c>
      <c r="F23" s="38" t="s">
        <v>197</v>
      </c>
      <c r="G23" s="39"/>
      <c r="H23" s="39"/>
      <c r="I23" s="40"/>
    </row>
    <row r="24" spans="1:9" x14ac:dyDescent="0.3">
      <c r="A24" s="35" t="s">
        <v>8</v>
      </c>
      <c r="B24" s="42" t="s">
        <v>24</v>
      </c>
      <c r="C24" s="45">
        <v>1.85</v>
      </c>
      <c r="D24" s="42" t="s">
        <v>24</v>
      </c>
      <c r="E24" s="43" t="s">
        <v>6</v>
      </c>
      <c r="F24" s="38" t="s">
        <v>197</v>
      </c>
      <c r="G24" s="39"/>
      <c r="H24" s="39"/>
      <c r="I24" s="40"/>
    </row>
    <row r="25" spans="1:9" x14ac:dyDescent="0.3">
      <c r="A25" s="35" t="s">
        <v>40</v>
      </c>
      <c r="B25" s="42" t="s">
        <v>24</v>
      </c>
      <c r="C25" s="43">
        <v>20</v>
      </c>
      <c r="D25" s="42" t="s">
        <v>24</v>
      </c>
      <c r="E25" s="43" t="s">
        <v>121</v>
      </c>
      <c r="F25" s="38" t="s">
        <v>60</v>
      </c>
      <c r="G25" s="39"/>
      <c r="H25" s="39"/>
      <c r="I25" s="40"/>
    </row>
    <row r="26" spans="1:9" x14ac:dyDescent="0.3">
      <c r="A26" s="35" t="s">
        <v>63</v>
      </c>
      <c r="B26" s="42" t="s">
        <v>24</v>
      </c>
      <c r="C26" s="43">
        <v>330</v>
      </c>
      <c r="D26" s="42" t="s">
        <v>24</v>
      </c>
      <c r="E26" s="43" t="s">
        <v>21</v>
      </c>
      <c r="F26" s="38" t="s">
        <v>60</v>
      </c>
      <c r="G26" s="39"/>
      <c r="H26" s="39"/>
      <c r="I26" s="40"/>
    </row>
    <row r="27" spans="1:9" ht="15.6" x14ac:dyDescent="0.35">
      <c r="A27" s="35">
        <v>5</v>
      </c>
      <c r="B27" s="45">
        <v>2.8</v>
      </c>
      <c r="C27" s="42" t="s">
        <v>24</v>
      </c>
      <c r="D27" s="42" t="s">
        <v>24</v>
      </c>
      <c r="E27" s="43" t="s">
        <v>13</v>
      </c>
      <c r="F27" s="38" t="s">
        <v>195</v>
      </c>
      <c r="G27" s="39"/>
      <c r="H27" s="39"/>
      <c r="I27" s="40"/>
    </row>
    <row r="28" spans="1:9" ht="15.6" x14ac:dyDescent="0.35">
      <c r="A28" s="35">
        <v>90</v>
      </c>
      <c r="B28" s="45">
        <v>2.2999999999999998</v>
      </c>
      <c r="C28" s="42" t="s">
        <v>24</v>
      </c>
      <c r="D28" s="42" t="s">
        <v>24</v>
      </c>
      <c r="E28" s="43" t="s">
        <v>13</v>
      </c>
      <c r="F28" s="38" t="s">
        <v>196</v>
      </c>
      <c r="G28" s="39"/>
      <c r="H28" s="39"/>
      <c r="I28" s="40"/>
    </row>
    <row r="29" spans="1:9" x14ac:dyDescent="0.3">
      <c r="A29" s="117" t="s">
        <v>156</v>
      </c>
      <c r="B29" s="42" t="s">
        <v>24</v>
      </c>
      <c r="C29" s="118">
        <v>-5.8999999999999999E-3</v>
      </c>
      <c r="D29" s="42" t="s">
        <v>24</v>
      </c>
      <c r="E29" s="43" t="s">
        <v>158</v>
      </c>
      <c r="F29" s="38" t="s">
        <v>198</v>
      </c>
      <c r="G29" s="39"/>
      <c r="H29" s="39"/>
      <c r="I29" s="40"/>
    </row>
    <row r="30" spans="1:9" x14ac:dyDescent="0.3">
      <c r="A30" s="117" t="s">
        <v>157</v>
      </c>
      <c r="B30" s="42" t="s">
        <v>24</v>
      </c>
      <c r="C30" s="118">
        <v>2.8294000000000001</v>
      </c>
      <c r="D30" s="42" t="s">
        <v>24</v>
      </c>
      <c r="E30" s="43" t="s">
        <v>13</v>
      </c>
      <c r="F30" s="38" t="s">
        <v>199</v>
      </c>
      <c r="G30" s="39"/>
      <c r="H30" s="39"/>
      <c r="I30" s="40"/>
    </row>
    <row r="31" spans="1:9" ht="15" thickBot="1" x14ac:dyDescent="0.35">
      <c r="A31" s="189" t="s">
        <v>245</v>
      </c>
      <c r="B31" s="46" t="s">
        <v>24</v>
      </c>
      <c r="C31" s="119">
        <v>0.39300000000000002</v>
      </c>
      <c r="D31" s="46" t="s">
        <v>24</v>
      </c>
      <c r="E31" s="47" t="s">
        <v>246</v>
      </c>
      <c r="F31" s="48" t="s">
        <v>253</v>
      </c>
      <c r="G31" s="49"/>
      <c r="H31" s="49"/>
      <c r="I31" s="50"/>
    </row>
    <row r="32" spans="1:9" ht="15" thickBot="1" x14ac:dyDescent="0.35"/>
    <row r="33" spans="1:7" s="12" customFormat="1" ht="18" customHeight="1" x14ac:dyDescent="0.3">
      <c r="A33" s="51" t="s">
        <v>313</v>
      </c>
      <c r="B33" s="52"/>
      <c r="C33" s="52"/>
      <c r="D33" s="52"/>
      <c r="E33" s="52"/>
      <c r="F33" s="53"/>
      <c r="G33" s="54"/>
    </row>
    <row r="34" spans="1:7" x14ac:dyDescent="0.3">
      <c r="A34" s="35" t="s">
        <v>123</v>
      </c>
      <c r="B34" s="43">
        <v>3.3</v>
      </c>
      <c r="C34" s="43" t="s">
        <v>2</v>
      </c>
      <c r="D34" s="55" t="s">
        <v>136</v>
      </c>
      <c r="E34" s="43"/>
      <c r="F34" s="39"/>
      <c r="G34" s="40"/>
    </row>
    <row r="35" spans="1:7" ht="15.6" x14ac:dyDescent="0.35">
      <c r="A35" s="35" t="s">
        <v>171</v>
      </c>
      <c r="B35" s="43">
        <v>2</v>
      </c>
      <c r="C35" s="43" t="s">
        <v>13</v>
      </c>
      <c r="D35" s="55" t="s">
        <v>172</v>
      </c>
      <c r="E35" s="43"/>
      <c r="F35" s="39"/>
      <c r="G35" s="40"/>
    </row>
    <row r="36" spans="1:7" x14ac:dyDescent="0.3">
      <c r="A36" s="35" t="s">
        <v>128</v>
      </c>
      <c r="B36" s="43">
        <v>1.1000000000000001</v>
      </c>
      <c r="C36" s="43" t="s">
        <v>13</v>
      </c>
      <c r="D36" s="55" t="s">
        <v>164</v>
      </c>
      <c r="E36" s="43"/>
      <c r="F36" s="39"/>
      <c r="G36" s="40"/>
    </row>
    <row r="37" spans="1:7" ht="15.6" x14ac:dyDescent="0.35">
      <c r="A37" s="35" t="s">
        <v>173</v>
      </c>
      <c r="B37" s="114">
        <f>100*B36/B35</f>
        <v>55.000000000000007</v>
      </c>
      <c r="C37" s="43" t="s">
        <v>26</v>
      </c>
      <c r="D37" s="55" t="s">
        <v>176</v>
      </c>
      <c r="E37" s="43"/>
      <c r="F37" s="39"/>
      <c r="G37" s="40"/>
    </row>
    <row r="38" spans="1:7" x14ac:dyDescent="0.3">
      <c r="A38" s="35" t="s">
        <v>124</v>
      </c>
      <c r="B38" s="43">
        <v>0.5</v>
      </c>
      <c r="C38" s="42" t="s">
        <v>24</v>
      </c>
      <c r="D38" s="55" t="s">
        <v>177</v>
      </c>
      <c r="E38" s="43"/>
      <c r="F38" s="39"/>
      <c r="G38" s="40"/>
    </row>
    <row r="39" spans="1:7" ht="15.6" x14ac:dyDescent="0.35">
      <c r="A39" s="35" t="s">
        <v>138</v>
      </c>
      <c r="B39" s="43">
        <v>2</v>
      </c>
      <c r="C39" s="43" t="s">
        <v>17</v>
      </c>
      <c r="D39" s="55" t="s">
        <v>139</v>
      </c>
      <c r="E39" s="43"/>
      <c r="F39" s="39"/>
      <c r="G39" s="40"/>
    </row>
    <row r="40" spans="1:7" x14ac:dyDescent="0.3">
      <c r="A40" s="35" t="s">
        <v>129</v>
      </c>
      <c r="B40" s="43">
        <v>128</v>
      </c>
      <c r="C40" s="43" t="s">
        <v>21</v>
      </c>
      <c r="D40" s="55" t="s">
        <v>310</v>
      </c>
      <c r="E40" s="43"/>
      <c r="F40" s="39"/>
      <c r="G40" s="40"/>
    </row>
    <row r="41" spans="1:7" x14ac:dyDescent="0.3">
      <c r="A41" s="35" t="s">
        <v>125</v>
      </c>
      <c r="B41" s="43">
        <v>10</v>
      </c>
      <c r="C41" s="43" t="s">
        <v>26</v>
      </c>
      <c r="D41" s="55" t="s">
        <v>137</v>
      </c>
      <c r="E41" s="43"/>
      <c r="F41" s="39"/>
      <c r="G41" s="40"/>
    </row>
    <row r="42" spans="1:7" x14ac:dyDescent="0.3">
      <c r="A42" s="35" t="s">
        <v>28</v>
      </c>
      <c r="B42" s="114">
        <v>6</v>
      </c>
      <c r="C42" s="43" t="s">
        <v>126</v>
      </c>
      <c r="D42" s="55" t="s">
        <v>130</v>
      </c>
      <c r="E42" s="43"/>
      <c r="F42" s="39"/>
      <c r="G42" s="40"/>
    </row>
    <row r="43" spans="1:7" x14ac:dyDescent="0.3">
      <c r="A43" s="35" t="s">
        <v>29</v>
      </c>
      <c r="B43" s="43">
        <v>1.8</v>
      </c>
      <c r="C43" s="43" t="s">
        <v>30</v>
      </c>
      <c r="D43" s="55" t="s">
        <v>130</v>
      </c>
      <c r="E43" s="43"/>
      <c r="F43" s="39"/>
      <c r="G43" s="40"/>
    </row>
    <row r="44" spans="1:7" x14ac:dyDescent="0.3">
      <c r="A44" s="35" t="s">
        <v>312</v>
      </c>
      <c r="B44" s="114">
        <v>0.8</v>
      </c>
      <c r="C44" s="45">
        <v>22</v>
      </c>
      <c r="D44" s="42" t="s">
        <v>179</v>
      </c>
      <c r="E44" s="55" t="s">
        <v>131</v>
      </c>
      <c r="F44" s="39"/>
      <c r="G44" s="40"/>
    </row>
    <row r="45" spans="1:7" x14ac:dyDescent="0.3">
      <c r="A45" s="35" t="s">
        <v>312</v>
      </c>
      <c r="B45" s="114">
        <v>2</v>
      </c>
      <c r="C45" s="45">
        <v>21.8</v>
      </c>
      <c r="D45" s="42" t="s">
        <v>179</v>
      </c>
      <c r="E45" s="55" t="s">
        <v>131</v>
      </c>
      <c r="F45" s="39"/>
      <c r="G45" s="40"/>
    </row>
    <row r="46" spans="1:7" x14ac:dyDescent="0.3">
      <c r="A46" s="35" t="s">
        <v>312</v>
      </c>
      <c r="B46" s="114">
        <v>3.3</v>
      </c>
      <c r="C46" s="45">
        <v>21.2</v>
      </c>
      <c r="D46" s="42" t="s">
        <v>179</v>
      </c>
      <c r="E46" s="55" t="s">
        <v>131</v>
      </c>
      <c r="F46" s="39"/>
      <c r="G46" s="40"/>
    </row>
    <row r="47" spans="1:7" x14ac:dyDescent="0.3">
      <c r="A47" s="35" t="s">
        <v>312</v>
      </c>
      <c r="B47" s="114">
        <v>5</v>
      </c>
      <c r="C47" s="45">
        <v>19.899999999999999</v>
      </c>
      <c r="D47" s="42" t="s">
        <v>179</v>
      </c>
      <c r="E47" s="55" t="s">
        <v>131</v>
      </c>
      <c r="F47" s="39"/>
      <c r="G47" s="40"/>
    </row>
    <row r="48" spans="1:7" x14ac:dyDescent="0.3">
      <c r="A48" s="35" t="s">
        <v>312</v>
      </c>
      <c r="B48" s="114">
        <v>8</v>
      </c>
      <c r="C48" s="45">
        <v>16.899999999999999</v>
      </c>
      <c r="D48" s="42" t="s">
        <v>179</v>
      </c>
      <c r="E48" s="55" t="s">
        <v>131</v>
      </c>
      <c r="F48" s="39"/>
      <c r="G48" s="40"/>
    </row>
    <row r="49" spans="1:7" ht="16.2" x14ac:dyDescent="0.3">
      <c r="A49" s="88" t="s">
        <v>134</v>
      </c>
      <c r="B49" s="89" t="s">
        <v>24</v>
      </c>
      <c r="C49" s="90">
        <v>7.1999999999999998E-3</v>
      </c>
      <c r="D49" s="89" t="s">
        <v>180</v>
      </c>
      <c r="E49" s="91" t="s">
        <v>161</v>
      </c>
      <c r="F49" s="92"/>
      <c r="G49" s="93"/>
    </row>
    <row r="50" spans="1:7" ht="16.2" x14ac:dyDescent="0.3">
      <c r="A50" s="88" t="s">
        <v>134</v>
      </c>
      <c r="B50" s="89" t="s">
        <v>24</v>
      </c>
      <c r="C50" s="90">
        <v>-0.16980000000000001</v>
      </c>
      <c r="D50" s="89" t="s">
        <v>182</v>
      </c>
      <c r="E50" s="91" t="s">
        <v>162</v>
      </c>
      <c r="F50" s="92"/>
      <c r="G50" s="93"/>
    </row>
    <row r="51" spans="1:7" x14ac:dyDescent="0.3">
      <c r="A51" s="88" t="s">
        <v>134</v>
      </c>
      <c r="B51" s="89" t="s">
        <v>24</v>
      </c>
      <c r="C51" s="90">
        <v>0.27129999999999999</v>
      </c>
      <c r="D51" s="89" t="s">
        <v>181</v>
      </c>
      <c r="E51" s="91" t="s">
        <v>163</v>
      </c>
      <c r="F51" s="92"/>
      <c r="G51" s="93"/>
    </row>
    <row r="52" spans="1:7" ht="15" thickBot="1" x14ac:dyDescent="0.35">
      <c r="A52" s="94" t="s">
        <v>134</v>
      </c>
      <c r="B52" s="95" t="s">
        <v>24</v>
      </c>
      <c r="C52" s="96">
        <v>21.885999999999999</v>
      </c>
      <c r="D52" s="95" t="s">
        <v>127</v>
      </c>
      <c r="E52" s="97" t="s">
        <v>183</v>
      </c>
      <c r="F52" s="98"/>
      <c r="G52" s="99"/>
    </row>
  </sheetData>
  <sheetProtection algorithmName="SHA-512" hashValue="7M2wBhrim4fvtzIR46RYfqLvSxPY4p2P3IcX5MbWDhcccIQfy85mME1aEKvdw0zMbT6SxSeNcCNgdZBgiWYEcQ==" saltValue="Yh8ZSCz2x5kEcGpbOqcY9Q==" spinCount="100000" sheet="1" objects="1" scenarios="1"/>
  <mergeCells count="2">
    <mergeCell ref="F2:I2"/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Design</vt:lpstr>
      <vt:lpstr>Snubber</vt:lpstr>
      <vt:lpstr>Efficiency</vt:lpstr>
      <vt:lpstr>Dropout</vt:lpstr>
      <vt:lpstr>Constants</vt:lpstr>
      <vt:lpstr>Design!Print_Area</vt:lpstr>
      <vt:lpstr>Snubber!Print_Area</vt:lpstr>
    </vt:vector>
  </TitlesOfParts>
  <Company>Allegro MicroSystems,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J. Reicher</dc:creator>
  <cp:lastModifiedBy>Eric J Reicher</cp:lastModifiedBy>
  <cp:lastPrinted>2012-02-02T03:45:48Z</cp:lastPrinted>
  <dcterms:created xsi:type="dcterms:W3CDTF">2012-01-10T15:56:57Z</dcterms:created>
  <dcterms:modified xsi:type="dcterms:W3CDTF">2015-09-08T16:55:27Z</dcterms:modified>
</cp:coreProperties>
</file>