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5" yWindow="210" windowWidth="18975" windowHeight="9915"/>
  </bookViews>
  <sheets>
    <sheet name="Design" sheetId="1" r:id="rId1"/>
    <sheet name="Snubber" sheetId="8" r:id="rId2"/>
    <sheet name="Efficiency" sheetId="12" r:id="rId3"/>
    <sheet name="Dropout" sheetId="7" r:id="rId4"/>
    <sheet name="Constants" sheetId="2" r:id="rId5"/>
  </sheets>
  <definedNames>
    <definedName name="C_f1">#REF!</definedName>
    <definedName name="C_f2">#REF!</definedName>
    <definedName name="c_s1">#REF!</definedName>
    <definedName name="C_s2">#REF!</definedName>
    <definedName name="E12_f">#REF!</definedName>
    <definedName name="E12_s">#REF!</definedName>
    <definedName name="E24_f">#REF!</definedName>
    <definedName name="E24_s">#REF!</definedName>
    <definedName name="E48_f">#REF!</definedName>
    <definedName name="E48_s">#REF!</definedName>
    <definedName name="E6_f">#REF!</definedName>
    <definedName name="E6_s">#REF!</definedName>
    <definedName name="E96_f">#REF!</definedName>
    <definedName name="E96_s">#REF!</definedName>
    <definedName name="_xlnm.Print_Area" localSheetId="0">Design!$A$1:$I$83</definedName>
    <definedName name="_xlnm.Print_Area" localSheetId="1">Snubber!$A$1:$I$34</definedName>
    <definedName name="Vout">#REF!</definedName>
    <definedName name="Vref">#REF!</definedName>
  </definedNames>
  <calcPr calcId="145621" iterate="1"/>
</workbook>
</file>

<file path=xl/calcChain.xml><?xml version="1.0" encoding="utf-8"?>
<calcChain xmlns="http://schemas.openxmlformats.org/spreadsheetml/2006/main">
  <c r="C119" i="7" l="1"/>
  <c r="C118" i="7"/>
  <c r="C117" i="7"/>
  <c r="AK48" i="7"/>
  <c r="AK49" i="7"/>
  <c r="AK50" i="7"/>
  <c r="AK51" i="7"/>
  <c r="AK52" i="7"/>
  <c r="AK53" i="7"/>
  <c r="AK54" i="7"/>
  <c r="AK55" i="7"/>
  <c r="AK56" i="7"/>
  <c r="AK57" i="7"/>
  <c r="AK58" i="7"/>
  <c r="AK59" i="7"/>
  <c r="AK60" i="7"/>
  <c r="AK61" i="7"/>
  <c r="AK62" i="7"/>
  <c r="AK63" i="7"/>
  <c r="AK64" i="7"/>
  <c r="AK65" i="7"/>
  <c r="AK66" i="7"/>
  <c r="AK67" i="7"/>
  <c r="AK68" i="7"/>
  <c r="AK69" i="7"/>
  <c r="AK70" i="7"/>
  <c r="AK71" i="7"/>
  <c r="AK72" i="7"/>
  <c r="AK73" i="7"/>
  <c r="AK74" i="7"/>
  <c r="AK75" i="7"/>
  <c r="AK76" i="7"/>
  <c r="AK77" i="7"/>
  <c r="AK78" i="7"/>
  <c r="AK79" i="7"/>
  <c r="AK80" i="7"/>
  <c r="AK81" i="7"/>
  <c r="AK82" i="7"/>
  <c r="AK83" i="7"/>
  <c r="AK84" i="7"/>
  <c r="AK85" i="7"/>
  <c r="AK86" i="7"/>
  <c r="AK87" i="7"/>
  <c r="AK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47" i="7"/>
  <c r="AK37" i="7"/>
  <c r="AK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AK36" i="7"/>
  <c r="AK38" i="7"/>
  <c r="AK39" i="7"/>
  <c r="AK40" i="7"/>
  <c r="AK41" i="7"/>
  <c r="AK42" i="7"/>
  <c r="AK43" i="7"/>
  <c r="AK4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AK4" i="7"/>
  <c r="V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" i="7"/>
  <c r="AG4" i="7" l="1"/>
  <c r="R4" i="7"/>
  <c r="C4" i="7"/>
  <c r="AG6" i="7"/>
  <c r="AG7" i="7" s="1"/>
  <c r="AG8" i="7" s="1"/>
  <c r="AG9" i="7" s="1"/>
  <c r="AG10" i="7" s="1"/>
  <c r="AG11" i="7" s="1"/>
  <c r="AG12" i="7" s="1"/>
  <c r="AG13" i="7" s="1"/>
  <c r="AG14" i="7" s="1"/>
  <c r="AG15" i="7" s="1"/>
  <c r="AG16" i="7" s="1"/>
  <c r="AG17" i="7" s="1"/>
  <c r="AG18" i="7" s="1"/>
  <c r="AG19" i="7" s="1"/>
  <c r="AG20" i="7" s="1"/>
  <c r="AG21" i="7" s="1"/>
  <c r="AG22" i="7" s="1"/>
  <c r="AG23" i="7" s="1"/>
  <c r="AG24" i="7" s="1"/>
  <c r="AG25" i="7" s="1"/>
  <c r="AG26" i="7" s="1"/>
  <c r="AG27" i="7" s="1"/>
  <c r="AG28" i="7" s="1"/>
  <c r="AG29" i="7" s="1"/>
  <c r="AG30" i="7" s="1"/>
  <c r="AG31" i="7" s="1"/>
  <c r="AG32" i="7" s="1"/>
  <c r="AG33" i="7" s="1"/>
  <c r="AG34" i="7" s="1"/>
  <c r="AG35" i="7" s="1"/>
  <c r="AG36" i="7" s="1"/>
  <c r="AG37" i="7" s="1"/>
  <c r="AG38" i="7" s="1"/>
  <c r="AG39" i="7" s="1"/>
  <c r="AG40" i="7" s="1"/>
  <c r="AG41" i="7" s="1"/>
  <c r="AG42" i="7" s="1"/>
  <c r="AG43" i="7" s="1"/>
  <c r="AG44" i="7" s="1"/>
  <c r="AG5" i="7"/>
  <c r="R5" i="7"/>
  <c r="R6" i="7" s="1"/>
  <c r="R7" i="7" s="1"/>
  <c r="C6" i="7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5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J4" i="7"/>
  <c r="H4" i="7"/>
  <c r="Y4" i="7"/>
  <c r="W4" i="7"/>
  <c r="R8" i="7" l="1"/>
  <c r="W7" i="7"/>
  <c r="W6" i="7"/>
  <c r="W5" i="7"/>
  <c r="R9" i="7" l="1"/>
  <c r="W8" i="7"/>
  <c r="R10" i="7" l="1"/>
  <c r="W9" i="7"/>
  <c r="R11" i="7" l="1"/>
  <c r="W10" i="7"/>
  <c r="W11" i="7" l="1"/>
  <c r="R12" i="7"/>
  <c r="R13" i="7" l="1"/>
  <c r="W12" i="7"/>
  <c r="R14" i="7" l="1"/>
  <c r="W13" i="7"/>
  <c r="R15" i="7" l="1"/>
  <c r="W14" i="7"/>
  <c r="R16" i="7" l="1"/>
  <c r="W15" i="7"/>
  <c r="W16" i="7" l="1"/>
  <c r="R17" i="7"/>
  <c r="R18" i="7" l="1"/>
  <c r="W17" i="7"/>
  <c r="R19" i="7" l="1"/>
  <c r="W18" i="7"/>
  <c r="R20" i="7" l="1"/>
  <c r="W19" i="7"/>
  <c r="W20" i="7" l="1"/>
  <c r="R21" i="7"/>
  <c r="R22" i="7" l="1"/>
  <c r="W21" i="7"/>
  <c r="R23" i="7" l="1"/>
  <c r="W22" i="7"/>
  <c r="R24" i="7" l="1"/>
  <c r="W23" i="7"/>
  <c r="R25" i="7" l="1"/>
  <c r="W24" i="7"/>
  <c r="R26" i="7" l="1"/>
  <c r="W25" i="7"/>
  <c r="W26" i="7" l="1"/>
  <c r="R27" i="7"/>
  <c r="R28" i="7" l="1"/>
  <c r="W27" i="7"/>
  <c r="W28" i="7" l="1"/>
  <c r="R29" i="7"/>
  <c r="R30" i="7" l="1"/>
  <c r="W29" i="7"/>
  <c r="R31" i="7" l="1"/>
  <c r="W30" i="7"/>
  <c r="W31" i="7" l="1"/>
  <c r="R32" i="7"/>
  <c r="R33" i="7" l="1"/>
  <c r="W32" i="7"/>
  <c r="R34" i="7" l="1"/>
  <c r="W33" i="7"/>
  <c r="R35" i="7" l="1"/>
  <c r="W34" i="7"/>
  <c r="W35" i="7" l="1"/>
  <c r="R36" i="7"/>
  <c r="R37" i="7" l="1"/>
  <c r="W36" i="7"/>
  <c r="R38" i="7" l="1"/>
  <c r="W37" i="7"/>
  <c r="R39" i="7" l="1"/>
  <c r="W38" i="7"/>
  <c r="R40" i="7" l="1"/>
  <c r="W39" i="7"/>
  <c r="W40" i="7" l="1"/>
  <c r="R41" i="7"/>
  <c r="R42" i="7" l="1"/>
  <c r="W41" i="7"/>
  <c r="B49" i="1"/>
  <c r="R43" i="7" l="1"/>
  <c r="W42" i="7"/>
  <c r="B62" i="1"/>
  <c r="B25" i="1"/>
  <c r="B23" i="1"/>
  <c r="W43" i="7" l="1"/>
  <c r="R44" i="7"/>
  <c r="W44" i="7" s="1"/>
  <c r="F4" i="1"/>
  <c r="H114" i="7"/>
  <c r="H113" i="7"/>
  <c r="B61" i="1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" i="7"/>
  <c r="A47" i="7"/>
  <c r="AU88" i="7"/>
  <c r="AP2" i="12"/>
  <c r="V2" i="12"/>
  <c r="AG20" i="12" s="1"/>
  <c r="B2" i="12"/>
  <c r="AP20" i="12"/>
  <c r="AP21" i="12" s="1"/>
  <c r="V20" i="12"/>
  <c r="V21" i="12" s="1"/>
  <c r="B20" i="12"/>
  <c r="B21" i="12" s="1"/>
  <c r="AP5" i="12"/>
  <c r="AP6" i="12" s="1"/>
  <c r="V5" i="12"/>
  <c r="V6" i="12" s="1"/>
  <c r="V7" i="12" s="1"/>
  <c r="B5" i="12"/>
  <c r="B6" i="12" s="1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G87" i="7"/>
  <c r="R87" i="7"/>
  <c r="C87" i="7"/>
  <c r="B87" i="7"/>
  <c r="AG86" i="7"/>
  <c r="R86" i="7"/>
  <c r="C86" i="7"/>
  <c r="AG85" i="7"/>
  <c r="R85" i="7"/>
  <c r="C85" i="7"/>
  <c r="AG84" i="7"/>
  <c r="R84" i="7"/>
  <c r="C84" i="7"/>
  <c r="AG83" i="7"/>
  <c r="R83" i="7"/>
  <c r="C83" i="7"/>
  <c r="AG82" i="7"/>
  <c r="R82" i="7"/>
  <c r="C82" i="7"/>
  <c r="AG81" i="7"/>
  <c r="R81" i="7"/>
  <c r="C81" i="7"/>
  <c r="AG80" i="7"/>
  <c r="R80" i="7"/>
  <c r="C80" i="7"/>
  <c r="AG79" i="7"/>
  <c r="R79" i="7"/>
  <c r="C79" i="7"/>
  <c r="AG78" i="7"/>
  <c r="R78" i="7"/>
  <c r="C78" i="7"/>
  <c r="AG77" i="7"/>
  <c r="R77" i="7"/>
  <c r="C77" i="7"/>
  <c r="AG76" i="7"/>
  <c r="R76" i="7"/>
  <c r="C76" i="7"/>
  <c r="AG75" i="7"/>
  <c r="R75" i="7"/>
  <c r="C75" i="7"/>
  <c r="AG74" i="7"/>
  <c r="R74" i="7"/>
  <c r="C74" i="7"/>
  <c r="AG73" i="7"/>
  <c r="R73" i="7"/>
  <c r="C73" i="7"/>
  <c r="AG72" i="7"/>
  <c r="R72" i="7"/>
  <c r="C72" i="7"/>
  <c r="AG71" i="7"/>
  <c r="R71" i="7"/>
  <c r="C71" i="7"/>
  <c r="AG70" i="7"/>
  <c r="R70" i="7"/>
  <c r="C70" i="7"/>
  <c r="AG69" i="7"/>
  <c r="R69" i="7"/>
  <c r="C69" i="7"/>
  <c r="AG68" i="7"/>
  <c r="R68" i="7"/>
  <c r="C68" i="7"/>
  <c r="AG67" i="7"/>
  <c r="R67" i="7"/>
  <c r="C67" i="7"/>
  <c r="AG66" i="7"/>
  <c r="R66" i="7"/>
  <c r="C66" i="7"/>
  <c r="AG65" i="7"/>
  <c r="R65" i="7"/>
  <c r="C65" i="7"/>
  <c r="AG64" i="7"/>
  <c r="R64" i="7"/>
  <c r="C64" i="7"/>
  <c r="AG63" i="7"/>
  <c r="R63" i="7"/>
  <c r="C63" i="7"/>
  <c r="AG62" i="7"/>
  <c r="R62" i="7"/>
  <c r="C62" i="7"/>
  <c r="AG61" i="7"/>
  <c r="R61" i="7"/>
  <c r="C61" i="7"/>
  <c r="AG60" i="7"/>
  <c r="R60" i="7"/>
  <c r="C60" i="7"/>
  <c r="AG59" i="7"/>
  <c r="R59" i="7"/>
  <c r="C59" i="7"/>
  <c r="AG58" i="7"/>
  <c r="R58" i="7"/>
  <c r="C58" i="7"/>
  <c r="AG57" i="7"/>
  <c r="R57" i="7"/>
  <c r="C57" i="7"/>
  <c r="AG56" i="7"/>
  <c r="R56" i="7"/>
  <c r="C56" i="7"/>
  <c r="AG55" i="7"/>
  <c r="R55" i="7"/>
  <c r="C55" i="7"/>
  <c r="AG54" i="7"/>
  <c r="R54" i="7"/>
  <c r="C54" i="7"/>
  <c r="AG53" i="7"/>
  <c r="R53" i="7"/>
  <c r="C53" i="7"/>
  <c r="AG52" i="7"/>
  <c r="R52" i="7"/>
  <c r="C52" i="7"/>
  <c r="AG51" i="7"/>
  <c r="R51" i="7"/>
  <c r="C51" i="7"/>
  <c r="AG50" i="7"/>
  <c r="R50" i="7"/>
  <c r="C50" i="7"/>
  <c r="AG49" i="7"/>
  <c r="R49" i="7"/>
  <c r="C49" i="7"/>
  <c r="AG48" i="7"/>
  <c r="R48" i="7"/>
  <c r="C48" i="7"/>
  <c r="AG47" i="7"/>
  <c r="R47" i="7"/>
  <c r="C47" i="7"/>
  <c r="B44" i="7"/>
  <c r="C5" i="8"/>
  <c r="B15" i="8" s="1"/>
  <c r="B12" i="8" l="1"/>
  <c r="B13" i="8" s="1"/>
  <c r="AG13" i="12"/>
  <c r="AG25" i="12"/>
  <c r="AG5" i="12"/>
  <c r="AG14" i="12"/>
  <c r="AG26" i="12"/>
  <c r="AG17" i="12"/>
  <c r="AG9" i="12"/>
  <c r="AG29" i="12"/>
  <c r="AG21" i="12"/>
  <c r="AG6" i="12"/>
  <c r="AG4" i="12"/>
  <c r="AG10" i="12"/>
  <c r="AG30" i="12"/>
  <c r="AG22" i="12"/>
  <c r="AG15" i="12"/>
  <c r="AG11" i="12"/>
  <c r="AG7" i="12"/>
  <c r="AG31" i="12"/>
  <c r="AG27" i="12"/>
  <c r="AG23" i="12"/>
  <c r="AG19" i="12"/>
  <c r="B86" i="7"/>
  <c r="B85" i="7" s="1"/>
  <c r="B84" i="7" s="1"/>
  <c r="AG16" i="12"/>
  <c r="AG12" i="12"/>
  <c r="AG8" i="12"/>
  <c r="AG32" i="12"/>
  <c r="AG28" i="12"/>
  <c r="AG24" i="12"/>
  <c r="BA6" i="12"/>
  <c r="BA10" i="12"/>
  <c r="BA23" i="12"/>
  <c r="BA14" i="12"/>
  <c r="BA27" i="12"/>
  <c r="BA4" i="12"/>
  <c r="BA31" i="12"/>
  <c r="M24" i="12"/>
  <c r="BA15" i="12"/>
  <c r="BA11" i="12"/>
  <c r="BA7" i="12"/>
  <c r="BA32" i="12"/>
  <c r="BA28" i="12"/>
  <c r="BA24" i="12"/>
  <c r="BA20" i="12"/>
  <c r="BA16" i="12"/>
  <c r="BA12" i="12"/>
  <c r="BA8" i="12"/>
  <c r="BA19" i="12"/>
  <c r="BA29" i="12"/>
  <c r="BA25" i="12"/>
  <c r="BA21" i="12"/>
  <c r="BA17" i="12"/>
  <c r="BA13" i="12"/>
  <c r="BA9" i="12"/>
  <c r="BA5" i="12"/>
  <c r="BA30" i="12"/>
  <c r="BA26" i="12"/>
  <c r="BA22" i="12"/>
  <c r="M15" i="12"/>
  <c r="M11" i="12"/>
  <c r="M7" i="12"/>
  <c r="M32" i="12"/>
  <c r="M28" i="12"/>
  <c r="M20" i="12"/>
  <c r="M19" i="12"/>
  <c r="M17" i="12"/>
  <c r="M13" i="12"/>
  <c r="M9" i="12"/>
  <c r="M5" i="12"/>
  <c r="M30" i="12"/>
  <c r="M26" i="12"/>
  <c r="M22" i="12"/>
  <c r="M16" i="12"/>
  <c r="M12" i="12"/>
  <c r="M8" i="12"/>
  <c r="M29" i="12"/>
  <c r="M25" i="12"/>
  <c r="M21" i="12"/>
  <c r="M4" i="12"/>
  <c r="M14" i="12"/>
  <c r="M10" i="12"/>
  <c r="M6" i="12"/>
  <c r="M31" i="12"/>
  <c r="M27" i="12"/>
  <c r="M23" i="12"/>
  <c r="V22" i="12"/>
  <c r="V23" i="12" s="1"/>
  <c r="B22" i="12"/>
  <c r="B7" i="12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AP22" i="12"/>
  <c r="AP23" i="12" s="1"/>
  <c r="AP7" i="12"/>
  <c r="AP8" i="12" s="1"/>
  <c r="V8" i="12"/>
  <c r="B43" i="7"/>
  <c r="B23" i="12" l="1"/>
  <c r="AP24" i="12"/>
  <c r="V24" i="12"/>
  <c r="AP9" i="12"/>
  <c r="V9" i="12"/>
  <c r="B83" i="7"/>
  <c r="B42" i="7"/>
  <c r="B35" i="2"/>
  <c r="B24" i="12" l="1"/>
  <c r="B25" i="12" s="1"/>
  <c r="AP25" i="12"/>
  <c r="V25" i="12"/>
  <c r="AP10" i="12"/>
  <c r="V10" i="12"/>
  <c r="B82" i="7"/>
  <c r="B41" i="7"/>
  <c r="B12" i="2"/>
  <c r="D12" i="2"/>
  <c r="C12" i="2"/>
  <c r="D4" i="2"/>
  <c r="B4" i="2"/>
  <c r="AP26" i="12" l="1"/>
  <c r="V26" i="12"/>
  <c r="B26" i="12"/>
  <c r="AP11" i="12"/>
  <c r="V11" i="12"/>
  <c r="B81" i="7"/>
  <c r="B40" i="7"/>
  <c r="C28" i="1"/>
  <c r="B28" i="1"/>
  <c r="D28" i="1"/>
  <c r="AP27" i="12" l="1"/>
  <c r="V27" i="12"/>
  <c r="B27" i="12"/>
  <c r="AP12" i="12"/>
  <c r="V12" i="12"/>
  <c r="B80" i="7"/>
  <c r="B79" i="7" s="1"/>
  <c r="B39" i="7"/>
  <c r="AP28" i="12" l="1"/>
  <c r="V28" i="12"/>
  <c r="B28" i="12"/>
  <c r="AP13" i="12"/>
  <c r="V13" i="12"/>
  <c r="B78" i="7"/>
  <c r="B38" i="7"/>
  <c r="AP29" i="12" l="1"/>
  <c r="V29" i="12"/>
  <c r="B29" i="12"/>
  <c r="AP14" i="12"/>
  <c r="V14" i="12"/>
  <c r="B77" i="7"/>
  <c r="B37" i="7"/>
  <c r="B30" i="12" l="1"/>
  <c r="AP30" i="12"/>
  <c r="V30" i="12"/>
  <c r="AP15" i="12"/>
  <c r="V15" i="12"/>
  <c r="B76" i="7"/>
  <c r="B36" i="7"/>
  <c r="B31" i="12" l="1"/>
  <c r="AP31" i="12"/>
  <c r="V31" i="12"/>
  <c r="AP16" i="12"/>
  <c r="V16" i="12"/>
  <c r="B75" i="7"/>
  <c r="B35" i="7"/>
  <c r="B32" i="12" l="1"/>
  <c r="AP32" i="12"/>
  <c r="V32" i="12"/>
  <c r="AP17" i="12"/>
  <c r="V17" i="12"/>
  <c r="B74" i="7"/>
  <c r="B34" i="7"/>
  <c r="B73" i="7" l="1"/>
  <c r="B33" i="7"/>
  <c r="B72" i="7" l="1"/>
  <c r="B32" i="7"/>
  <c r="B71" i="7" l="1"/>
  <c r="B31" i="7"/>
  <c r="B70" i="7" l="1"/>
  <c r="B30" i="7"/>
  <c r="B69" i="7" l="1"/>
  <c r="B29" i="7"/>
  <c r="B68" i="7" l="1"/>
  <c r="B28" i="7"/>
  <c r="B67" i="7" l="1"/>
  <c r="B27" i="7"/>
  <c r="B66" i="7" l="1"/>
  <c r="B26" i="7"/>
  <c r="B65" i="7" l="1"/>
  <c r="B25" i="7"/>
  <c r="B64" i="7" l="1"/>
  <c r="B24" i="7"/>
  <c r="B63" i="7" l="1"/>
  <c r="B23" i="7"/>
  <c r="B62" i="7" l="1"/>
  <c r="B22" i="7"/>
  <c r="B61" i="7" l="1"/>
  <c r="B21" i="7"/>
  <c r="B60" i="7" l="1"/>
  <c r="B20" i="7"/>
  <c r="B59" i="7" l="1"/>
  <c r="B19" i="7"/>
  <c r="B58" i="7" l="1"/>
  <c r="B18" i="7"/>
  <c r="B57" i="7" l="1"/>
  <c r="B17" i="7"/>
  <c r="B56" i="7" l="1"/>
  <c r="B16" i="7"/>
  <c r="B55" i="7" l="1"/>
  <c r="B15" i="7"/>
  <c r="B54" i="7" l="1"/>
  <c r="B14" i="7"/>
  <c r="B53" i="7" l="1"/>
  <c r="B13" i="7"/>
  <c r="B52" i="7" l="1"/>
  <c r="B12" i="7"/>
  <c r="B51" i="7" l="1"/>
  <c r="B11" i="7"/>
  <c r="B50" i="7" l="1"/>
  <c r="B10" i="7"/>
  <c r="B49" i="7" l="1"/>
  <c r="B9" i="7"/>
  <c r="B48" i="7" l="1"/>
  <c r="B8" i="7"/>
  <c r="B47" i="7" l="1"/>
  <c r="B7" i="7"/>
  <c r="B6" i="7" l="1"/>
  <c r="B5" i="7" l="1"/>
  <c r="B4" i="7" l="1"/>
  <c r="B33" i="1"/>
  <c r="B34" i="1"/>
  <c r="C34" i="1"/>
  <c r="B35" i="1"/>
  <c r="C35" i="1"/>
  <c r="B47" i="1"/>
  <c r="B57" i="1"/>
  <c r="B65" i="1"/>
  <c r="AN4" i="7"/>
  <c r="H5" i="7"/>
  <c r="J5" i="7"/>
  <c r="AL5" i="7"/>
  <c r="AN5" i="7"/>
  <c r="H6" i="7"/>
  <c r="J6" i="7"/>
  <c r="AL6" i="7"/>
  <c r="AN6" i="7"/>
  <c r="H7" i="7"/>
  <c r="J7" i="7"/>
  <c r="AL7" i="7"/>
  <c r="AN7" i="7"/>
  <c r="H8" i="7"/>
  <c r="J8" i="7"/>
  <c r="AL8" i="7"/>
  <c r="AN8" i="7"/>
  <c r="H9" i="7"/>
  <c r="J9" i="7"/>
  <c r="AL9" i="7"/>
  <c r="AN9" i="7"/>
  <c r="H10" i="7"/>
  <c r="J10" i="7"/>
  <c r="AL10" i="7"/>
  <c r="AN10" i="7"/>
  <c r="H11" i="7"/>
  <c r="J11" i="7"/>
  <c r="AL11" i="7"/>
  <c r="AN11" i="7"/>
  <c r="H12" i="7"/>
  <c r="J12" i="7"/>
  <c r="AL12" i="7"/>
  <c r="AN12" i="7"/>
  <c r="H13" i="7"/>
  <c r="J13" i="7"/>
  <c r="AL13" i="7"/>
  <c r="AN13" i="7"/>
  <c r="H14" i="7"/>
  <c r="J14" i="7"/>
  <c r="AL14" i="7"/>
  <c r="AN14" i="7"/>
  <c r="H15" i="7"/>
  <c r="J15" i="7"/>
  <c r="AL15" i="7"/>
  <c r="AN15" i="7"/>
  <c r="H16" i="7"/>
  <c r="J16" i="7"/>
  <c r="AL16" i="7"/>
  <c r="AN16" i="7"/>
  <c r="H17" i="7"/>
  <c r="J17" i="7"/>
  <c r="AL17" i="7"/>
  <c r="AN17" i="7"/>
  <c r="H18" i="7"/>
  <c r="J18" i="7"/>
  <c r="AL18" i="7"/>
  <c r="AN18" i="7"/>
  <c r="H19" i="7"/>
  <c r="J19" i="7"/>
  <c r="AL19" i="7"/>
  <c r="AN19" i="7"/>
  <c r="H20" i="7"/>
  <c r="J20" i="7"/>
  <c r="AL20" i="7"/>
  <c r="AN20" i="7"/>
  <c r="H21" i="7"/>
  <c r="J21" i="7"/>
  <c r="AL21" i="7"/>
  <c r="AN21" i="7"/>
  <c r="H22" i="7"/>
  <c r="J22" i="7"/>
  <c r="AL22" i="7"/>
  <c r="AN22" i="7"/>
  <c r="H23" i="7"/>
  <c r="J23" i="7"/>
  <c r="AL23" i="7"/>
  <c r="AN23" i="7"/>
  <c r="H24" i="7"/>
  <c r="J24" i="7"/>
  <c r="AL24" i="7"/>
  <c r="AN24" i="7"/>
  <c r="H25" i="7"/>
  <c r="J25" i="7"/>
  <c r="AL25" i="7"/>
  <c r="AN25" i="7"/>
  <c r="H26" i="7"/>
  <c r="J26" i="7"/>
  <c r="AL26" i="7"/>
  <c r="AN26" i="7"/>
  <c r="H27" i="7"/>
  <c r="J27" i="7"/>
  <c r="AL27" i="7"/>
  <c r="AN27" i="7"/>
  <c r="H28" i="7"/>
  <c r="J28" i="7"/>
  <c r="AL28" i="7"/>
  <c r="AN28" i="7"/>
  <c r="H29" i="7"/>
  <c r="J29" i="7"/>
  <c r="AL29" i="7"/>
  <c r="AN29" i="7"/>
  <c r="H30" i="7"/>
  <c r="J30" i="7"/>
  <c r="AL30" i="7"/>
  <c r="AN30" i="7"/>
  <c r="H31" i="7"/>
  <c r="J31" i="7"/>
  <c r="AL31" i="7"/>
  <c r="AN31" i="7"/>
  <c r="H32" i="7"/>
  <c r="J32" i="7"/>
  <c r="AL32" i="7"/>
  <c r="AN32" i="7"/>
  <c r="H33" i="7"/>
  <c r="J33" i="7"/>
  <c r="AL33" i="7"/>
  <c r="AN33" i="7"/>
  <c r="H34" i="7"/>
  <c r="J34" i="7"/>
  <c r="AL34" i="7"/>
  <c r="AN34" i="7"/>
  <c r="H35" i="7"/>
  <c r="J35" i="7"/>
  <c r="AL35" i="7"/>
  <c r="AN35" i="7"/>
  <c r="H36" i="7"/>
  <c r="J36" i="7"/>
  <c r="AL36" i="7"/>
  <c r="AN36" i="7"/>
  <c r="H37" i="7"/>
  <c r="J37" i="7"/>
  <c r="AL37" i="7"/>
  <c r="AN37" i="7"/>
  <c r="H38" i="7"/>
  <c r="J38" i="7"/>
  <c r="AL38" i="7"/>
  <c r="AN38" i="7"/>
  <c r="H39" i="7"/>
  <c r="J39" i="7"/>
  <c r="AL39" i="7"/>
  <c r="AN39" i="7"/>
  <c r="H40" i="7"/>
  <c r="J40" i="7"/>
  <c r="AL40" i="7"/>
  <c r="AN40" i="7"/>
  <c r="H41" i="7"/>
  <c r="J41" i="7"/>
  <c r="AL41" i="7"/>
  <c r="AN41" i="7"/>
  <c r="H42" i="7"/>
  <c r="J42" i="7"/>
  <c r="AL42" i="7"/>
  <c r="AN42" i="7"/>
  <c r="H43" i="7"/>
  <c r="J43" i="7"/>
  <c r="AL43" i="7"/>
  <c r="AN43" i="7"/>
  <c r="H44" i="7"/>
  <c r="J44" i="7"/>
  <c r="AL44" i="7"/>
  <c r="AN44" i="7"/>
  <c r="H47" i="7"/>
  <c r="J47" i="7"/>
  <c r="W47" i="7"/>
  <c r="Y47" i="7"/>
  <c r="AL47" i="7"/>
  <c r="AN47" i="7"/>
  <c r="H48" i="7"/>
  <c r="J48" i="7"/>
  <c r="W48" i="7"/>
  <c r="Y48" i="7"/>
  <c r="AL48" i="7"/>
  <c r="AN48" i="7"/>
  <c r="H49" i="7"/>
  <c r="J49" i="7"/>
  <c r="W49" i="7"/>
  <c r="Y49" i="7"/>
  <c r="AL49" i="7"/>
  <c r="AN49" i="7"/>
  <c r="H50" i="7"/>
  <c r="J50" i="7"/>
  <c r="W50" i="7"/>
  <c r="Y50" i="7"/>
  <c r="AL50" i="7"/>
  <c r="AN50" i="7"/>
  <c r="H51" i="7"/>
  <c r="J51" i="7"/>
  <c r="W51" i="7"/>
  <c r="Y51" i="7"/>
  <c r="AL51" i="7"/>
  <c r="AN51" i="7"/>
  <c r="H52" i="7"/>
  <c r="J52" i="7"/>
  <c r="W52" i="7"/>
  <c r="Y52" i="7"/>
  <c r="AL52" i="7"/>
  <c r="AN52" i="7"/>
  <c r="H53" i="7"/>
  <c r="J53" i="7"/>
  <c r="W53" i="7"/>
  <c r="Y53" i="7"/>
  <c r="AL53" i="7"/>
  <c r="AN53" i="7"/>
  <c r="H54" i="7"/>
  <c r="J54" i="7"/>
  <c r="W54" i="7"/>
  <c r="Y54" i="7"/>
  <c r="AL54" i="7"/>
  <c r="AN54" i="7"/>
  <c r="H55" i="7"/>
  <c r="J55" i="7"/>
  <c r="W55" i="7"/>
  <c r="Y55" i="7"/>
  <c r="AL55" i="7"/>
  <c r="AN55" i="7"/>
  <c r="H56" i="7"/>
  <c r="J56" i="7"/>
  <c r="W56" i="7"/>
  <c r="Y56" i="7"/>
  <c r="AL56" i="7"/>
  <c r="AN56" i="7"/>
  <c r="H57" i="7"/>
  <c r="J57" i="7"/>
  <c r="W57" i="7"/>
  <c r="Y57" i="7"/>
  <c r="AL57" i="7"/>
  <c r="AN57" i="7"/>
  <c r="H58" i="7"/>
  <c r="J58" i="7"/>
  <c r="W58" i="7"/>
  <c r="Y58" i="7"/>
  <c r="AL58" i="7"/>
  <c r="AN58" i="7"/>
  <c r="H59" i="7"/>
  <c r="J59" i="7"/>
  <c r="W59" i="7"/>
  <c r="Y59" i="7"/>
  <c r="AL59" i="7"/>
  <c r="AN59" i="7"/>
  <c r="H60" i="7"/>
  <c r="J60" i="7"/>
  <c r="W60" i="7"/>
  <c r="Y60" i="7"/>
  <c r="AL60" i="7"/>
  <c r="AN60" i="7"/>
  <c r="H61" i="7"/>
  <c r="J61" i="7"/>
  <c r="W61" i="7"/>
  <c r="Y61" i="7"/>
  <c r="AL61" i="7"/>
  <c r="AN61" i="7"/>
  <c r="H62" i="7"/>
  <c r="J62" i="7"/>
  <c r="W62" i="7"/>
  <c r="Y62" i="7"/>
  <c r="AL62" i="7"/>
  <c r="AN62" i="7"/>
  <c r="H63" i="7"/>
  <c r="J63" i="7"/>
  <c r="W63" i="7"/>
  <c r="Y63" i="7"/>
  <c r="AL63" i="7"/>
  <c r="AN63" i="7"/>
  <c r="H64" i="7"/>
  <c r="J64" i="7"/>
  <c r="W64" i="7"/>
  <c r="Y64" i="7"/>
  <c r="AL64" i="7"/>
  <c r="AN64" i="7"/>
  <c r="H65" i="7"/>
  <c r="J65" i="7"/>
  <c r="W65" i="7"/>
  <c r="Y65" i="7"/>
  <c r="AL65" i="7"/>
  <c r="AN65" i="7"/>
  <c r="H66" i="7"/>
  <c r="J66" i="7"/>
  <c r="W66" i="7"/>
  <c r="Y66" i="7"/>
  <c r="AL66" i="7"/>
  <c r="AN66" i="7"/>
  <c r="H67" i="7"/>
  <c r="J67" i="7"/>
  <c r="W67" i="7"/>
  <c r="Y67" i="7"/>
  <c r="AL67" i="7"/>
  <c r="AN67" i="7"/>
  <c r="H68" i="7"/>
  <c r="J68" i="7"/>
  <c r="W68" i="7"/>
  <c r="Y68" i="7"/>
  <c r="AL68" i="7"/>
  <c r="AN68" i="7"/>
  <c r="H69" i="7"/>
  <c r="J69" i="7"/>
  <c r="W69" i="7"/>
  <c r="Y69" i="7"/>
  <c r="AL69" i="7"/>
  <c r="AN69" i="7"/>
  <c r="H70" i="7"/>
  <c r="J70" i="7"/>
  <c r="W70" i="7"/>
  <c r="Y70" i="7"/>
  <c r="AL70" i="7"/>
  <c r="AN70" i="7"/>
  <c r="H71" i="7"/>
  <c r="J71" i="7"/>
  <c r="W71" i="7"/>
  <c r="Y71" i="7"/>
  <c r="AL71" i="7"/>
  <c r="AN71" i="7"/>
  <c r="H72" i="7"/>
  <c r="J72" i="7"/>
  <c r="W72" i="7"/>
  <c r="Y72" i="7"/>
  <c r="AL72" i="7"/>
  <c r="AN72" i="7"/>
  <c r="H73" i="7"/>
  <c r="J73" i="7"/>
  <c r="W73" i="7"/>
  <c r="Y73" i="7"/>
  <c r="AL73" i="7"/>
  <c r="AN73" i="7"/>
  <c r="H74" i="7"/>
  <c r="J74" i="7"/>
  <c r="W74" i="7"/>
  <c r="Y74" i="7"/>
  <c r="AL74" i="7"/>
  <c r="AN74" i="7"/>
  <c r="H75" i="7"/>
  <c r="J75" i="7"/>
  <c r="W75" i="7"/>
  <c r="Y75" i="7"/>
  <c r="AL75" i="7"/>
  <c r="AN75" i="7"/>
  <c r="H76" i="7"/>
  <c r="J76" i="7"/>
  <c r="W76" i="7"/>
  <c r="Y76" i="7"/>
  <c r="AL76" i="7"/>
  <c r="AN76" i="7"/>
  <c r="H77" i="7"/>
  <c r="J77" i="7"/>
  <c r="W77" i="7"/>
  <c r="Y77" i="7"/>
  <c r="AL77" i="7"/>
  <c r="AN77" i="7"/>
  <c r="H78" i="7"/>
  <c r="J78" i="7"/>
  <c r="W78" i="7"/>
  <c r="Y78" i="7"/>
  <c r="AL78" i="7"/>
  <c r="AN78" i="7"/>
  <c r="H79" i="7"/>
  <c r="J79" i="7"/>
  <c r="W79" i="7"/>
  <c r="Y79" i="7"/>
  <c r="AL79" i="7"/>
  <c r="AN79" i="7"/>
  <c r="H80" i="7"/>
  <c r="J80" i="7"/>
  <c r="W80" i="7"/>
  <c r="Y80" i="7"/>
  <c r="AL80" i="7"/>
  <c r="AN80" i="7"/>
  <c r="H81" i="7"/>
  <c r="J81" i="7"/>
  <c r="W81" i="7"/>
  <c r="Y81" i="7"/>
  <c r="AL81" i="7"/>
  <c r="AN81" i="7"/>
  <c r="H82" i="7"/>
  <c r="J82" i="7"/>
  <c r="W82" i="7"/>
  <c r="Y82" i="7"/>
  <c r="AL82" i="7"/>
  <c r="AN82" i="7"/>
  <c r="H83" i="7"/>
  <c r="J83" i="7"/>
  <c r="W83" i="7"/>
  <c r="Y83" i="7"/>
  <c r="AL83" i="7"/>
  <c r="AN83" i="7"/>
  <c r="H84" i="7"/>
  <c r="J84" i="7"/>
  <c r="W84" i="7"/>
  <c r="Y84" i="7"/>
  <c r="AL84" i="7"/>
  <c r="AN84" i="7"/>
  <c r="H85" i="7"/>
  <c r="J85" i="7"/>
  <c r="W85" i="7"/>
  <c r="Y85" i="7"/>
  <c r="AL85" i="7"/>
  <c r="AN85" i="7"/>
  <c r="H86" i="7"/>
  <c r="J86" i="7"/>
  <c r="W86" i="7"/>
  <c r="Y86" i="7"/>
  <c r="AL86" i="7"/>
  <c r="AN86" i="7"/>
  <c r="H87" i="7"/>
  <c r="J87" i="7"/>
  <c r="W87" i="7"/>
  <c r="Y87" i="7"/>
  <c r="AL87" i="7"/>
  <c r="AN87" i="7"/>
  <c r="F4" i="12"/>
  <c r="G4" i="12"/>
  <c r="I4" i="12"/>
  <c r="Z4" i="12"/>
  <c r="AA4" i="12"/>
  <c r="AC4" i="12"/>
  <c r="AT4" i="12"/>
  <c r="AU4" i="12"/>
  <c r="AW4" i="12"/>
  <c r="F5" i="12"/>
  <c r="G5" i="12"/>
  <c r="I5" i="12"/>
  <c r="Z5" i="12"/>
  <c r="AA5" i="12"/>
  <c r="AC5" i="12"/>
  <c r="AT5" i="12"/>
  <c r="AU5" i="12"/>
  <c r="AW5" i="12"/>
  <c r="F6" i="12"/>
  <c r="G6" i="12"/>
  <c r="I6" i="12"/>
  <c r="Z6" i="12"/>
  <c r="AA6" i="12"/>
  <c r="AC6" i="12"/>
  <c r="AT6" i="12"/>
  <c r="AU6" i="12"/>
  <c r="AW6" i="12"/>
  <c r="F7" i="12"/>
  <c r="G7" i="12"/>
  <c r="I7" i="12"/>
  <c r="Z7" i="12"/>
  <c r="AA7" i="12"/>
  <c r="AC7" i="12"/>
  <c r="AT7" i="12"/>
  <c r="AU7" i="12"/>
  <c r="AW7" i="12"/>
  <c r="F8" i="12"/>
  <c r="G8" i="12"/>
  <c r="I8" i="12"/>
  <c r="Z8" i="12"/>
  <c r="AA8" i="12"/>
  <c r="AC8" i="12"/>
  <c r="AT8" i="12"/>
  <c r="AU8" i="12"/>
  <c r="AW8" i="12"/>
  <c r="F9" i="12"/>
  <c r="G9" i="12"/>
  <c r="I9" i="12"/>
  <c r="Z9" i="12"/>
  <c r="AA9" i="12"/>
  <c r="AC9" i="12"/>
  <c r="AT9" i="12"/>
  <c r="AU9" i="12"/>
  <c r="AW9" i="12"/>
  <c r="F10" i="12"/>
  <c r="G10" i="12"/>
  <c r="I10" i="12"/>
  <c r="Z10" i="12"/>
  <c r="AA10" i="12"/>
  <c r="AC10" i="12"/>
  <c r="AT10" i="12"/>
  <c r="AU10" i="12"/>
  <c r="AW10" i="12"/>
  <c r="F11" i="12"/>
  <c r="G11" i="12"/>
  <c r="I11" i="12"/>
  <c r="Z11" i="12"/>
  <c r="AA11" i="12"/>
  <c r="AC11" i="12"/>
  <c r="AT11" i="12"/>
  <c r="AU11" i="12"/>
  <c r="AW11" i="12"/>
  <c r="F12" i="12"/>
  <c r="G12" i="12"/>
  <c r="I12" i="12"/>
  <c r="Z12" i="12"/>
  <c r="AA12" i="12"/>
  <c r="AC12" i="12"/>
  <c r="AT12" i="12"/>
  <c r="AU12" i="12"/>
  <c r="AW12" i="12"/>
  <c r="F13" i="12"/>
  <c r="G13" i="12"/>
  <c r="I13" i="12"/>
  <c r="Z13" i="12"/>
  <c r="AA13" i="12"/>
  <c r="AC13" i="12"/>
  <c r="AT13" i="12"/>
  <c r="AU13" i="12"/>
  <c r="AW13" i="12"/>
  <c r="F14" i="12"/>
  <c r="G14" i="12"/>
  <c r="I14" i="12"/>
  <c r="Z14" i="12"/>
  <c r="AA14" i="12"/>
  <c r="AC14" i="12"/>
  <c r="AT14" i="12"/>
  <c r="AU14" i="12"/>
  <c r="AW14" i="12"/>
  <c r="F15" i="12"/>
  <c r="G15" i="12"/>
  <c r="I15" i="12"/>
  <c r="Z15" i="12"/>
  <c r="AA15" i="12"/>
  <c r="AC15" i="12"/>
  <c r="AT15" i="12"/>
  <c r="AU15" i="12"/>
  <c r="AW15" i="12"/>
  <c r="F16" i="12"/>
  <c r="G16" i="12"/>
  <c r="I16" i="12"/>
  <c r="Z16" i="12"/>
  <c r="AA16" i="12"/>
  <c r="AC16" i="12"/>
  <c r="AT16" i="12"/>
  <c r="AU16" i="12"/>
  <c r="AW16" i="12"/>
  <c r="F17" i="12"/>
  <c r="G17" i="12"/>
  <c r="I17" i="12"/>
  <c r="Z17" i="12"/>
  <c r="AA17" i="12"/>
  <c r="AC17" i="12"/>
  <c r="AT17" i="12"/>
  <c r="AU17" i="12"/>
  <c r="AW17" i="12"/>
  <c r="F19" i="12"/>
  <c r="G19" i="12"/>
  <c r="I19" i="12"/>
  <c r="Z19" i="12"/>
  <c r="AA19" i="12"/>
  <c r="AC19" i="12"/>
  <c r="AT19" i="12"/>
  <c r="AU19" i="12"/>
  <c r="AW19" i="12"/>
  <c r="F20" i="12"/>
  <c r="G20" i="12"/>
  <c r="I20" i="12"/>
  <c r="Z20" i="12"/>
  <c r="AA20" i="12"/>
  <c r="AC20" i="12"/>
  <c r="AT20" i="12"/>
  <c r="AU20" i="12"/>
  <c r="AW20" i="12"/>
  <c r="F21" i="12"/>
  <c r="G21" i="12"/>
  <c r="I21" i="12"/>
  <c r="Z21" i="12"/>
  <c r="AA21" i="12"/>
  <c r="AC21" i="12"/>
  <c r="AT21" i="12"/>
  <c r="AU21" i="12"/>
  <c r="AW21" i="12"/>
  <c r="F22" i="12"/>
  <c r="G22" i="12"/>
  <c r="I22" i="12"/>
  <c r="Z22" i="12"/>
  <c r="AA22" i="12"/>
  <c r="AC22" i="12"/>
  <c r="AT22" i="12"/>
  <c r="AU22" i="12"/>
  <c r="AW22" i="12"/>
  <c r="F23" i="12"/>
  <c r="G23" i="12"/>
  <c r="I23" i="12"/>
  <c r="Z23" i="12"/>
  <c r="AA23" i="12"/>
  <c r="AC23" i="12"/>
  <c r="AT23" i="12"/>
  <c r="AU23" i="12"/>
  <c r="AW23" i="12"/>
  <c r="F24" i="12"/>
  <c r="G24" i="12"/>
  <c r="I24" i="12"/>
  <c r="Z24" i="12"/>
  <c r="AA24" i="12"/>
  <c r="AC24" i="12"/>
  <c r="AT24" i="12"/>
  <c r="AU24" i="12"/>
  <c r="AW24" i="12"/>
  <c r="F25" i="12"/>
  <c r="G25" i="12"/>
  <c r="I25" i="12"/>
  <c r="Z25" i="12"/>
  <c r="AA25" i="12"/>
  <c r="AC25" i="12"/>
  <c r="AT25" i="12"/>
  <c r="AU25" i="12"/>
  <c r="AW25" i="12"/>
  <c r="F26" i="12"/>
  <c r="G26" i="12"/>
  <c r="I26" i="12"/>
  <c r="Z26" i="12"/>
  <c r="AA26" i="12"/>
  <c r="AC26" i="12"/>
  <c r="AT26" i="12"/>
  <c r="AU26" i="12"/>
  <c r="AW26" i="12"/>
  <c r="F27" i="12"/>
  <c r="G27" i="12"/>
  <c r="I27" i="12"/>
  <c r="Z27" i="12"/>
  <c r="AA27" i="12"/>
  <c r="AC27" i="12"/>
  <c r="AT27" i="12"/>
  <c r="AU27" i="12"/>
  <c r="AW27" i="12"/>
  <c r="F28" i="12"/>
  <c r="G28" i="12"/>
  <c r="I28" i="12"/>
  <c r="Z28" i="12"/>
  <c r="AA28" i="12"/>
  <c r="AC28" i="12"/>
  <c r="AT28" i="12"/>
  <c r="AU28" i="12"/>
  <c r="AW28" i="12"/>
  <c r="F29" i="12"/>
  <c r="G29" i="12"/>
  <c r="I29" i="12"/>
  <c r="Z29" i="12"/>
  <c r="AA29" i="12"/>
  <c r="AC29" i="12"/>
  <c r="AT29" i="12"/>
  <c r="AU29" i="12"/>
  <c r="AW29" i="12"/>
  <c r="F30" i="12"/>
  <c r="G30" i="12"/>
  <c r="I30" i="12"/>
  <c r="Z30" i="12"/>
  <c r="AA30" i="12"/>
  <c r="AC30" i="12"/>
  <c r="AT30" i="12"/>
  <c r="AU30" i="12"/>
  <c r="AW30" i="12"/>
  <c r="F31" i="12"/>
  <c r="G31" i="12"/>
  <c r="I31" i="12"/>
  <c r="Z31" i="12"/>
  <c r="AA31" i="12"/>
  <c r="AC31" i="12"/>
  <c r="AT31" i="12"/>
  <c r="AU31" i="12"/>
  <c r="AW31" i="12"/>
  <c r="F32" i="12"/>
  <c r="G32" i="12"/>
  <c r="I32" i="12"/>
  <c r="Z32" i="12"/>
  <c r="AA32" i="12"/>
  <c r="AC32" i="12"/>
  <c r="AT32" i="12"/>
  <c r="AU32" i="12"/>
  <c r="AW32" i="12"/>
  <c r="B17" i="8"/>
  <c r="AL4" i="7" l="1"/>
  <c r="B29" i="1"/>
  <c r="C29" i="1"/>
  <c r="D29" i="1"/>
  <c r="B31" i="1"/>
  <c r="E32" i="1"/>
  <c r="B36" i="1"/>
  <c r="B38" i="1"/>
  <c r="B41" i="1"/>
  <c r="B42" i="1"/>
  <c r="B43" i="1"/>
  <c r="B44" i="1"/>
  <c r="B50" i="1"/>
  <c r="B52" i="1"/>
  <c r="B54" i="1"/>
  <c r="B55" i="1"/>
  <c r="B59" i="1"/>
  <c r="B60" i="1"/>
  <c r="B64" i="1"/>
  <c r="D4" i="7"/>
  <c r="E4" i="7"/>
  <c r="F4" i="7"/>
  <c r="I4" i="7"/>
  <c r="K4" i="7"/>
  <c r="L4" i="7"/>
  <c r="M4" i="7"/>
  <c r="N4" i="7"/>
  <c r="O4" i="7"/>
  <c r="P4" i="7"/>
  <c r="Q4" i="7"/>
  <c r="S4" i="7"/>
  <c r="T4" i="7"/>
  <c r="U4" i="7"/>
  <c r="X4" i="7"/>
  <c r="Z4" i="7"/>
  <c r="AA4" i="7"/>
  <c r="AB4" i="7"/>
  <c r="AC4" i="7"/>
  <c r="AD4" i="7"/>
  <c r="AE4" i="7"/>
  <c r="AF4" i="7"/>
  <c r="AH4" i="7"/>
  <c r="AI4" i="7"/>
  <c r="AJ4" i="7"/>
  <c r="AM4" i="7"/>
  <c r="AO4" i="7"/>
  <c r="AP4" i="7"/>
  <c r="AQ4" i="7"/>
  <c r="AR4" i="7"/>
  <c r="AS4" i="7"/>
  <c r="AT4" i="7"/>
  <c r="AU4" i="7"/>
  <c r="D5" i="7"/>
  <c r="E5" i="7"/>
  <c r="F5" i="7"/>
  <c r="I5" i="7"/>
  <c r="K5" i="7"/>
  <c r="L5" i="7"/>
  <c r="M5" i="7"/>
  <c r="N5" i="7"/>
  <c r="O5" i="7"/>
  <c r="P5" i="7"/>
  <c r="Q5" i="7"/>
  <c r="S5" i="7"/>
  <c r="T5" i="7"/>
  <c r="U5" i="7"/>
  <c r="X5" i="7"/>
  <c r="Z5" i="7"/>
  <c r="AA5" i="7"/>
  <c r="AB5" i="7"/>
  <c r="AC5" i="7"/>
  <c r="AD5" i="7"/>
  <c r="AE5" i="7"/>
  <c r="AF5" i="7"/>
  <c r="AH5" i="7"/>
  <c r="AI5" i="7"/>
  <c r="AJ5" i="7"/>
  <c r="AM5" i="7"/>
  <c r="AO5" i="7"/>
  <c r="AP5" i="7"/>
  <c r="AQ5" i="7"/>
  <c r="AR5" i="7"/>
  <c r="AS5" i="7"/>
  <c r="AT5" i="7"/>
  <c r="AU5" i="7"/>
  <c r="D6" i="7"/>
  <c r="E6" i="7"/>
  <c r="F6" i="7"/>
  <c r="I6" i="7"/>
  <c r="K6" i="7"/>
  <c r="L6" i="7"/>
  <c r="M6" i="7"/>
  <c r="N6" i="7"/>
  <c r="O6" i="7"/>
  <c r="P6" i="7"/>
  <c r="Q6" i="7"/>
  <c r="S6" i="7"/>
  <c r="T6" i="7"/>
  <c r="U6" i="7"/>
  <c r="X6" i="7"/>
  <c r="Z6" i="7"/>
  <c r="AA6" i="7"/>
  <c r="AB6" i="7"/>
  <c r="AC6" i="7"/>
  <c r="AD6" i="7"/>
  <c r="AE6" i="7"/>
  <c r="AF6" i="7"/>
  <c r="AH6" i="7"/>
  <c r="AI6" i="7"/>
  <c r="AJ6" i="7"/>
  <c r="AM6" i="7"/>
  <c r="AO6" i="7"/>
  <c r="AP6" i="7"/>
  <c r="AQ6" i="7"/>
  <c r="AR6" i="7"/>
  <c r="AS6" i="7"/>
  <c r="AT6" i="7"/>
  <c r="AU6" i="7"/>
  <c r="D7" i="7"/>
  <c r="E7" i="7"/>
  <c r="F7" i="7"/>
  <c r="I7" i="7"/>
  <c r="K7" i="7"/>
  <c r="L7" i="7"/>
  <c r="M7" i="7"/>
  <c r="N7" i="7"/>
  <c r="O7" i="7"/>
  <c r="P7" i="7"/>
  <c r="Q7" i="7"/>
  <c r="S7" i="7"/>
  <c r="T7" i="7"/>
  <c r="U7" i="7"/>
  <c r="X7" i="7"/>
  <c r="Z7" i="7"/>
  <c r="AA7" i="7"/>
  <c r="AB7" i="7"/>
  <c r="AC7" i="7"/>
  <c r="AD7" i="7"/>
  <c r="AE7" i="7"/>
  <c r="AF7" i="7"/>
  <c r="AH7" i="7"/>
  <c r="AI7" i="7"/>
  <c r="AJ7" i="7"/>
  <c r="AM7" i="7"/>
  <c r="AO7" i="7"/>
  <c r="AP7" i="7"/>
  <c r="AQ7" i="7"/>
  <c r="AR7" i="7"/>
  <c r="AS7" i="7"/>
  <c r="AT7" i="7"/>
  <c r="AU7" i="7"/>
  <c r="D8" i="7"/>
  <c r="E8" i="7"/>
  <c r="F8" i="7"/>
  <c r="I8" i="7"/>
  <c r="K8" i="7"/>
  <c r="L8" i="7"/>
  <c r="M8" i="7"/>
  <c r="N8" i="7"/>
  <c r="O8" i="7"/>
  <c r="P8" i="7"/>
  <c r="Q8" i="7"/>
  <c r="S8" i="7"/>
  <c r="T8" i="7"/>
  <c r="U8" i="7"/>
  <c r="X8" i="7"/>
  <c r="Z8" i="7"/>
  <c r="AA8" i="7"/>
  <c r="AB8" i="7"/>
  <c r="AC8" i="7"/>
  <c r="AD8" i="7"/>
  <c r="AE8" i="7"/>
  <c r="AF8" i="7"/>
  <c r="AH8" i="7"/>
  <c r="AI8" i="7"/>
  <c r="AJ8" i="7"/>
  <c r="AM8" i="7"/>
  <c r="AO8" i="7"/>
  <c r="AP8" i="7"/>
  <c r="AQ8" i="7"/>
  <c r="AR8" i="7"/>
  <c r="AS8" i="7"/>
  <c r="AT8" i="7"/>
  <c r="AU8" i="7"/>
  <c r="D9" i="7"/>
  <c r="E9" i="7"/>
  <c r="F9" i="7"/>
  <c r="I9" i="7"/>
  <c r="K9" i="7"/>
  <c r="L9" i="7"/>
  <c r="M9" i="7"/>
  <c r="N9" i="7"/>
  <c r="O9" i="7"/>
  <c r="P9" i="7"/>
  <c r="Q9" i="7"/>
  <c r="S9" i="7"/>
  <c r="T9" i="7"/>
  <c r="U9" i="7"/>
  <c r="X9" i="7"/>
  <c r="Z9" i="7"/>
  <c r="AA9" i="7"/>
  <c r="AB9" i="7"/>
  <c r="AC9" i="7"/>
  <c r="AD9" i="7"/>
  <c r="AE9" i="7"/>
  <c r="AF9" i="7"/>
  <c r="AH9" i="7"/>
  <c r="AI9" i="7"/>
  <c r="AJ9" i="7"/>
  <c r="AM9" i="7"/>
  <c r="AO9" i="7"/>
  <c r="AP9" i="7"/>
  <c r="AQ9" i="7"/>
  <c r="AR9" i="7"/>
  <c r="AS9" i="7"/>
  <c r="AT9" i="7"/>
  <c r="AU9" i="7"/>
  <c r="D10" i="7"/>
  <c r="E10" i="7"/>
  <c r="F10" i="7"/>
  <c r="I10" i="7"/>
  <c r="K10" i="7"/>
  <c r="L10" i="7"/>
  <c r="M10" i="7"/>
  <c r="N10" i="7"/>
  <c r="O10" i="7"/>
  <c r="P10" i="7"/>
  <c r="Q10" i="7"/>
  <c r="S10" i="7"/>
  <c r="T10" i="7"/>
  <c r="U10" i="7"/>
  <c r="X10" i="7"/>
  <c r="Z10" i="7"/>
  <c r="AA10" i="7"/>
  <c r="AB10" i="7"/>
  <c r="AC10" i="7"/>
  <c r="AD10" i="7"/>
  <c r="AE10" i="7"/>
  <c r="AF10" i="7"/>
  <c r="AH10" i="7"/>
  <c r="AI10" i="7"/>
  <c r="AJ10" i="7"/>
  <c r="AM10" i="7"/>
  <c r="AO10" i="7"/>
  <c r="AP10" i="7"/>
  <c r="AQ10" i="7"/>
  <c r="AR10" i="7"/>
  <c r="AS10" i="7"/>
  <c r="AT10" i="7"/>
  <c r="AU10" i="7"/>
  <c r="D11" i="7"/>
  <c r="E11" i="7"/>
  <c r="F11" i="7"/>
  <c r="I11" i="7"/>
  <c r="K11" i="7"/>
  <c r="L11" i="7"/>
  <c r="M11" i="7"/>
  <c r="N11" i="7"/>
  <c r="O11" i="7"/>
  <c r="P11" i="7"/>
  <c r="Q11" i="7"/>
  <c r="S11" i="7"/>
  <c r="T11" i="7"/>
  <c r="U11" i="7"/>
  <c r="X11" i="7"/>
  <c r="Z11" i="7"/>
  <c r="AA11" i="7"/>
  <c r="AB11" i="7"/>
  <c r="AC11" i="7"/>
  <c r="AD11" i="7"/>
  <c r="AE11" i="7"/>
  <c r="AF11" i="7"/>
  <c r="AH11" i="7"/>
  <c r="AI11" i="7"/>
  <c r="AJ11" i="7"/>
  <c r="AM11" i="7"/>
  <c r="AO11" i="7"/>
  <c r="AP11" i="7"/>
  <c r="AQ11" i="7"/>
  <c r="AR11" i="7"/>
  <c r="AS11" i="7"/>
  <c r="AT11" i="7"/>
  <c r="AU11" i="7"/>
  <c r="D12" i="7"/>
  <c r="E12" i="7"/>
  <c r="F12" i="7"/>
  <c r="I12" i="7"/>
  <c r="K12" i="7"/>
  <c r="L12" i="7"/>
  <c r="M12" i="7"/>
  <c r="N12" i="7"/>
  <c r="O12" i="7"/>
  <c r="P12" i="7"/>
  <c r="Q12" i="7"/>
  <c r="S12" i="7"/>
  <c r="T12" i="7"/>
  <c r="U12" i="7"/>
  <c r="X12" i="7"/>
  <c r="Z12" i="7"/>
  <c r="AA12" i="7"/>
  <c r="AB12" i="7"/>
  <c r="AC12" i="7"/>
  <c r="AD12" i="7"/>
  <c r="AE12" i="7"/>
  <c r="AF12" i="7"/>
  <c r="AH12" i="7"/>
  <c r="AI12" i="7"/>
  <c r="AJ12" i="7"/>
  <c r="AM12" i="7"/>
  <c r="AO12" i="7"/>
  <c r="AP12" i="7"/>
  <c r="AQ12" i="7"/>
  <c r="AR12" i="7"/>
  <c r="AS12" i="7"/>
  <c r="AT12" i="7"/>
  <c r="AU12" i="7"/>
  <c r="D13" i="7"/>
  <c r="E13" i="7"/>
  <c r="F13" i="7"/>
  <c r="I13" i="7"/>
  <c r="K13" i="7"/>
  <c r="L13" i="7"/>
  <c r="M13" i="7"/>
  <c r="N13" i="7"/>
  <c r="O13" i="7"/>
  <c r="P13" i="7"/>
  <c r="Q13" i="7"/>
  <c r="S13" i="7"/>
  <c r="T13" i="7"/>
  <c r="U13" i="7"/>
  <c r="X13" i="7"/>
  <c r="Z13" i="7"/>
  <c r="AA13" i="7"/>
  <c r="AB13" i="7"/>
  <c r="AC13" i="7"/>
  <c r="AD13" i="7"/>
  <c r="AE13" i="7"/>
  <c r="AF13" i="7"/>
  <c r="AH13" i="7"/>
  <c r="AI13" i="7"/>
  <c r="AJ13" i="7"/>
  <c r="AM13" i="7"/>
  <c r="AO13" i="7"/>
  <c r="AP13" i="7"/>
  <c r="AQ13" i="7"/>
  <c r="AR13" i="7"/>
  <c r="AS13" i="7"/>
  <c r="AT13" i="7"/>
  <c r="AU13" i="7"/>
  <c r="D14" i="7"/>
  <c r="E14" i="7"/>
  <c r="F14" i="7"/>
  <c r="I14" i="7"/>
  <c r="K14" i="7"/>
  <c r="L14" i="7"/>
  <c r="M14" i="7"/>
  <c r="N14" i="7"/>
  <c r="O14" i="7"/>
  <c r="P14" i="7"/>
  <c r="Q14" i="7"/>
  <c r="S14" i="7"/>
  <c r="T14" i="7"/>
  <c r="U14" i="7"/>
  <c r="X14" i="7"/>
  <c r="Z14" i="7"/>
  <c r="AA14" i="7"/>
  <c r="AB14" i="7"/>
  <c r="AC14" i="7"/>
  <c r="AD14" i="7"/>
  <c r="AE14" i="7"/>
  <c r="AF14" i="7"/>
  <c r="AH14" i="7"/>
  <c r="AI14" i="7"/>
  <c r="AJ14" i="7"/>
  <c r="AM14" i="7"/>
  <c r="AO14" i="7"/>
  <c r="AP14" i="7"/>
  <c r="AQ14" i="7"/>
  <c r="AR14" i="7"/>
  <c r="AS14" i="7"/>
  <c r="AT14" i="7"/>
  <c r="AU14" i="7"/>
  <c r="D15" i="7"/>
  <c r="E15" i="7"/>
  <c r="F15" i="7"/>
  <c r="I15" i="7"/>
  <c r="K15" i="7"/>
  <c r="L15" i="7"/>
  <c r="M15" i="7"/>
  <c r="N15" i="7"/>
  <c r="O15" i="7"/>
  <c r="P15" i="7"/>
  <c r="Q15" i="7"/>
  <c r="S15" i="7"/>
  <c r="T15" i="7"/>
  <c r="U15" i="7"/>
  <c r="X15" i="7"/>
  <c r="Z15" i="7"/>
  <c r="AA15" i="7"/>
  <c r="AB15" i="7"/>
  <c r="AC15" i="7"/>
  <c r="AD15" i="7"/>
  <c r="AE15" i="7"/>
  <c r="AF15" i="7"/>
  <c r="AH15" i="7"/>
  <c r="AI15" i="7"/>
  <c r="AJ15" i="7"/>
  <c r="AM15" i="7"/>
  <c r="AO15" i="7"/>
  <c r="AP15" i="7"/>
  <c r="AQ15" i="7"/>
  <c r="AR15" i="7"/>
  <c r="AS15" i="7"/>
  <c r="AT15" i="7"/>
  <c r="AU15" i="7"/>
  <c r="D16" i="7"/>
  <c r="E16" i="7"/>
  <c r="F16" i="7"/>
  <c r="I16" i="7"/>
  <c r="K16" i="7"/>
  <c r="L16" i="7"/>
  <c r="M16" i="7"/>
  <c r="N16" i="7"/>
  <c r="O16" i="7"/>
  <c r="P16" i="7"/>
  <c r="Q16" i="7"/>
  <c r="S16" i="7"/>
  <c r="T16" i="7"/>
  <c r="U16" i="7"/>
  <c r="X16" i="7"/>
  <c r="Z16" i="7"/>
  <c r="AA16" i="7"/>
  <c r="AB16" i="7"/>
  <c r="AC16" i="7"/>
  <c r="AD16" i="7"/>
  <c r="AE16" i="7"/>
  <c r="AF16" i="7"/>
  <c r="AH16" i="7"/>
  <c r="AI16" i="7"/>
  <c r="AJ16" i="7"/>
  <c r="AM16" i="7"/>
  <c r="AO16" i="7"/>
  <c r="AP16" i="7"/>
  <c r="AQ16" i="7"/>
  <c r="AR16" i="7"/>
  <c r="AS16" i="7"/>
  <c r="AT16" i="7"/>
  <c r="AU16" i="7"/>
  <c r="D17" i="7"/>
  <c r="E17" i="7"/>
  <c r="F17" i="7"/>
  <c r="I17" i="7"/>
  <c r="K17" i="7"/>
  <c r="L17" i="7"/>
  <c r="M17" i="7"/>
  <c r="N17" i="7"/>
  <c r="O17" i="7"/>
  <c r="P17" i="7"/>
  <c r="Q17" i="7"/>
  <c r="S17" i="7"/>
  <c r="T17" i="7"/>
  <c r="U17" i="7"/>
  <c r="X17" i="7"/>
  <c r="Z17" i="7"/>
  <c r="AA17" i="7"/>
  <c r="AB17" i="7"/>
  <c r="AC17" i="7"/>
  <c r="AD17" i="7"/>
  <c r="AE17" i="7"/>
  <c r="AF17" i="7"/>
  <c r="AH17" i="7"/>
  <c r="AI17" i="7"/>
  <c r="AJ17" i="7"/>
  <c r="AM17" i="7"/>
  <c r="AO17" i="7"/>
  <c r="AP17" i="7"/>
  <c r="AQ17" i="7"/>
  <c r="AR17" i="7"/>
  <c r="AS17" i="7"/>
  <c r="AT17" i="7"/>
  <c r="AU17" i="7"/>
  <c r="D18" i="7"/>
  <c r="E18" i="7"/>
  <c r="F18" i="7"/>
  <c r="I18" i="7"/>
  <c r="K18" i="7"/>
  <c r="L18" i="7"/>
  <c r="M18" i="7"/>
  <c r="N18" i="7"/>
  <c r="O18" i="7"/>
  <c r="P18" i="7"/>
  <c r="Q18" i="7"/>
  <c r="S18" i="7"/>
  <c r="T18" i="7"/>
  <c r="U18" i="7"/>
  <c r="X18" i="7"/>
  <c r="Z18" i="7"/>
  <c r="AA18" i="7"/>
  <c r="AB18" i="7"/>
  <c r="AC18" i="7"/>
  <c r="AD18" i="7"/>
  <c r="AE18" i="7"/>
  <c r="AF18" i="7"/>
  <c r="AH18" i="7"/>
  <c r="AI18" i="7"/>
  <c r="AJ18" i="7"/>
  <c r="AM18" i="7"/>
  <c r="AO18" i="7"/>
  <c r="AP18" i="7"/>
  <c r="AQ18" i="7"/>
  <c r="AR18" i="7"/>
  <c r="AS18" i="7"/>
  <c r="AT18" i="7"/>
  <c r="AU18" i="7"/>
  <c r="D19" i="7"/>
  <c r="E19" i="7"/>
  <c r="F19" i="7"/>
  <c r="I19" i="7"/>
  <c r="K19" i="7"/>
  <c r="L19" i="7"/>
  <c r="M19" i="7"/>
  <c r="N19" i="7"/>
  <c r="O19" i="7"/>
  <c r="P19" i="7"/>
  <c r="Q19" i="7"/>
  <c r="S19" i="7"/>
  <c r="T19" i="7"/>
  <c r="U19" i="7"/>
  <c r="X19" i="7"/>
  <c r="Z19" i="7"/>
  <c r="AA19" i="7"/>
  <c r="AB19" i="7"/>
  <c r="AC19" i="7"/>
  <c r="AD19" i="7"/>
  <c r="AE19" i="7"/>
  <c r="AF19" i="7"/>
  <c r="AH19" i="7"/>
  <c r="AI19" i="7"/>
  <c r="AJ19" i="7"/>
  <c r="AM19" i="7"/>
  <c r="AO19" i="7"/>
  <c r="AP19" i="7"/>
  <c r="AQ19" i="7"/>
  <c r="AR19" i="7"/>
  <c r="AS19" i="7"/>
  <c r="AT19" i="7"/>
  <c r="AU19" i="7"/>
  <c r="D20" i="7"/>
  <c r="E20" i="7"/>
  <c r="F20" i="7"/>
  <c r="I20" i="7"/>
  <c r="K20" i="7"/>
  <c r="L20" i="7"/>
  <c r="M20" i="7"/>
  <c r="N20" i="7"/>
  <c r="O20" i="7"/>
  <c r="P20" i="7"/>
  <c r="Q20" i="7"/>
  <c r="S20" i="7"/>
  <c r="T20" i="7"/>
  <c r="U20" i="7"/>
  <c r="X20" i="7"/>
  <c r="Z20" i="7"/>
  <c r="AA20" i="7"/>
  <c r="AB20" i="7"/>
  <c r="AC20" i="7"/>
  <c r="AD20" i="7"/>
  <c r="AE20" i="7"/>
  <c r="AF20" i="7"/>
  <c r="AH20" i="7"/>
  <c r="AI20" i="7"/>
  <c r="AJ20" i="7"/>
  <c r="AM20" i="7"/>
  <c r="AO20" i="7"/>
  <c r="AP20" i="7"/>
  <c r="AQ20" i="7"/>
  <c r="AR20" i="7"/>
  <c r="AS20" i="7"/>
  <c r="AT20" i="7"/>
  <c r="AU20" i="7"/>
  <c r="D21" i="7"/>
  <c r="E21" i="7"/>
  <c r="F21" i="7"/>
  <c r="I21" i="7"/>
  <c r="K21" i="7"/>
  <c r="L21" i="7"/>
  <c r="M21" i="7"/>
  <c r="N21" i="7"/>
  <c r="O21" i="7"/>
  <c r="P21" i="7"/>
  <c r="Q21" i="7"/>
  <c r="S21" i="7"/>
  <c r="T21" i="7"/>
  <c r="U21" i="7"/>
  <c r="X21" i="7"/>
  <c r="Z21" i="7"/>
  <c r="AA21" i="7"/>
  <c r="AB21" i="7"/>
  <c r="AC21" i="7"/>
  <c r="AD21" i="7"/>
  <c r="AE21" i="7"/>
  <c r="AF21" i="7"/>
  <c r="AH21" i="7"/>
  <c r="AI21" i="7"/>
  <c r="AJ21" i="7"/>
  <c r="AM21" i="7"/>
  <c r="AO21" i="7"/>
  <c r="AP21" i="7"/>
  <c r="AQ21" i="7"/>
  <c r="AR21" i="7"/>
  <c r="AS21" i="7"/>
  <c r="AT21" i="7"/>
  <c r="AU21" i="7"/>
  <c r="D22" i="7"/>
  <c r="E22" i="7"/>
  <c r="F22" i="7"/>
  <c r="I22" i="7"/>
  <c r="K22" i="7"/>
  <c r="L22" i="7"/>
  <c r="M22" i="7"/>
  <c r="N22" i="7"/>
  <c r="O22" i="7"/>
  <c r="P22" i="7"/>
  <c r="Q22" i="7"/>
  <c r="S22" i="7"/>
  <c r="T22" i="7"/>
  <c r="U22" i="7"/>
  <c r="X22" i="7"/>
  <c r="Z22" i="7"/>
  <c r="AA22" i="7"/>
  <c r="AB22" i="7"/>
  <c r="AC22" i="7"/>
  <c r="AD22" i="7"/>
  <c r="AE22" i="7"/>
  <c r="AF22" i="7"/>
  <c r="AH22" i="7"/>
  <c r="AI22" i="7"/>
  <c r="AJ22" i="7"/>
  <c r="AM22" i="7"/>
  <c r="AO22" i="7"/>
  <c r="AP22" i="7"/>
  <c r="AQ22" i="7"/>
  <c r="AR22" i="7"/>
  <c r="AS22" i="7"/>
  <c r="AT22" i="7"/>
  <c r="AU22" i="7"/>
  <c r="D23" i="7"/>
  <c r="E23" i="7"/>
  <c r="F23" i="7"/>
  <c r="I23" i="7"/>
  <c r="K23" i="7"/>
  <c r="L23" i="7"/>
  <c r="M23" i="7"/>
  <c r="N23" i="7"/>
  <c r="O23" i="7"/>
  <c r="P23" i="7"/>
  <c r="Q23" i="7"/>
  <c r="S23" i="7"/>
  <c r="T23" i="7"/>
  <c r="U23" i="7"/>
  <c r="X23" i="7"/>
  <c r="Z23" i="7"/>
  <c r="AA23" i="7"/>
  <c r="AB23" i="7"/>
  <c r="AC23" i="7"/>
  <c r="AD23" i="7"/>
  <c r="AE23" i="7"/>
  <c r="AF23" i="7"/>
  <c r="AH23" i="7"/>
  <c r="AI23" i="7"/>
  <c r="AJ23" i="7"/>
  <c r="AM23" i="7"/>
  <c r="AO23" i="7"/>
  <c r="AP23" i="7"/>
  <c r="AQ23" i="7"/>
  <c r="AR23" i="7"/>
  <c r="AS23" i="7"/>
  <c r="AT23" i="7"/>
  <c r="AU23" i="7"/>
  <c r="D24" i="7"/>
  <c r="E24" i="7"/>
  <c r="F24" i="7"/>
  <c r="I24" i="7"/>
  <c r="K24" i="7"/>
  <c r="L24" i="7"/>
  <c r="M24" i="7"/>
  <c r="N24" i="7"/>
  <c r="O24" i="7"/>
  <c r="P24" i="7"/>
  <c r="Q24" i="7"/>
  <c r="S24" i="7"/>
  <c r="T24" i="7"/>
  <c r="U24" i="7"/>
  <c r="X24" i="7"/>
  <c r="Z24" i="7"/>
  <c r="AA24" i="7"/>
  <c r="AB24" i="7"/>
  <c r="AC24" i="7"/>
  <c r="AD24" i="7"/>
  <c r="AE24" i="7"/>
  <c r="AF24" i="7"/>
  <c r="AH24" i="7"/>
  <c r="AI24" i="7"/>
  <c r="AJ24" i="7"/>
  <c r="AM24" i="7"/>
  <c r="AO24" i="7"/>
  <c r="AP24" i="7"/>
  <c r="AQ24" i="7"/>
  <c r="AR24" i="7"/>
  <c r="AS24" i="7"/>
  <c r="AT24" i="7"/>
  <c r="AU24" i="7"/>
  <c r="D25" i="7"/>
  <c r="E25" i="7"/>
  <c r="F25" i="7"/>
  <c r="I25" i="7"/>
  <c r="K25" i="7"/>
  <c r="L25" i="7"/>
  <c r="M25" i="7"/>
  <c r="N25" i="7"/>
  <c r="O25" i="7"/>
  <c r="P25" i="7"/>
  <c r="Q25" i="7"/>
  <c r="S25" i="7"/>
  <c r="T25" i="7"/>
  <c r="U25" i="7"/>
  <c r="X25" i="7"/>
  <c r="Z25" i="7"/>
  <c r="AA25" i="7"/>
  <c r="AB25" i="7"/>
  <c r="AC25" i="7"/>
  <c r="AD25" i="7"/>
  <c r="AE25" i="7"/>
  <c r="AF25" i="7"/>
  <c r="AH25" i="7"/>
  <c r="AI25" i="7"/>
  <c r="AJ25" i="7"/>
  <c r="AM25" i="7"/>
  <c r="AO25" i="7"/>
  <c r="AP25" i="7"/>
  <c r="AQ25" i="7"/>
  <c r="AR25" i="7"/>
  <c r="AS25" i="7"/>
  <c r="AT25" i="7"/>
  <c r="AU25" i="7"/>
  <c r="D26" i="7"/>
  <c r="E26" i="7"/>
  <c r="F26" i="7"/>
  <c r="I26" i="7"/>
  <c r="K26" i="7"/>
  <c r="L26" i="7"/>
  <c r="M26" i="7"/>
  <c r="N26" i="7"/>
  <c r="O26" i="7"/>
  <c r="P26" i="7"/>
  <c r="Q26" i="7"/>
  <c r="S26" i="7"/>
  <c r="T26" i="7"/>
  <c r="U26" i="7"/>
  <c r="X26" i="7"/>
  <c r="Z26" i="7"/>
  <c r="AA26" i="7"/>
  <c r="AB26" i="7"/>
  <c r="AC26" i="7"/>
  <c r="AD26" i="7"/>
  <c r="AE26" i="7"/>
  <c r="AF26" i="7"/>
  <c r="AH26" i="7"/>
  <c r="AI26" i="7"/>
  <c r="AJ26" i="7"/>
  <c r="AM26" i="7"/>
  <c r="AO26" i="7"/>
  <c r="AP26" i="7"/>
  <c r="AQ26" i="7"/>
  <c r="AR26" i="7"/>
  <c r="AS26" i="7"/>
  <c r="AT26" i="7"/>
  <c r="AU26" i="7"/>
  <c r="D27" i="7"/>
  <c r="E27" i="7"/>
  <c r="F27" i="7"/>
  <c r="I27" i="7"/>
  <c r="K27" i="7"/>
  <c r="L27" i="7"/>
  <c r="M27" i="7"/>
  <c r="N27" i="7"/>
  <c r="O27" i="7"/>
  <c r="P27" i="7"/>
  <c r="Q27" i="7"/>
  <c r="S27" i="7"/>
  <c r="T27" i="7"/>
  <c r="U27" i="7"/>
  <c r="X27" i="7"/>
  <c r="Z27" i="7"/>
  <c r="AA27" i="7"/>
  <c r="AB27" i="7"/>
  <c r="AC27" i="7"/>
  <c r="AD27" i="7"/>
  <c r="AE27" i="7"/>
  <c r="AF27" i="7"/>
  <c r="AH27" i="7"/>
  <c r="AI27" i="7"/>
  <c r="AJ27" i="7"/>
  <c r="AM27" i="7"/>
  <c r="AO27" i="7"/>
  <c r="AP27" i="7"/>
  <c r="AQ27" i="7"/>
  <c r="AR27" i="7"/>
  <c r="AS27" i="7"/>
  <c r="AT27" i="7"/>
  <c r="AU27" i="7"/>
  <c r="D28" i="7"/>
  <c r="E28" i="7"/>
  <c r="F28" i="7"/>
  <c r="I28" i="7"/>
  <c r="K28" i="7"/>
  <c r="L28" i="7"/>
  <c r="M28" i="7"/>
  <c r="N28" i="7"/>
  <c r="O28" i="7"/>
  <c r="P28" i="7"/>
  <c r="Q28" i="7"/>
  <c r="S28" i="7"/>
  <c r="T28" i="7"/>
  <c r="U28" i="7"/>
  <c r="X28" i="7"/>
  <c r="Z28" i="7"/>
  <c r="AA28" i="7"/>
  <c r="AB28" i="7"/>
  <c r="AC28" i="7"/>
  <c r="AD28" i="7"/>
  <c r="AE28" i="7"/>
  <c r="AF28" i="7"/>
  <c r="AH28" i="7"/>
  <c r="AI28" i="7"/>
  <c r="AJ28" i="7"/>
  <c r="AM28" i="7"/>
  <c r="AO28" i="7"/>
  <c r="AP28" i="7"/>
  <c r="AQ28" i="7"/>
  <c r="AR28" i="7"/>
  <c r="AS28" i="7"/>
  <c r="AT28" i="7"/>
  <c r="AU28" i="7"/>
  <c r="D29" i="7"/>
  <c r="E29" i="7"/>
  <c r="F29" i="7"/>
  <c r="I29" i="7"/>
  <c r="K29" i="7"/>
  <c r="L29" i="7"/>
  <c r="M29" i="7"/>
  <c r="N29" i="7"/>
  <c r="O29" i="7"/>
  <c r="P29" i="7"/>
  <c r="Q29" i="7"/>
  <c r="S29" i="7"/>
  <c r="T29" i="7"/>
  <c r="U29" i="7"/>
  <c r="X29" i="7"/>
  <c r="Z29" i="7"/>
  <c r="AA29" i="7"/>
  <c r="AB29" i="7"/>
  <c r="AC29" i="7"/>
  <c r="AD29" i="7"/>
  <c r="AE29" i="7"/>
  <c r="AF29" i="7"/>
  <c r="AH29" i="7"/>
  <c r="AI29" i="7"/>
  <c r="AJ29" i="7"/>
  <c r="AM29" i="7"/>
  <c r="AO29" i="7"/>
  <c r="AP29" i="7"/>
  <c r="AQ29" i="7"/>
  <c r="AR29" i="7"/>
  <c r="AS29" i="7"/>
  <c r="AT29" i="7"/>
  <c r="AU29" i="7"/>
  <c r="D30" i="7"/>
  <c r="E30" i="7"/>
  <c r="F30" i="7"/>
  <c r="I30" i="7"/>
  <c r="K30" i="7"/>
  <c r="L30" i="7"/>
  <c r="M30" i="7"/>
  <c r="N30" i="7"/>
  <c r="O30" i="7"/>
  <c r="P30" i="7"/>
  <c r="Q30" i="7"/>
  <c r="S30" i="7"/>
  <c r="T30" i="7"/>
  <c r="U30" i="7"/>
  <c r="X30" i="7"/>
  <c r="Z30" i="7"/>
  <c r="AA30" i="7"/>
  <c r="AB30" i="7"/>
  <c r="AC30" i="7"/>
  <c r="AD30" i="7"/>
  <c r="AE30" i="7"/>
  <c r="AF30" i="7"/>
  <c r="AH30" i="7"/>
  <c r="AI30" i="7"/>
  <c r="AJ30" i="7"/>
  <c r="AM30" i="7"/>
  <c r="AO30" i="7"/>
  <c r="AP30" i="7"/>
  <c r="AQ30" i="7"/>
  <c r="AR30" i="7"/>
  <c r="AS30" i="7"/>
  <c r="AT30" i="7"/>
  <c r="AU30" i="7"/>
  <c r="D31" i="7"/>
  <c r="E31" i="7"/>
  <c r="F31" i="7"/>
  <c r="I31" i="7"/>
  <c r="K31" i="7"/>
  <c r="L31" i="7"/>
  <c r="M31" i="7"/>
  <c r="N31" i="7"/>
  <c r="O31" i="7"/>
  <c r="P31" i="7"/>
  <c r="Q31" i="7"/>
  <c r="S31" i="7"/>
  <c r="T31" i="7"/>
  <c r="U31" i="7"/>
  <c r="X31" i="7"/>
  <c r="Z31" i="7"/>
  <c r="AA31" i="7"/>
  <c r="AB31" i="7"/>
  <c r="AC31" i="7"/>
  <c r="AD31" i="7"/>
  <c r="AE31" i="7"/>
  <c r="AF31" i="7"/>
  <c r="AH31" i="7"/>
  <c r="AI31" i="7"/>
  <c r="AJ31" i="7"/>
  <c r="AM31" i="7"/>
  <c r="AO31" i="7"/>
  <c r="AP31" i="7"/>
  <c r="AQ31" i="7"/>
  <c r="AR31" i="7"/>
  <c r="AS31" i="7"/>
  <c r="AT31" i="7"/>
  <c r="AU31" i="7"/>
  <c r="D32" i="7"/>
  <c r="E32" i="7"/>
  <c r="F32" i="7"/>
  <c r="I32" i="7"/>
  <c r="K32" i="7"/>
  <c r="L32" i="7"/>
  <c r="M32" i="7"/>
  <c r="N32" i="7"/>
  <c r="O32" i="7"/>
  <c r="P32" i="7"/>
  <c r="Q32" i="7"/>
  <c r="S32" i="7"/>
  <c r="T32" i="7"/>
  <c r="U32" i="7"/>
  <c r="X32" i="7"/>
  <c r="Z32" i="7"/>
  <c r="AA32" i="7"/>
  <c r="AB32" i="7"/>
  <c r="AC32" i="7"/>
  <c r="AD32" i="7"/>
  <c r="AE32" i="7"/>
  <c r="AF32" i="7"/>
  <c r="AH32" i="7"/>
  <c r="AI32" i="7"/>
  <c r="AJ32" i="7"/>
  <c r="AM32" i="7"/>
  <c r="AO32" i="7"/>
  <c r="AP32" i="7"/>
  <c r="AQ32" i="7"/>
  <c r="AR32" i="7"/>
  <c r="AS32" i="7"/>
  <c r="AT32" i="7"/>
  <c r="AU32" i="7"/>
  <c r="D33" i="7"/>
  <c r="E33" i="7"/>
  <c r="F33" i="7"/>
  <c r="I33" i="7"/>
  <c r="K33" i="7"/>
  <c r="L33" i="7"/>
  <c r="M33" i="7"/>
  <c r="N33" i="7"/>
  <c r="O33" i="7"/>
  <c r="P33" i="7"/>
  <c r="Q33" i="7"/>
  <c r="S33" i="7"/>
  <c r="T33" i="7"/>
  <c r="U33" i="7"/>
  <c r="X33" i="7"/>
  <c r="Z33" i="7"/>
  <c r="AA33" i="7"/>
  <c r="AB33" i="7"/>
  <c r="AC33" i="7"/>
  <c r="AD33" i="7"/>
  <c r="AE33" i="7"/>
  <c r="AF33" i="7"/>
  <c r="AH33" i="7"/>
  <c r="AI33" i="7"/>
  <c r="AJ33" i="7"/>
  <c r="AM33" i="7"/>
  <c r="AO33" i="7"/>
  <c r="AP33" i="7"/>
  <c r="AQ33" i="7"/>
  <c r="AR33" i="7"/>
  <c r="AS33" i="7"/>
  <c r="AT33" i="7"/>
  <c r="AU33" i="7"/>
  <c r="D34" i="7"/>
  <c r="E34" i="7"/>
  <c r="F34" i="7"/>
  <c r="I34" i="7"/>
  <c r="K34" i="7"/>
  <c r="L34" i="7"/>
  <c r="M34" i="7"/>
  <c r="N34" i="7"/>
  <c r="O34" i="7"/>
  <c r="P34" i="7"/>
  <c r="Q34" i="7"/>
  <c r="S34" i="7"/>
  <c r="T34" i="7"/>
  <c r="U34" i="7"/>
  <c r="X34" i="7"/>
  <c r="Z34" i="7"/>
  <c r="AA34" i="7"/>
  <c r="AB34" i="7"/>
  <c r="AC34" i="7"/>
  <c r="AD34" i="7"/>
  <c r="AE34" i="7"/>
  <c r="AF34" i="7"/>
  <c r="AH34" i="7"/>
  <c r="AI34" i="7"/>
  <c r="AJ34" i="7"/>
  <c r="AM34" i="7"/>
  <c r="AO34" i="7"/>
  <c r="AP34" i="7"/>
  <c r="AQ34" i="7"/>
  <c r="AR34" i="7"/>
  <c r="AS34" i="7"/>
  <c r="AT34" i="7"/>
  <c r="AU34" i="7"/>
  <c r="D35" i="7"/>
  <c r="E35" i="7"/>
  <c r="F35" i="7"/>
  <c r="I35" i="7"/>
  <c r="K35" i="7"/>
  <c r="L35" i="7"/>
  <c r="M35" i="7"/>
  <c r="N35" i="7"/>
  <c r="O35" i="7"/>
  <c r="P35" i="7"/>
  <c r="Q35" i="7"/>
  <c r="S35" i="7"/>
  <c r="T35" i="7"/>
  <c r="U35" i="7"/>
  <c r="X35" i="7"/>
  <c r="Z35" i="7"/>
  <c r="AA35" i="7"/>
  <c r="AB35" i="7"/>
  <c r="AC35" i="7"/>
  <c r="AD35" i="7"/>
  <c r="AE35" i="7"/>
  <c r="AF35" i="7"/>
  <c r="AH35" i="7"/>
  <c r="AI35" i="7"/>
  <c r="AJ35" i="7"/>
  <c r="AM35" i="7"/>
  <c r="AO35" i="7"/>
  <c r="AP35" i="7"/>
  <c r="AQ35" i="7"/>
  <c r="AR35" i="7"/>
  <c r="AS35" i="7"/>
  <c r="AT35" i="7"/>
  <c r="AU35" i="7"/>
  <c r="D36" i="7"/>
  <c r="E36" i="7"/>
  <c r="F36" i="7"/>
  <c r="I36" i="7"/>
  <c r="K36" i="7"/>
  <c r="L36" i="7"/>
  <c r="M36" i="7"/>
  <c r="N36" i="7"/>
  <c r="O36" i="7"/>
  <c r="P36" i="7"/>
  <c r="Q36" i="7"/>
  <c r="S36" i="7"/>
  <c r="T36" i="7"/>
  <c r="U36" i="7"/>
  <c r="X36" i="7"/>
  <c r="Z36" i="7"/>
  <c r="AA36" i="7"/>
  <c r="AB36" i="7"/>
  <c r="AC36" i="7"/>
  <c r="AD36" i="7"/>
  <c r="AE36" i="7"/>
  <c r="AF36" i="7"/>
  <c r="AH36" i="7"/>
  <c r="AI36" i="7"/>
  <c r="AJ36" i="7"/>
  <c r="AM36" i="7"/>
  <c r="AO36" i="7"/>
  <c r="AP36" i="7"/>
  <c r="AQ36" i="7"/>
  <c r="AR36" i="7"/>
  <c r="AS36" i="7"/>
  <c r="AT36" i="7"/>
  <c r="AU36" i="7"/>
  <c r="D37" i="7"/>
  <c r="E37" i="7"/>
  <c r="F37" i="7"/>
  <c r="I37" i="7"/>
  <c r="K37" i="7"/>
  <c r="L37" i="7"/>
  <c r="M37" i="7"/>
  <c r="N37" i="7"/>
  <c r="O37" i="7"/>
  <c r="P37" i="7"/>
  <c r="Q37" i="7"/>
  <c r="S37" i="7"/>
  <c r="T37" i="7"/>
  <c r="U37" i="7"/>
  <c r="X37" i="7"/>
  <c r="Z37" i="7"/>
  <c r="AA37" i="7"/>
  <c r="AB37" i="7"/>
  <c r="AC37" i="7"/>
  <c r="AD37" i="7"/>
  <c r="AE37" i="7"/>
  <c r="AF37" i="7"/>
  <c r="AH37" i="7"/>
  <c r="AI37" i="7"/>
  <c r="AJ37" i="7"/>
  <c r="AM37" i="7"/>
  <c r="AO37" i="7"/>
  <c r="AP37" i="7"/>
  <c r="AQ37" i="7"/>
  <c r="AR37" i="7"/>
  <c r="AS37" i="7"/>
  <c r="AT37" i="7"/>
  <c r="AU37" i="7"/>
  <c r="D38" i="7"/>
  <c r="E38" i="7"/>
  <c r="F38" i="7"/>
  <c r="I38" i="7"/>
  <c r="K38" i="7"/>
  <c r="L38" i="7"/>
  <c r="M38" i="7"/>
  <c r="N38" i="7"/>
  <c r="O38" i="7"/>
  <c r="P38" i="7"/>
  <c r="Q38" i="7"/>
  <c r="S38" i="7"/>
  <c r="T38" i="7"/>
  <c r="U38" i="7"/>
  <c r="X38" i="7"/>
  <c r="Z38" i="7"/>
  <c r="AA38" i="7"/>
  <c r="AB38" i="7"/>
  <c r="AC38" i="7"/>
  <c r="AD38" i="7"/>
  <c r="AE38" i="7"/>
  <c r="AF38" i="7"/>
  <c r="AH38" i="7"/>
  <c r="AI38" i="7"/>
  <c r="AJ38" i="7"/>
  <c r="AM38" i="7"/>
  <c r="AO38" i="7"/>
  <c r="AP38" i="7"/>
  <c r="AQ38" i="7"/>
  <c r="AR38" i="7"/>
  <c r="AS38" i="7"/>
  <c r="AT38" i="7"/>
  <c r="AU38" i="7"/>
  <c r="D39" i="7"/>
  <c r="E39" i="7"/>
  <c r="F39" i="7"/>
  <c r="I39" i="7"/>
  <c r="K39" i="7"/>
  <c r="L39" i="7"/>
  <c r="M39" i="7"/>
  <c r="N39" i="7"/>
  <c r="O39" i="7"/>
  <c r="P39" i="7"/>
  <c r="Q39" i="7"/>
  <c r="S39" i="7"/>
  <c r="T39" i="7"/>
  <c r="U39" i="7"/>
  <c r="X39" i="7"/>
  <c r="Z39" i="7"/>
  <c r="AA39" i="7"/>
  <c r="AB39" i="7"/>
  <c r="AC39" i="7"/>
  <c r="AD39" i="7"/>
  <c r="AE39" i="7"/>
  <c r="AF39" i="7"/>
  <c r="AH39" i="7"/>
  <c r="AI39" i="7"/>
  <c r="AJ39" i="7"/>
  <c r="AM39" i="7"/>
  <c r="AO39" i="7"/>
  <c r="AP39" i="7"/>
  <c r="AQ39" i="7"/>
  <c r="AR39" i="7"/>
  <c r="AS39" i="7"/>
  <c r="AT39" i="7"/>
  <c r="AU39" i="7"/>
  <c r="D40" i="7"/>
  <c r="E40" i="7"/>
  <c r="F40" i="7"/>
  <c r="I40" i="7"/>
  <c r="K40" i="7"/>
  <c r="L40" i="7"/>
  <c r="M40" i="7"/>
  <c r="N40" i="7"/>
  <c r="O40" i="7"/>
  <c r="P40" i="7"/>
  <c r="Q40" i="7"/>
  <c r="S40" i="7"/>
  <c r="T40" i="7"/>
  <c r="U40" i="7"/>
  <c r="X40" i="7"/>
  <c r="Z40" i="7"/>
  <c r="AA40" i="7"/>
  <c r="AB40" i="7"/>
  <c r="AC40" i="7"/>
  <c r="AD40" i="7"/>
  <c r="AE40" i="7"/>
  <c r="AF40" i="7"/>
  <c r="AH40" i="7"/>
  <c r="AI40" i="7"/>
  <c r="AJ40" i="7"/>
  <c r="AM40" i="7"/>
  <c r="AO40" i="7"/>
  <c r="AP40" i="7"/>
  <c r="AQ40" i="7"/>
  <c r="AR40" i="7"/>
  <c r="AS40" i="7"/>
  <c r="AT40" i="7"/>
  <c r="AU40" i="7"/>
  <c r="D41" i="7"/>
  <c r="E41" i="7"/>
  <c r="F41" i="7"/>
  <c r="I41" i="7"/>
  <c r="K41" i="7"/>
  <c r="L41" i="7"/>
  <c r="M41" i="7"/>
  <c r="N41" i="7"/>
  <c r="O41" i="7"/>
  <c r="P41" i="7"/>
  <c r="Q41" i="7"/>
  <c r="S41" i="7"/>
  <c r="T41" i="7"/>
  <c r="U41" i="7"/>
  <c r="X41" i="7"/>
  <c r="Z41" i="7"/>
  <c r="AA41" i="7"/>
  <c r="AB41" i="7"/>
  <c r="AC41" i="7"/>
  <c r="AD41" i="7"/>
  <c r="AE41" i="7"/>
  <c r="AF41" i="7"/>
  <c r="AH41" i="7"/>
  <c r="AI41" i="7"/>
  <c r="AJ41" i="7"/>
  <c r="AM41" i="7"/>
  <c r="AO41" i="7"/>
  <c r="AP41" i="7"/>
  <c r="AQ41" i="7"/>
  <c r="AR41" i="7"/>
  <c r="AS41" i="7"/>
  <c r="AT41" i="7"/>
  <c r="AU41" i="7"/>
  <c r="D42" i="7"/>
  <c r="E42" i="7"/>
  <c r="F42" i="7"/>
  <c r="I42" i="7"/>
  <c r="K42" i="7"/>
  <c r="L42" i="7"/>
  <c r="M42" i="7"/>
  <c r="N42" i="7"/>
  <c r="O42" i="7"/>
  <c r="P42" i="7"/>
  <c r="Q42" i="7"/>
  <c r="S42" i="7"/>
  <c r="T42" i="7"/>
  <c r="U42" i="7"/>
  <c r="X42" i="7"/>
  <c r="Z42" i="7"/>
  <c r="AA42" i="7"/>
  <c r="AB42" i="7"/>
  <c r="AC42" i="7"/>
  <c r="AD42" i="7"/>
  <c r="AE42" i="7"/>
  <c r="AF42" i="7"/>
  <c r="AH42" i="7"/>
  <c r="AI42" i="7"/>
  <c r="AJ42" i="7"/>
  <c r="AM42" i="7"/>
  <c r="AO42" i="7"/>
  <c r="AP42" i="7"/>
  <c r="AQ42" i="7"/>
  <c r="AR42" i="7"/>
  <c r="AS42" i="7"/>
  <c r="AT42" i="7"/>
  <c r="AU42" i="7"/>
  <c r="D43" i="7"/>
  <c r="E43" i="7"/>
  <c r="F43" i="7"/>
  <c r="I43" i="7"/>
  <c r="K43" i="7"/>
  <c r="L43" i="7"/>
  <c r="M43" i="7"/>
  <c r="N43" i="7"/>
  <c r="O43" i="7"/>
  <c r="P43" i="7"/>
  <c r="Q43" i="7"/>
  <c r="S43" i="7"/>
  <c r="T43" i="7"/>
  <c r="U43" i="7"/>
  <c r="X43" i="7"/>
  <c r="Z43" i="7"/>
  <c r="AA43" i="7"/>
  <c r="AB43" i="7"/>
  <c r="AC43" i="7"/>
  <c r="AD43" i="7"/>
  <c r="AE43" i="7"/>
  <c r="AF43" i="7"/>
  <c r="AH43" i="7"/>
  <c r="AI43" i="7"/>
  <c r="AJ43" i="7"/>
  <c r="AM43" i="7"/>
  <c r="AO43" i="7"/>
  <c r="AP43" i="7"/>
  <c r="AQ43" i="7"/>
  <c r="AR43" i="7"/>
  <c r="AS43" i="7"/>
  <c r="AT43" i="7"/>
  <c r="AU43" i="7"/>
  <c r="D44" i="7"/>
  <c r="E44" i="7"/>
  <c r="F44" i="7"/>
  <c r="I44" i="7"/>
  <c r="K44" i="7"/>
  <c r="L44" i="7"/>
  <c r="M44" i="7"/>
  <c r="N44" i="7"/>
  <c r="O44" i="7"/>
  <c r="P44" i="7"/>
  <c r="Q44" i="7"/>
  <c r="S44" i="7"/>
  <c r="T44" i="7"/>
  <c r="U44" i="7"/>
  <c r="X44" i="7"/>
  <c r="Z44" i="7"/>
  <c r="AA44" i="7"/>
  <c r="AB44" i="7"/>
  <c r="AC44" i="7"/>
  <c r="AD44" i="7"/>
  <c r="AE44" i="7"/>
  <c r="AF44" i="7"/>
  <c r="AH44" i="7"/>
  <c r="AI44" i="7"/>
  <c r="AJ44" i="7"/>
  <c r="AM44" i="7"/>
  <c r="AO44" i="7"/>
  <c r="AP44" i="7"/>
  <c r="AQ44" i="7"/>
  <c r="AR44" i="7"/>
  <c r="AS44" i="7"/>
  <c r="AT44" i="7"/>
  <c r="AU44" i="7"/>
  <c r="D47" i="7"/>
  <c r="E47" i="7"/>
  <c r="F47" i="7"/>
  <c r="I47" i="7"/>
  <c r="K47" i="7"/>
  <c r="L47" i="7"/>
  <c r="M47" i="7"/>
  <c r="N47" i="7"/>
  <c r="O47" i="7"/>
  <c r="P47" i="7"/>
  <c r="Q47" i="7"/>
  <c r="S47" i="7"/>
  <c r="T47" i="7"/>
  <c r="U47" i="7"/>
  <c r="X47" i="7"/>
  <c r="Z47" i="7"/>
  <c r="AA47" i="7"/>
  <c r="AB47" i="7"/>
  <c r="AC47" i="7"/>
  <c r="AD47" i="7"/>
  <c r="AE47" i="7"/>
  <c r="AF47" i="7"/>
  <c r="AH47" i="7"/>
  <c r="AI47" i="7"/>
  <c r="AJ47" i="7"/>
  <c r="AM47" i="7"/>
  <c r="AO47" i="7"/>
  <c r="AP47" i="7"/>
  <c r="AQ47" i="7"/>
  <c r="AR47" i="7"/>
  <c r="AS47" i="7"/>
  <c r="AT47" i="7"/>
  <c r="AU47" i="7"/>
  <c r="D48" i="7"/>
  <c r="E48" i="7"/>
  <c r="F48" i="7"/>
  <c r="I48" i="7"/>
  <c r="K48" i="7"/>
  <c r="L48" i="7"/>
  <c r="M48" i="7"/>
  <c r="N48" i="7"/>
  <c r="O48" i="7"/>
  <c r="P48" i="7"/>
  <c r="Q48" i="7"/>
  <c r="S48" i="7"/>
  <c r="T48" i="7"/>
  <c r="U48" i="7"/>
  <c r="X48" i="7"/>
  <c r="Z48" i="7"/>
  <c r="AA48" i="7"/>
  <c r="AB48" i="7"/>
  <c r="AC48" i="7"/>
  <c r="AD48" i="7"/>
  <c r="AE48" i="7"/>
  <c r="AF48" i="7"/>
  <c r="AH48" i="7"/>
  <c r="AI48" i="7"/>
  <c r="AJ48" i="7"/>
  <c r="AM48" i="7"/>
  <c r="AO48" i="7"/>
  <c r="AP48" i="7"/>
  <c r="AQ48" i="7"/>
  <c r="AR48" i="7"/>
  <c r="AS48" i="7"/>
  <c r="AT48" i="7"/>
  <c r="AU48" i="7"/>
  <c r="D49" i="7"/>
  <c r="E49" i="7"/>
  <c r="F49" i="7"/>
  <c r="I49" i="7"/>
  <c r="K49" i="7"/>
  <c r="L49" i="7"/>
  <c r="M49" i="7"/>
  <c r="N49" i="7"/>
  <c r="O49" i="7"/>
  <c r="P49" i="7"/>
  <c r="Q49" i="7"/>
  <c r="S49" i="7"/>
  <c r="T49" i="7"/>
  <c r="U49" i="7"/>
  <c r="X49" i="7"/>
  <c r="Z49" i="7"/>
  <c r="AA49" i="7"/>
  <c r="AB49" i="7"/>
  <c r="AC49" i="7"/>
  <c r="AD49" i="7"/>
  <c r="AE49" i="7"/>
  <c r="AF49" i="7"/>
  <c r="AH49" i="7"/>
  <c r="AI49" i="7"/>
  <c r="AJ49" i="7"/>
  <c r="AM49" i="7"/>
  <c r="AO49" i="7"/>
  <c r="AP49" i="7"/>
  <c r="AQ49" i="7"/>
  <c r="AR49" i="7"/>
  <c r="AS49" i="7"/>
  <c r="AT49" i="7"/>
  <c r="AU49" i="7"/>
  <c r="D50" i="7"/>
  <c r="E50" i="7"/>
  <c r="F50" i="7"/>
  <c r="I50" i="7"/>
  <c r="K50" i="7"/>
  <c r="L50" i="7"/>
  <c r="M50" i="7"/>
  <c r="N50" i="7"/>
  <c r="O50" i="7"/>
  <c r="P50" i="7"/>
  <c r="Q50" i="7"/>
  <c r="S50" i="7"/>
  <c r="T50" i="7"/>
  <c r="U50" i="7"/>
  <c r="X50" i="7"/>
  <c r="Z50" i="7"/>
  <c r="AA50" i="7"/>
  <c r="AB50" i="7"/>
  <c r="AC50" i="7"/>
  <c r="AD50" i="7"/>
  <c r="AE50" i="7"/>
  <c r="AF50" i="7"/>
  <c r="AH50" i="7"/>
  <c r="AI50" i="7"/>
  <c r="AJ50" i="7"/>
  <c r="AM50" i="7"/>
  <c r="AO50" i="7"/>
  <c r="AP50" i="7"/>
  <c r="AQ50" i="7"/>
  <c r="AR50" i="7"/>
  <c r="AS50" i="7"/>
  <c r="AT50" i="7"/>
  <c r="AU50" i="7"/>
  <c r="D51" i="7"/>
  <c r="E51" i="7"/>
  <c r="F51" i="7"/>
  <c r="I51" i="7"/>
  <c r="K51" i="7"/>
  <c r="L51" i="7"/>
  <c r="M51" i="7"/>
  <c r="N51" i="7"/>
  <c r="O51" i="7"/>
  <c r="P51" i="7"/>
  <c r="Q51" i="7"/>
  <c r="S51" i="7"/>
  <c r="T51" i="7"/>
  <c r="U51" i="7"/>
  <c r="X51" i="7"/>
  <c r="Z51" i="7"/>
  <c r="AA51" i="7"/>
  <c r="AB51" i="7"/>
  <c r="AC51" i="7"/>
  <c r="AD51" i="7"/>
  <c r="AE51" i="7"/>
  <c r="AF51" i="7"/>
  <c r="AH51" i="7"/>
  <c r="AI51" i="7"/>
  <c r="AJ51" i="7"/>
  <c r="AM51" i="7"/>
  <c r="AO51" i="7"/>
  <c r="AP51" i="7"/>
  <c r="AQ51" i="7"/>
  <c r="AR51" i="7"/>
  <c r="AS51" i="7"/>
  <c r="AT51" i="7"/>
  <c r="AU51" i="7"/>
  <c r="D52" i="7"/>
  <c r="E52" i="7"/>
  <c r="F52" i="7"/>
  <c r="I52" i="7"/>
  <c r="K52" i="7"/>
  <c r="L52" i="7"/>
  <c r="M52" i="7"/>
  <c r="N52" i="7"/>
  <c r="O52" i="7"/>
  <c r="P52" i="7"/>
  <c r="Q52" i="7"/>
  <c r="S52" i="7"/>
  <c r="T52" i="7"/>
  <c r="U52" i="7"/>
  <c r="X52" i="7"/>
  <c r="Z52" i="7"/>
  <c r="AA52" i="7"/>
  <c r="AB52" i="7"/>
  <c r="AC52" i="7"/>
  <c r="AD52" i="7"/>
  <c r="AE52" i="7"/>
  <c r="AF52" i="7"/>
  <c r="AH52" i="7"/>
  <c r="AI52" i="7"/>
  <c r="AJ52" i="7"/>
  <c r="AM52" i="7"/>
  <c r="AO52" i="7"/>
  <c r="AP52" i="7"/>
  <c r="AQ52" i="7"/>
  <c r="AR52" i="7"/>
  <c r="AS52" i="7"/>
  <c r="AT52" i="7"/>
  <c r="AU52" i="7"/>
  <c r="D53" i="7"/>
  <c r="E53" i="7"/>
  <c r="F53" i="7"/>
  <c r="I53" i="7"/>
  <c r="K53" i="7"/>
  <c r="L53" i="7"/>
  <c r="M53" i="7"/>
  <c r="N53" i="7"/>
  <c r="O53" i="7"/>
  <c r="P53" i="7"/>
  <c r="Q53" i="7"/>
  <c r="S53" i="7"/>
  <c r="T53" i="7"/>
  <c r="U53" i="7"/>
  <c r="X53" i="7"/>
  <c r="Z53" i="7"/>
  <c r="AA53" i="7"/>
  <c r="AB53" i="7"/>
  <c r="AC53" i="7"/>
  <c r="AD53" i="7"/>
  <c r="AE53" i="7"/>
  <c r="AF53" i="7"/>
  <c r="AH53" i="7"/>
  <c r="AI53" i="7"/>
  <c r="AJ53" i="7"/>
  <c r="AM53" i="7"/>
  <c r="AO53" i="7"/>
  <c r="AP53" i="7"/>
  <c r="AQ53" i="7"/>
  <c r="AR53" i="7"/>
  <c r="AS53" i="7"/>
  <c r="AT53" i="7"/>
  <c r="AU53" i="7"/>
  <c r="D54" i="7"/>
  <c r="E54" i="7"/>
  <c r="F54" i="7"/>
  <c r="I54" i="7"/>
  <c r="K54" i="7"/>
  <c r="L54" i="7"/>
  <c r="M54" i="7"/>
  <c r="N54" i="7"/>
  <c r="O54" i="7"/>
  <c r="P54" i="7"/>
  <c r="Q54" i="7"/>
  <c r="S54" i="7"/>
  <c r="T54" i="7"/>
  <c r="U54" i="7"/>
  <c r="X54" i="7"/>
  <c r="Z54" i="7"/>
  <c r="AA54" i="7"/>
  <c r="AB54" i="7"/>
  <c r="AC54" i="7"/>
  <c r="AD54" i="7"/>
  <c r="AE54" i="7"/>
  <c r="AF54" i="7"/>
  <c r="AH54" i="7"/>
  <c r="AI54" i="7"/>
  <c r="AJ54" i="7"/>
  <c r="AM54" i="7"/>
  <c r="AO54" i="7"/>
  <c r="AP54" i="7"/>
  <c r="AQ54" i="7"/>
  <c r="AR54" i="7"/>
  <c r="AS54" i="7"/>
  <c r="AT54" i="7"/>
  <c r="AU54" i="7"/>
  <c r="D55" i="7"/>
  <c r="E55" i="7"/>
  <c r="F55" i="7"/>
  <c r="I55" i="7"/>
  <c r="K55" i="7"/>
  <c r="L55" i="7"/>
  <c r="M55" i="7"/>
  <c r="N55" i="7"/>
  <c r="O55" i="7"/>
  <c r="P55" i="7"/>
  <c r="Q55" i="7"/>
  <c r="S55" i="7"/>
  <c r="T55" i="7"/>
  <c r="U55" i="7"/>
  <c r="X55" i="7"/>
  <c r="Z55" i="7"/>
  <c r="AA55" i="7"/>
  <c r="AB55" i="7"/>
  <c r="AC55" i="7"/>
  <c r="AD55" i="7"/>
  <c r="AE55" i="7"/>
  <c r="AF55" i="7"/>
  <c r="AH55" i="7"/>
  <c r="AI55" i="7"/>
  <c r="AJ55" i="7"/>
  <c r="AM55" i="7"/>
  <c r="AO55" i="7"/>
  <c r="AP55" i="7"/>
  <c r="AQ55" i="7"/>
  <c r="AR55" i="7"/>
  <c r="AS55" i="7"/>
  <c r="AT55" i="7"/>
  <c r="AU55" i="7"/>
  <c r="D56" i="7"/>
  <c r="E56" i="7"/>
  <c r="F56" i="7"/>
  <c r="I56" i="7"/>
  <c r="K56" i="7"/>
  <c r="L56" i="7"/>
  <c r="M56" i="7"/>
  <c r="N56" i="7"/>
  <c r="O56" i="7"/>
  <c r="P56" i="7"/>
  <c r="Q56" i="7"/>
  <c r="S56" i="7"/>
  <c r="T56" i="7"/>
  <c r="U56" i="7"/>
  <c r="X56" i="7"/>
  <c r="Z56" i="7"/>
  <c r="AA56" i="7"/>
  <c r="AB56" i="7"/>
  <c r="AC56" i="7"/>
  <c r="AD56" i="7"/>
  <c r="AE56" i="7"/>
  <c r="AF56" i="7"/>
  <c r="AH56" i="7"/>
  <c r="AI56" i="7"/>
  <c r="AJ56" i="7"/>
  <c r="AM56" i="7"/>
  <c r="AO56" i="7"/>
  <c r="AP56" i="7"/>
  <c r="AQ56" i="7"/>
  <c r="AR56" i="7"/>
  <c r="AS56" i="7"/>
  <c r="AT56" i="7"/>
  <c r="AU56" i="7"/>
  <c r="D57" i="7"/>
  <c r="E57" i="7"/>
  <c r="F57" i="7"/>
  <c r="I57" i="7"/>
  <c r="K57" i="7"/>
  <c r="L57" i="7"/>
  <c r="M57" i="7"/>
  <c r="N57" i="7"/>
  <c r="O57" i="7"/>
  <c r="P57" i="7"/>
  <c r="Q57" i="7"/>
  <c r="S57" i="7"/>
  <c r="T57" i="7"/>
  <c r="U57" i="7"/>
  <c r="X57" i="7"/>
  <c r="Z57" i="7"/>
  <c r="AA57" i="7"/>
  <c r="AB57" i="7"/>
  <c r="AC57" i="7"/>
  <c r="AD57" i="7"/>
  <c r="AE57" i="7"/>
  <c r="AF57" i="7"/>
  <c r="AH57" i="7"/>
  <c r="AI57" i="7"/>
  <c r="AJ57" i="7"/>
  <c r="AM57" i="7"/>
  <c r="AO57" i="7"/>
  <c r="AP57" i="7"/>
  <c r="AQ57" i="7"/>
  <c r="AR57" i="7"/>
  <c r="AS57" i="7"/>
  <c r="AT57" i="7"/>
  <c r="AU57" i="7"/>
  <c r="D58" i="7"/>
  <c r="E58" i="7"/>
  <c r="F58" i="7"/>
  <c r="I58" i="7"/>
  <c r="K58" i="7"/>
  <c r="L58" i="7"/>
  <c r="M58" i="7"/>
  <c r="N58" i="7"/>
  <c r="O58" i="7"/>
  <c r="P58" i="7"/>
  <c r="Q58" i="7"/>
  <c r="S58" i="7"/>
  <c r="T58" i="7"/>
  <c r="U58" i="7"/>
  <c r="X58" i="7"/>
  <c r="Z58" i="7"/>
  <c r="AA58" i="7"/>
  <c r="AB58" i="7"/>
  <c r="AC58" i="7"/>
  <c r="AD58" i="7"/>
  <c r="AE58" i="7"/>
  <c r="AF58" i="7"/>
  <c r="AH58" i="7"/>
  <c r="AI58" i="7"/>
  <c r="AJ58" i="7"/>
  <c r="AM58" i="7"/>
  <c r="AO58" i="7"/>
  <c r="AP58" i="7"/>
  <c r="AQ58" i="7"/>
  <c r="AR58" i="7"/>
  <c r="AS58" i="7"/>
  <c r="AT58" i="7"/>
  <c r="AU58" i="7"/>
  <c r="D59" i="7"/>
  <c r="E59" i="7"/>
  <c r="F59" i="7"/>
  <c r="I59" i="7"/>
  <c r="K59" i="7"/>
  <c r="L59" i="7"/>
  <c r="M59" i="7"/>
  <c r="N59" i="7"/>
  <c r="O59" i="7"/>
  <c r="P59" i="7"/>
  <c r="Q59" i="7"/>
  <c r="S59" i="7"/>
  <c r="T59" i="7"/>
  <c r="U59" i="7"/>
  <c r="X59" i="7"/>
  <c r="Z59" i="7"/>
  <c r="AA59" i="7"/>
  <c r="AB59" i="7"/>
  <c r="AC59" i="7"/>
  <c r="AD59" i="7"/>
  <c r="AE59" i="7"/>
  <c r="AF59" i="7"/>
  <c r="AH59" i="7"/>
  <c r="AI59" i="7"/>
  <c r="AJ59" i="7"/>
  <c r="AM59" i="7"/>
  <c r="AO59" i="7"/>
  <c r="AP59" i="7"/>
  <c r="AQ59" i="7"/>
  <c r="AR59" i="7"/>
  <c r="AS59" i="7"/>
  <c r="AT59" i="7"/>
  <c r="AU59" i="7"/>
  <c r="D60" i="7"/>
  <c r="E60" i="7"/>
  <c r="F60" i="7"/>
  <c r="I60" i="7"/>
  <c r="K60" i="7"/>
  <c r="L60" i="7"/>
  <c r="M60" i="7"/>
  <c r="N60" i="7"/>
  <c r="O60" i="7"/>
  <c r="P60" i="7"/>
  <c r="Q60" i="7"/>
  <c r="S60" i="7"/>
  <c r="T60" i="7"/>
  <c r="U60" i="7"/>
  <c r="X60" i="7"/>
  <c r="Z60" i="7"/>
  <c r="AA60" i="7"/>
  <c r="AB60" i="7"/>
  <c r="AC60" i="7"/>
  <c r="AD60" i="7"/>
  <c r="AE60" i="7"/>
  <c r="AF60" i="7"/>
  <c r="AH60" i="7"/>
  <c r="AI60" i="7"/>
  <c r="AJ60" i="7"/>
  <c r="AM60" i="7"/>
  <c r="AO60" i="7"/>
  <c r="AP60" i="7"/>
  <c r="AQ60" i="7"/>
  <c r="AR60" i="7"/>
  <c r="AS60" i="7"/>
  <c r="AT60" i="7"/>
  <c r="AU60" i="7"/>
  <c r="D61" i="7"/>
  <c r="E61" i="7"/>
  <c r="F61" i="7"/>
  <c r="I61" i="7"/>
  <c r="K61" i="7"/>
  <c r="L61" i="7"/>
  <c r="M61" i="7"/>
  <c r="N61" i="7"/>
  <c r="O61" i="7"/>
  <c r="P61" i="7"/>
  <c r="Q61" i="7"/>
  <c r="S61" i="7"/>
  <c r="T61" i="7"/>
  <c r="U61" i="7"/>
  <c r="X61" i="7"/>
  <c r="Z61" i="7"/>
  <c r="AA61" i="7"/>
  <c r="AB61" i="7"/>
  <c r="AC61" i="7"/>
  <c r="AD61" i="7"/>
  <c r="AE61" i="7"/>
  <c r="AF61" i="7"/>
  <c r="AH61" i="7"/>
  <c r="AI61" i="7"/>
  <c r="AJ61" i="7"/>
  <c r="AM61" i="7"/>
  <c r="AO61" i="7"/>
  <c r="AP61" i="7"/>
  <c r="AQ61" i="7"/>
  <c r="AR61" i="7"/>
  <c r="AS61" i="7"/>
  <c r="AT61" i="7"/>
  <c r="AU61" i="7"/>
  <c r="D62" i="7"/>
  <c r="E62" i="7"/>
  <c r="F62" i="7"/>
  <c r="I62" i="7"/>
  <c r="K62" i="7"/>
  <c r="L62" i="7"/>
  <c r="M62" i="7"/>
  <c r="N62" i="7"/>
  <c r="O62" i="7"/>
  <c r="P62" i="7"/>
  <c r="Q62" i="7"/>
  <c r="S62" i="7"/>
  <c r="T62" i="7"/>
  <c r="U62" i="7"/>
  <c r="X62" i="7"/>
  <c r="Z62" i="7"/>
  <c r="AA62" i="7"/>
  <c r="AB62" i="7"/>
  <c r="AC62" i="7"/>
  <c r="AD62" i="7"/>
  <c r="AE62" i="7"/>
  <c r="AF62" i="7"/>
  <c r="AH62" i="7"/>
  <c r="AI62" i="7"/>
  <c r="AJ62" i="7"/>
  <c r="AM62" i="7"/>
  <c r="AO62" i="7"/>
  <c r="AP62" i="7"/>
  <c r="AQ62" i="7"/>
  <c r="AR62" i="7"/>
  <c r="AS62" i="7"/>
  <c r="AT62" i="7"/>
  <c r="AU62" i="7"/>
  <c r="D63" i="7"/>
  <c r="E63" i="7"/>
  <c r="F63" i="7"/>
  <c r="I63" i="7"/>
  <c r="K63" i="7"/>
  <c r="L63" i="7"/>
  <c r="M63" i="7"/>
  <c r="N63" i="7"/>
  <c r="O63" i="7"/>
  <c r="P63" i="7"/>
  <c r="Q63" i="7"/>
  <c r="S63" i="7"/>
  <c r="T63" i="7"/>
  <c r="U63" i="7"/>
  <c r="X63" i="7"/>
  <c r="Z63" i="7"/>
  <c r="AA63" i="7"/>
  <c r="AB63" i="7"/>
  <c r="AC63" i="7"/>
  <c r="AD63" i="7"/>
  <c r="AE63" i="7"/>
  <c r="AF63" i="7"/>
  <c r="AH63" i="7"/>
  <c r="AI63" i="7"/>
  <c r="AJ63" i="7"/>
  <c r="AM63" i="7"/>
  <c r="AO63" i="7"/>
  <c r="AP63" i="7"/>
  <c r="AQ63" i="7"/>
  <c r="AR63" i="7"/>
  <c r="AS63" i="7"/>
  <c r="AT63" i="7"/>
  <c r="AU63" i="7"/>
  <c r="D64" i="7"/>
  <c r="E64" i="7"/>
  <c r="F64" i="7"/>
  <c r="I64" i="7"/>
  <c r="K64" i="7"/>
  <c r="L64" i="7"/>
  <c r="M64" i="7"/>
  <c r="N64" i="7"/>
  <c r="O64" i="7"/>
  <c r="P64" i="7"/>
  <c r="Q64" i="7"/>
  <c r="S64" i="7"/>
  <c r="T64" i="7"/>
  <c r="U64" i="7"/>
  <c r="X64" i="7"/>
  <c r="Z64" i="7"/>
  <c r="AA64" i="7"/>
  <c r="AB64" i="7"/>
  <c r="AC64" i="7"/>
  <c r="AD64" i="7"/>
  <c r="AE64" i="7"/>
  <c r="AF64" i="7"/>
  <c r="AH64" i="7"/>
  <c r="AI64" i="7"/>
  <c r="AJ64" i="7"/>
  <c r="AM64" i="7"/>
  <c r="AO64" i="7"/>
  <c r="AP64" i="7"/>
  <c r="AQ64" i="7"/>
  <c r="AR64" i="7"/>
  <c r="AS64" i="7"/>
  <c r="AT64" i="7"/>
  <c r="AU64" i="7"/>
  <c r="D65" i="7"/>
  <c r="E65" i="7"/>
  <c r="F65" i="7"/>
  <c r="I65" i="7"/>
  <c r="K65" i="7"/>
  <c r="L65" i="7"/>
  <c r="M65" i="7"/>
  <c r="N65" i="7"/>
  <c r="O65" i="7"/>
  <c r="P65" i="7"/>
  <c r="Q65" i="7"/>
  <c r="S65" i="7"/>
  <c r="T65" i="7"/>
  <c r="U65" i="7"/>
  <c r="X65" i="7"/>
  <c r="Z65" i="7"/>
  <c r="AA65" i="7"/>
  <c r="AB65" i="7"/>
  <c r="AC65" i="7"/>
  <c r="AD65" i="7"/>
  <c r="AE65" i="7"/>
  <c r="AF65" i="7"/>
  <c r="AH65" i="7"/>
  <c r="AI65" i="7"/>
  <c r="AJ65" i="7"/>
  <c r="AM65" i="7"/>
  <c r="AO65" i="7"/>
  <c r="AP65" i="7"/>
  <c r="AQ65" i="7"/>
  <c r="AR65" i="7"/>
  <c r="AS65" i="7"/>
  <c r="AT65" i="7"/>
  <c r="AU65" i="7"/>
  <c r="D66" i="7"/>
  <c r="E66" i="7"/>
  <c r="F66" i="7"/>
  <c r="I66" i="7"/>
  <c r="K66" i="7"/>
  <c r="L66" i="7"/>
  <c r="M66" i="7"/>
  <c r="N66" i="7"/>
  <c r="O66" i="7"/>
  <c r="P66" i="7"/>
  <c r="Q66" i="7"/>
  <c r="S66" i="7"/>
  <c r="T66" i="7"/>
  <c r="U66" i="7"/>
  <c r="X66" i="7"/>
  <c r="Z66" i="7"/>
  <c r="AA66" i="7"/>
  <c r="AB66" i="7"/>
  <c r="AC66" i="7"/>
  <c r="AD66" i="7"/>
  <c r="AE66" i="7"/>
  <c r="AF66" i="7"/>
  <c r="AH66" i="7"/>
  <c r="AI66" i="7"/>
  <c r="AJ66" i="7"/>
  <c r="AM66" i="7"/>
  <c r="AO66" i="7"/>
  <c r="AP66" i="7"/>
  <c r="AQ66" i="7"/>
  <c r="AR66" i="7"/>
  <c r="AS66" i="7"/>
  <c r="AT66" i="7"/>
  <c r="AU66" i="7"/>
  <c r="D67" i="7"/>
  <c r="E67" i="7"/>
  <c r="F67" i="7"/>
  <c r="I67" i="7"/>
  <c r="K67" i="7"/>
  <c r="L67" i="7"/>
  <c r="M67" i="7"/>
  <c r="N67" i="7"/>
  <c r="O67" i="7"/>
  <c r="P67" i="7"/>
  <c r="Q67" i="7"/>
  <c r="S67" i="7"/>
  <c r="T67" i="7"/>
  <c r="U67" i="7"/>
  <c r="X67" i="7"/>
  <c r="Z67" i="7"/>
  <c r="AA67" i="7"/>
  <c r="AB67" i="7"/>
  <c r="AC67" i="7"/>
  <c r="AD67" i="7"/>
  <c r="AE67" i="7"/>
  <c r="AF67" i="7"/>
  <c r="AH67" i="7"/>
  <c r="AI67" i="7"/>
  <c r="AJ67" i="7"/>
  <c r="AM67" i="7"/>
  <c r="AO67" i="7"/>
  <c r="AP67" i="7"/>
  <c r="AQ67" i="7"/>
  <c r="AR67" i="7"/>
  <c r="AS67" i="7"/>
  <c r="AT67" i="7"/>
  <c r="AU67" i="7"/>
  <c r="D68" i="7"/>
  <c r="E68" i="7"/>
  <c r="F68" i="7"/>
  <c r="I68" i="7"/>
  <c r="K68" i="7"/>
  <c r="L68" i="7"/>
  <c r="M68" i="7"/>
  <c r="N68" i="7"/>
  <c r="O68" i="7"/>
  <c r="P68" i="7"/>
  <c r="Q68" i="7"/>
  <c r="S68" i="7"/>
  <c r="T68" i="7"/>
  <c r="U68" i="7"/>
  <c r="X68" i="7"/>
  <c r="Z68" i="7"/>
  <c r="AA68" i="7"/>
  <c r="AB68" i="7"/>
  <c r="AC68" i="7"/>
  <c r="AD68" i="7"/>
  <c r="AE68" i="7"/>
  <c r="AF68" i="7"/>
  <c r="AH68" i="7"/>
  <c r="AI68" i="7"/>
  <c r="AJ68" i="7"/>
  <c r="AM68" i="7"/>
  <c r="AO68" i="7"/>
  <c r="AP68" i="7"/>
  <c r="AQ68" i="7"/>
  <c r="AR68" i="7"/>
  <c r="AS68" i="7"/>
  <c r="AT68" i="7"/>
  <c r="AU68" i="7"/>
  <c r="D69" i="7"/>
  <c r="E69" i="7"/>
  <c r="F69" i="7"/>
  <c r="I69" i="7"/>
  <c r="K69" i="7"/>
  <c r="L69" i="7"/>
  <c r="M69" i="7"/>
  <c r="N69" i="7"/>
  <c r="O69" i="7"/>
  <c r="P69" i="7"/>
  <c r="Q69" i="7"/>
  <c r="S69" i="7"/>
  <c r="T69" i="7"/>
  <c r="U69" i="7"/>
  <c r="X69" i="7"/>
  <c r="Z69" i="7"/>
  <c r="AA69" i="7"/>
  <c r="AB69" i="7"/>
  <c r="AC69" i="7"/>
  <c r="AD69" i="7"/>
  <c r="AE69" i="7"/>
  <c r="AF69" i="7"/>
  <c r="AH69" i="7"/>
  <c r="AI69" i="7"/>
  <c r="AJ69" i="7"/>
  <c r="AM69" i="7"/>
  <c r="AO69" i="7"/>
  <c r="AP69" i="7"/>
  <c r="AQ69" i="7"/>
  <c r="AR69" i="7"/>
  <c r="AS69" i="7"/>
  <c r="AT69" i="7"/>
  <c r="AU69" i="7"/>
  <c r="D70" i="7"/>
  <c r="E70" i="7"/>
  <c r="F70" i="7"/>
  <c r="I70" i="7"/>
  <c r="K70" i="7"/>
  <c r="L70" i="7"/>
  <c r="M70" i="7"/>
  <c r="N70" i="7"/>
  <c r="O70" i="7"/>
  <c r="P70" i="7"/>
  <c r="Q70" i="7"/>
  <c r="S70" i="7"/>
  <c r="T70" i="7"/>
  <c r="U70" i="7"/>
  <c r="X70" i="7"/>
  <c r="Z70" i="7"/>
  <c r="AA70" i="7"/>
  <c r="AB70" i="7"/>
  <c r="AC70" i="7"/>
  <c r="AD70" i="7"/>
  <c r="AE70" i="7"/>
  <c r="AF70" i="7"/>
  <c r="AH70" i="7"/>
  <c r="AI70" i="7"/>
  <c r="AJ70" i="7"/>
  <c r="AM70" i="7"/>
  <c r="AO70" i="7"/>
  <c r="AP70" i="7"/>
  <c r="AQ70" i="7"/>
  <c r="AR70" i="7"/>
  <c r="AS70" i="7"/>
  <c r="AT70" i="7"/>
  <c r="AU70" i="7"/>
  <c r="D71" i="7"/>
  <c r="E71" i="7"/>
  <c r="F71" i="7"/>
  <c r="I71" i="7"/>
  <c r="K71" i="7"/>
  <c r="L71" i="7"/>
  <c r="M71" i="7"/>
  <c r="N71" i="7"/>
  <c r="O71" i="7"/>
  <c r="P71" i="7"/>
  <c r="Q71" i="7"/>
  <c r="S71" i="7"/>
  <c r="T71" i="7"/>
  <c r="U71" i="7"/>
  <c r="X71" i="7"/>
  <c r="Z71" i="7"/>
  <c r="AA71" i="7"/>
  <c r="AB71" i="7"/>
  <c r="AC71" i="7"/>
  <c r="AD71" i="7"/>
  <c r="AE71" i="7"/>
  <c r="AF71" i="7"/>
  <c r="AH71" i="7"/>
  <c r="AI71" i="7"/>
  <c r="AJ71" i="7"/>
  <c r="AM71" i="7"/>
  <c r="AO71" i="7"/>
  <c r="AP71" i="7"/>
  <c r="AQ71" i="7"/>
  <c r="AR71" i="7"/>
  <c r="AS71" i="7"/>
  <c r="AT71" i="7"/>
  <c r="AU71" i="7"/>
  <c r="D72" i="7"/>
  <c r="E72" i="7"/>
  <c r="F72" i="7"/>
  <c r="I72" i="7"/>
  <c r="K72" i="7"/>
  <c r="L72" i="7"/>
  <c r="M72" i="7"/>
  <c r="N72" i="7"/>
  <c r="O72" i="7"/>
  <c r="P72" i="7"/>
  <c r="Q72" i="7"/>
  <c r="S72" i="7"/>
  <c r="T72" i="7"/>
  <c r="U72" i="7"/>
  <c r="X72" i="7"/>
  <c r="Z72" i="7"/>
  <c r="AA72" i="7"/>
  <c r="AB72" i="7"/>
  <c r="AC72" i="7"/>
  <c r="AD72" i="7"/>
  <c r="AE72" i="7"/>
  <c r="AF72" i="7"/>
  <c r="AH72" i="7"/>
  <c r="AI72" i="7"/>
  <c r="AJ72" i="7"/>
  <c r="AM72" i="7"/>
  <c r="AO72" i="7"/>
  <c r="AP72" i="7"/>
  <c r="AQ72" i="7"/>
  <c r="AR72" i="7"/>
  <c r="AS72" i="7"/>
  <c r="AT72" i="7"/>
  <c r="AU72" i="7"/>
  <c r="D73" i="7"/>
  <c r="E73" i="7"/>
  <c r="F73" i="7"/>
  <c r="I73" i="7"/>
  <c r="K73" i="7"/>
  <c r="L73" i="7"/>
  <c r="M73" i="7"/>
  <c r="N73" i="7"/>
  <c r="O73" i="7"/>
  <c r="P73" i="7"/>
  <c r="Q73" i="7"/>
  <c r="S73" i="7"/>
  <c r="T73" i="7"/>
  <c r="U73" i="7"/>
  <c r="X73" i="7"/>
  <c r="Z73" i="7"/>
  <c r="AA73" i="7"/>
  <c r="AB73" i="7"/>
  <c r="AC73" i="7"/>
  <c r="AD73" i="7"/>
  <c r="AE73" i="7"/>
  <c r="AF73" i="7"/>
  <c r="AH73" i="7"/>
  <c r="AI73" i="7"/>
  <c r="AJ73" i="7"/>
  <c r="AM73" i="7"/>
  <c r="AO73" i="7"/>
  <c r="AP73" i="7"/>
  <c r="AQ73" i="7"/>
  <c r="AR73" i="7"/>
  <c r="AS73" i="7"/>
  <c r="AT73" i="7"/>
  <c r="AU73" i="7"/>
  <c r="D74" i="7"/>
  <c r="E74" i="7"/>
  <c r="F74" i="7"/>
  <c r="I74" i="7"/>
  <c r="K74" i="7"/>
  <c r="L74" i="7"/>
  <c r="M74" i="7"/>
  <c r="N74" i="7"/>
  <c r="O74" i="7"/>
  <c r="P74" i="7"/>
  <c r="Q74" i="7"/>
  <c r="S74" i="7"/>
  <c r="T74" i="7"/>
  <c r="U74" i="7"/>
  <c r="X74" i="7"/>
  <c r="Z74" i="7"/>
  <c r="AA74" i="7"/>
  <c r="AB74" i="7"/>
  <c r="AC74" i="7"/>
  <c r="AD74" i="7"/>
  <c r="AE74" i="7"/>
  <c r="AF74" i="7"/>
  <c r="AH74" i="7"/>
  <c r="AI74" i="7"/>
  <c r="AJ74" i="7"/>
  <c r="AM74" i="7"/>
  <c r="AO74" i="7"/>
  <c r="AP74" i="7"/>
  <c r="AQ74" i="7"/>
  <c r="AR74" i="7"/>
  <c r="AS74" i="7"/>
  <c r="AT74" i="7"/>
  <c r="AU74" i="7"/>
  <c r="D75" i="7"/>
  <c r="E75" i="7"/>
  <c r="F75" i="7"/>
  <c r="I75" i="7"/>
  <c r="K75" i="7"/>
  <c r="L75" i="7"/>
  <c r="M75" i="7"/>
  <c r="N75" i="7"/>
  <c r="O75" i="7"/>
  <c r="P75" i="7"/>
  <c r="Q75" i="7"/>
  <c r="S75" i="7"/>
  <c r="T75" i="7"/>
  <c r="U75" i="7"/>
  <c r="X75" i="7"/>
  <c r="Z75" i="7"/>
  <c r="AA75" i="7"/>
  <c r="AB75" i="7"/>
  <c r="AC75" i="7"/>
  <c r="AD75" i="7"/>
  <c r="AE75" i="7"/>
  <c r="AF75" i="7"/>
  <c r="AH75" i="7"/>
  <c r="AI75" i="7"/>
  <c r="AJ75" i="7"/>
  <c r="AM75" i="7"/>
  <c r="AO75" i="7"/>
  <c r="AP75" i="7"/>
  <c r="AQ75" i="7"/>
  <c r="AR75" i="7"/>
  <c r="AS75" i="7"/>
  <c r="AT75" i="7"/>
  <c r="AU75" i="7"/>
  <c r="D76" i="7"/>
  <c r="E76" i="7"/>
  <c r="F76" i="7"/>
  <c r="I76" i="7"/>
  <c r="K76" i="7"/>
  <c r="L76" i="7"/>
  <c r="M76" i="7"/>
  <c r="N76" i="7"/>
  <c r="O76" i="7"/>
  <c r="P76" i="7"/>
  <c r="Q76" i="7"/>
  <c r="S76" i="7"/>
  <c r="T76" i="7"/>
  <c r="U76" i="7"/>
  <c r="X76" i="7"/>
  <c r="Z76" i="7"/>
  <c r="AA76" i="7"/>
  <c r="AB76" i="7"/>
  <c r="AC76" i="7"/>
  <c r="AD76" i="7"/>
  <c r="AE76" i="7"/>
  <c r="AF76" i="7"/>
  <c r="AH76" i="7"/>
  <c r="AI76" i="7"/>
  <c r="AJ76" i="7"/>
  <c r="AM76" i="7"/>
  <c r="AO76" i="7"/>
  <c r="AP76" i="7"/>
  <c r="AQ76" i="7"/>
  <c r="AR76" i="7"/>
  <c r="AS76" i="7"/>
  <c r="AT76" i="7"/>
  <c r="AU76" i="7"/>
  <c r="D77" i="7"/>
  <c r="E77" i="7"/>
  <c r="F77" i="7"/>
  <c r="I77" i="7"/>
  <c r="K77" i="7"/>
  <c r="L77" i="7"/>
  <c r="M77" i="7"/>
  <c r="N77" i="7"/>
  <c r="O77" i="7"/>
  <c r="P77" i="7"/>
  <c r="Q77" i="7"/>
  <c r="S77" i="7"/>
  <c r="T77" i="7"/>
  <c r="U77" i="7"/>
  <c r="X77" i="7"/>
  <c r="Z77" i="7"/>
  <c r="AA77" i="7"/>
  <c r="AB77" i="7"/>
  <c r="AC77" i="7"/>
  <c r="AD77" i="7"/>
  <c r="AE77" i="7"/>
  <c r="AF77" i="7"/>
  <c r="AH77" i="7"/>
  <c r="AI77" i="7"/>
  <c r="AJ77" i="7"/>
  <c r="AM77" i="7"/>
  <c r="AO77" i="7"/>
  <c r="AP77" i="7"/>
  <c r="AQ77" i="7"/>
  <c r="AR77" i="7"/>
  <c r="AS77" i="7"/>
  <c r="AT77" i="7"/>
  <c r="AU77" i="7"/>
  <c r="D78" i="7"/>
  <c r="E78" i="7"/>
  <c r="F78" i="7"/>
  <c r="I78" i="7"/>
  <c r="K78" i="7"/>
  <c r="L78" i="7"/>
  <c r="M78" i="7"/>
  <c r="N78" i="7"/>
  <c r="O78" i="7"/>
  <c r="P78" i="7"/>
  <c r="Q78" i="7"/>
  <c r="S78" i="7"/>
  <c r="T78" i="7"/>
  <c r="U78" i="7"/>
  <c r="X78" i="7"/>
  <c r="Z78" i="7"/>
  <c r="AA78" i="7"/>
  <c r="AB78" i="7"/>
  <c r="AC78" i="7"/>
  <c r="AD78" i="7"/>
  <c r="AE78" i="7"/>
  <c r="AF78" i="7"/>
  <c r="AH78" i="7"/>
  <c r="AI78" i="7"/>
  <c r="AJ78" i="7"/>
  <c r="AM78" i="7"/>
  <c r="AO78" i="7"/>
  <c r="AP78" i="7"/>
  <c r="AQ78" i="7"/>
  <c r="AR78" i="7"/>
  <c r="AS78" i="7"/>
  <c r="AT78" i="7"/>
  <c r="AU78" i="7"/>
  <c r="D79" i="7"/>
  <c r="E79" i="7"/>
  <c r="F79" i="7"/>
  <c r="I79" i="7"/>
  <c r="K79" i="7"/>
  <c r="L79" i="7"/>
  <c r="M79" i="7"/>
  <c r="N79" i="7"/>
  <c r="O79" i="7"/>
  <c r="P79" i="7"/>
  <c r="Q79" i="7"/>
  <c r="S79" i="7"/>
  <c r="T79" i="7"/>
  <c r="U79" i="7"/>
  <c r="X79" i="7"/>
  <c r="Z79" i="7"/>
  <c r="AA79" i="7"/>
  <c r="AB79" i="7"/>
  <c r="AC79" i="7"/>
  <c r="AD79" i="7"/>
  <c r="AE79" i="7"/>
  <c r="AF79" i="7"/>
  <c r="AH79" i="7"/>
  <c r="AI79" i="7"/>
  <c r="AJ79" i="7"/>
  <c r="AM79" i="7"/>
  <c r="AO79" i="7"/>
  <c r="AP79" i="7"/>
  <c r="AQ79" i="7"/>
  <c r="AR79" i="7"/>
  <c r="AS79" i="7"/>
  <c r="AT79" i="7"/>
  <c r="AU79" i="7"/>
  <c r="D80" i="7"/>
  <c r="E80" i="7"/>
  <c r="F80" i="7"/>
  <c r="I80" i="7"/>
  <c r="K80" i="7"/>
  <c r="L80" i="7"/>
  <c r="M80" i="7"/>
  <c r="N80" i="7"/>
  <c r="O80" i="7"/>
  <c r="P80" i="7"/>
  <c r="Q80" i="7"/>
  <c r="S80" i="7"/>
  <c r="T80" i="7"/>
  <c r="U80" i="7"/>
  <c r="X80" i="7"/>
  <c r="Z80" i="7"/>
  <c r="AA80" i="7"/>
  <c r="AB80" i="7"/>
  <c r="AC80" i="7"/>
  <c r="AD80" i="7"/>
  <c r="AE80" i="7"/>
  <c r="AF80" i="7"/>
  <c r="AH80" i="7"/>
  <c r="AI80" i="7"/>
  <c r="AJ80" i="7"/>
  <c r="AM80" i="7"/>
  <c r="AO80" i="7"/>
  <c r="AP80" i="7"/>
  <c r="AQ80" i="7"/>
  <c r="AR80" i="7"/>
  <c r="AS80" i="7"/>
  <c r="AT80" i="7"/>
  <c r="AU80" i="7"/>
  <c r="D81" i="7"/>
  <c r="E81" i="7"/>
  <c r="F81" i="7"/>
  <c r="I81" i="7"/>
  <c r="K81" i="7"/>
  <c r="L81" i="7"/>
  <c r="M81" i="7"/>
  <c r="N81" i="7"/>
  <c r="O81" i="7"/>
  <c r="P81" i="7"/>
  <c r="Q81" i="7"/>
  <c r="S81" i="7"/>
  <c r="T81" i="7"/>
  <c r="U81" i="7"/>
  <c r="X81" i="7"/>
  <c r="Z81" i="7"/>
  <c r="AA81" i="7"/>
  <c r="AB81" i="7"/>
  <c r="AC81" i="7"/>
  <c r="AD81" i="7"/>
  <c r="AE81" i="7"/>
  <c r="AF81" i="7"/>
  <c r="AH81" i="7"/>
  <c r="AI81" i="7"/>
  <c r="AJ81" i="7"/>
  <c r="AM81" i="7"/>
  <c r="AO81" i="7"/>
  <c r="AP81" i="7"/>
  <c r="AQ81" i="7"/>
  <c r="AR81" i="7"/>
  <c r="AS81" i="7"/>
  <c r="AT81" i="7"/>
  <c r="AU81" i="7"/>
  <c r="D82" i="7"/>
  <c r="E82" i="7"/>
  <c r="F82" i="7"/>
  <c r="I82" i="7"/>
  <c r="K82" i="7"/>
  <c r="L82" i="7"/>
  <c r="M82" i="7"/>
  <c r="N82" i="7"/>
  <c r="O82" i="7"/>
  <c r="P82" i="7"/>
  <c r="Q82" i="7"/>
  <c r="S82" i="7"/>
  <c r="T82" i="7"/>
  <c r="U82" i="7"/>
  <c r="X82" i="7"/>
  <c r="Z82" i="7"/>
  <c r="AA82" i="7"/>
  <c r="AB82" i="7"/>
  <c r="AC82" i="7"/>
  <c r="AD82" i="7"/>
  <c r="AE82" i="7"/>
  <c r="AF82" i="7"/>
  <c r="AH82" i="7"/>
  <c r="AI82" i="7"/>
  <c r="AJ82" i="7"/>
  <c r="AM82" i="7"/>
  <c r="AO82" i="7"/>
  <c r="AP82" i="7"/>
  <c r="AQ82" i="7"/>
  <c r="AR82" i="7"/>
  <c r="AS82" i="7"/>
  <c r="AT82" i="7"/>
  <c r="AU82" i="7"/>
  <c r="D83" i="7"/>
  <c r="E83" i="7"/>
  <c r="F83" i="7"/>
  <c r="I83" i="7"/>
  <c r="K83" i="7"/>
  <c r="L83" i="7"/>
  <c r="M83" i="7"/>
  <c r="N83" i="7"/>
  <c r="O83" i="7"/>
  <c r="P83" i="7"/>
  <c r="Q83" i="7"/>
  <c r="S83" i="7"/>
  <c r="T83" i="7"/>
  <c r="U83" i="7"/>
  <c r="X83" i="7"/>
  <c r="Z83" i="7"/>
  <c r="AA83" i="7"/>
  <c r="AB83" i="7"/>
  <c r="AC83" i="7"/>
  <c r="AD83" i="7"/>
  <c r="AE83" i="7"/>
  <c r="AF83" i="7"/>
  <c r="AH83" i="7"/>
  <c r="AI83" i="7"/>
  <c r="AJ83" i="7"/>
  <c r="AM83" i="7"/>
  <c r="AO83" i="7"/>
  <c r="AP83" i="7"/>
  <c r="AQ83" i="7"/>
  <c r="AR83" i="7"/>
  <c r="AS83" i="7"/>
  <c r="AT83" i="7"/>
  <c r="AU83" i="7"/>
  <c r="D84" i="7"/>
  <c r="E84" i="7"/>
  <c r="F84" i="7"/>
  <c r="I84" i="7"/>
  <c r="K84" i="7"/>
  <c r="L84" i="7"/>
  <c r="M84" i="7"/>
  <c r="N84" i="7"/>
  <c r="O84" i="7"/>
  <c r="P84" i="7"/>
  <c r="Q84" i="7"/>
  <c r="S84" i="7"/>
  <c r="T84" i="7"/>
  <c r="U84" i="7"/>
  <c r="X84" i="7"/>
  <c r="Z84" i="7"/>
  <c r="AA84" i="7"/>
  <c r="AB84" i="7"/>
  <c r="AC84" i="7"/>
  <c r="AD84" i="7"/>
  <c r="AE84" i="7"/>
  <c r="AF84" i="7"/>
  <c r="AH84" i="7"/>
  <c r="AI84" i="7"/>
  <c r="AJ84" i="7"/>
  <c r="AM84" i="7"/>
  <c r="AO84" i="7"/>
  <c r="AP84" i="7"/>
  <c r="AQ84" i="7"/>
  <c r="AR84" i="7"/>
  <c r="AS84" i="7"/>
  <c r="AT84" i="7"/>
  <c r="AU84" i="7"/>
  <c r="D85" i="7"/>
  <c r="E85" i="7"/>
  <c r="F85" i="7"/>
  <c r="I85" i="7"/>
  <c r="K85" i="7"/>
  <c r="L85" i="7"/>
  <c r="M85" i="7"/>
  <c r="N85" i="7"/>
  <c r="O85" i="7"/>
  <c r="P85" i="7"/>
  <c r="Q85" i="7"/>
  <c r="S85" i="7"/>
  <c r="T85" i="7"/>
  <c r="U85" i="7"/>
  <c r="X85" i="7"/>
  <c r="Z85" i="7"/>
  <c r="AA85" i="7"/>
  <c r="AB85" i="7"/>
  <c r="AC85" i="7"/>
  <c r="AD85" i="7"/>
  <c r="AE85" i="7"/>
  <c r="AF85" i="7"/>
  <c r="AH85" i="7"/>
  <c r="AI85" i="7"/>
  <c r="AJ85" i="7"/>
  <c r="AM85" i="7"/>
  <c r="AO85" i="7"/>
  <c r="AP85" i="7"/>
  <c r="AQ85" i="7"/>
  <c r="AR85" i="7"/>
  <c r="AS85" i="7"/>
  <c r="AT85" i="7"/>
  <c r="AU85" i="7"/>
  <c r="D86" i="7"/>
  <c r="E86" i="7"/>
  <c r="F86" i="7"/>
  <c r="I86" i="7"/>
  <c r="K86" i="7"/>
  <c r="L86" i="7"/>
  <c r="M86" i="7"/>
  <c r="N86" i="7"/>
  <c r="O86" i="7"/>
  <c r="P86" i="7"/>
  <c r="Q86" i="7"/>
  <c r="S86" i="7"/>
  <c r="T86" i="7"/>
  <c r="U86" i="7"/>
  <c r="X86" i="7"/>
  <c r="Z86" i="7"/>
  <c r="AA86" i="7"/>
  <c r="AB86" i="7"/>
  <c r="AC86" i="7"/>
  <c r="AD86" i="7"/>
  <c r="AE86" i="7"/>
  <c r="AF86" i="7"/>
  <c r="AH86" i="7"/>
  <c r="AI86" i="7"/>
  <c r="AJ86" i="7"/>
  <c r="AM86" i="7"/>
  <c r="AO86" i="7"/>
  <c r="AP86" i="7"/>
  <c r="AQ86" i="7"/>
  <c r="AR86" i="7"/>
  <c r="AS86" i="7"/>
  <c r="AT86" i="7"/>
  <c r="AU86" i="7"/>
  <c r="D87" i="7"/>
  <c r="E87" i="7"/>
  <c r="F87" i="7"/>
  <c r="I87" i="7"/>
  <c r="K87" i="7"/>
  <c r="L87" i="7"/>
  <c r="M87" i="7"/>
  <c r="N87" i="7"/>
  <c r="O87" i="7"/>
  <c r="P87" i="7"/>
  <c r="Q87" i="7"/>
  <c r="S87" i="7"/>
  <c r="T87" i="7"/>
  <c r="U87" i="7"/>
  <c r="X87" i="7"/>
  <c r="Z87" i="7"/>
  <c r="AA87" i="7"/>
  <c r="AB87" i="7"/>
  <c r="AC87" i="7"/>
  <c r="AD87" i="7"/>
  <c r="AE87" i="7"/>
  <c r="AF87" i="7"/>
  <c r="AH87" i="7"/>
  <c r="AI87" i="7"/>
  <c r="AJ87" i="7"/>
  <c r="AM87" i="7"/>
  <c r="AO87" i="7"/>
  <c r="AP87" i="7"/>
  <c r="AQ87" i="7"/>
  <c r="AR87" i="7"/>
  <c r="AS87" i="7"/>
  <c r="AT87" i="7"/>
  <c r="AU87" i="7"/>
  <c r="C4" i="12"/>
  <c r="D4" i="12"/>
  <c r="E4" i="12"/>
  <c r="H4" i="12"/>
  <c r="J4" i="12"/>
  <c r="K4" i="12"/>
  <c r="L4" i="12"/>
  <c r="N4" i="12"/>
  <c r="O4" i="12"/>
  <c r="P4" i="12"/>
  <c r="Q4" i="12"/>
  <c r="R4" i="12"/>
  <c r="S4" i="12"/>
  <c r="T4" i="12"/>
  <c r="U4" i="12"/>
  <c r="W4" i="12"/>
  <c r="X4" i="12"/>
  <c r="Y4" i="12"/>
  <c r="AB4" i="12"/>
  <c r="AD4" i="12"/>
  <c r="AE4" i="12"/>
  <c r="AF4" i="12"/>
  <c r="AH4" i="12"/>
  <c r="AI4" i="12"/>
  <c r="AJ4" i="12"/>
  <c r="AK4" i="12"/>
  <c r="AL4" i="12"/>
  <c r="AM4" i="12"/>
  <c r="AN4" i="12"/>
  <c r="AO4" i="12"/>
  <c r="AQ4" i="12"/>
  <c r="AR4" i="12"/>
  <c r="AS4" i="12"/>
  <c r="AV4" i="12"/>
  <c r="AX4" i="12"/>
  <c r="AY4" i="12"/>
  <c r="AZ4" i="12"/>
  <c r="BB4" i="12"/>
  <c r="BC4" i="12"/>
  <c r="BD4" i="12"/>
  <c r="BE4" i="12"/>
  <c r="BF4" i="12"/>
  <c r="BG4" i="12"/>
  <c r="BH4" i="12"/>
  <c r="BI4" i="12"/>
  <c r="C5" i="12"/>
  <c r="D5" i="12"/>
  <c r="E5" i="12"/>
  <c r="H5" i="12"/>
  <c r="J5" i="12"/>
  <c r="K5" i="12"/>
  <c r="L5" i="12"/>
  <c r="N5" i="12"/>
  <c r="O5" i="12"/>
  <c r="P5" i="12"/>
  <c r="Q5" i="12"/>
  <c r="R5" i="12"/>
  <c r="S5" i="12"/>
  <c r="T5" i="12"/>
  <c r="U5" i="12"/>
  <c r="W5" i="12"/>
  <c r="X5" i="12"/>
  <c r="Y5" i="12"/>
  <c r="AB5" i="12"/>
  <c r="AD5" i="12"/>
  <c r="AE5" i="12"/>
  <c r="AF5" i="12"/>
  <c r="AH5" i="12"/>
  <c r="AI5" i="12"/>
  <c r="AJ5" i="12"/>
  <c r="AK5" i="12"/>
  <c r="AL5" i="12"/>
  <c r="AM5" i="12"/>
  <c r="AN5" i="12"/>
  <c r="AO5" i="12"/>
  <c r="AQ5" i="12"/>
  <c r="AR5" i="12"/>
  <c r="AS5" i="12"/>
  <c r="AV5" i="12"/>
  <c r="AX5" i="12"/>
  <c r="AY5" i="12"/>
  <c r="AZ5" i="12"/>
  <c r="BB5" i="12"/>
  <c r="BC5" i="12"/>
  <c r="BD5" i="12"/>
  <c r="BE5" i="12"/>
  <c r="BF5" i="12"/>
  <c r="BG5" i="12"/>
  <c r="BH5" i="12"/>
  <c r="BI5" i="12"/>
  <c r="C6" i="12"/>
  <c r="D6" i="12"/>
  <c r="E6" i="12"/>
  <c r="H6" i="12"/>
  <c r="J6" i="12"/>
  <c r="K6" i="12"/>
  <c r="L6" i="12"/>
  <c r="N6" i="12"/>
  <c r="O6" i="12"/>
  <c r="P6" i="12"/>
  <c r="Q6" i="12"/>
  <c r="R6" i="12"/>
  <c r="S6" i="12"/>
  <c r="T6" i="12"/>
  <c r="U6" i="12"/>
  <c r="W6" i="12"/>
  <c r="X6" i="12"/>
  <c r="Y6" i="12"/>
  <c r="AB6" i="12"/>
  <c r="AD6" i="12"/>
  <c r="AE6" i="12"/>
  <c r="AF6" i="12"/>
  <c r="AH6" i="12"/>
  <c r="AI6" i="12"/>
  <c r="AJ6" i="12"/>
  <c r="AK6" i="12"/>
  <c r="AL6" i="12"/>
  <c r="AM6" i="12"/>
  <c r="AN6" i="12"/>
  <c r="AO6" i="12"/>
  <c r="AQ6" i="12"/>
  <c r="AR6" i="12"/>
  <c r="AS6" i="12"/>
  <c r="AV6" i="12"/>
  <c r="AX6" i="12"/>
  <c r="AY6" i="12"/>
  <c r="AZ6" i="12"/>
  <c r="BB6" i="12"/>
  <c r="BC6" i="12"/>
  <c r="BD6" i="12"/>
  <c r="BE6" i="12"/>
  <c r="BF6" i="12"/>
  <c r="BG6" i="12"/>
  <c r="BH6" i="12"/>
  <c r="BI6" i="12"/>
  <c r="C7" i="12"/>
  <c r="D7" i="12"/>
  <c r="E7" i="12"/>
  <c r="H7" i="12"/>
  <c r="J7" i="12"/>
  <c r="K7" i="12"/>
  <c r="L7" i="12"/>
  <c r="N7" i="12"/>
  <c r="O7" i="12"/>
  <c r="P7" i="12"/>
  <c r="Q7" i="12"/>
  <c r="R7" i="12"/>
  <c r="S7" i="12"/>
  <c r="T7" i="12"/>
  <c r="U7" i="12"/>
  <c r="W7" i="12"/>
  <c r="X7" i="12"/>
  <c r="Y7" i="12"/>
  <c r="AB7" i="12"/>
  <c r="AD7" i="12"/>
  <c r="AE7" i="12"/>
  <c r="AF7" i="12"/>
  <c r="AH7" i="12"/>
  <c r="AI7" i="12"/>
  <c r="AJ7" i="12"/>
  <c r="AK7" i="12"/>
  <c r="AL7" i="12"/>
  <c r="AM7" i="12"/>
  <c r="AN7" i="12"/>
  <c r="AO7" i="12"/>
  <c r="AQ7" i="12"/>
  <c r="AR7" i="12"/>
  <c r="AS7" i="12"/>
  <c r="AV7" i="12"/>
  <c r="AX7" i="12"/>
  <c r="AY7" i="12"/>
  <c r="AZ7" i="12"/>
  <c r="BB7" i="12"/>
  <c r="BC7" i="12"/>
  <c r="BD7" i="12"/>
  <c r="BE7" i="12"/>
  <c r="BF7" i="12"/>
  <c r="BG7" i="12"/>
  <c r="BH7" i="12"/>
  <c r="BI7" i="12"/>
  <c r="C8" i="12"/>
  <c r="D8" i="12"/>
  <c r="E8" i="12"/>
  <c r="H8" i="12"/>
  <c r="J8" i="12"/>
  <c r="K8" i="12"/>
  <c r="L8" i="12"/>
  <c r="N8" i="12"/>
  <c r="O8" i="12"/>
  <c r="P8" i="12"/>
  <c r="Q8" i="12"/>
  <c r="R8" i="12"/>
  <c r="S8" i="12"/>
  <c r="T8" i="12"/>
  <c r="U8" i="12"/>
  <c r="W8" i="12"/>
  <c r="X8" i="12"/>
  <c r="Y8" i="12"/>
  <c r="AB8" i="12"/>
  <c r="AD8" i="12"/>
  <c r="AE8" i="12"/>
  <c r="AF8" i="12"/>
  <c r="AH8" i="12"/>
  <c r="AI8" i="12"/>
  <c r="AJ8" i="12"/>
  <c r="AK8" i="12"/>
  <c r="AL8" i="12"/>
  <c r="AM8" i="12"/>
  <c r="AN8" i="12"/>
  <c r="AO8" i="12"/>
  <c r="AQ8" i="12"/>
  <c r="AR8" i="12"/>
  <c r="AS8" i="12"/>
  <c r="AV8" i="12"/>
  <c r="AX8" i="12"/>
  <c r="AY8" i="12"/>
  <c r="AZ8" i="12"/>
  <c r="BB8" i="12"/>
  <c r="BC8" i="12"/>
  <c r="BD8" i="12"/>
  <c r="BE8" i="12"/>
  <c r="BF8" i="12"/>
  <c r="BG8" i="12"/>
  <c r="BH8" i="12"/>
  <c r="BI8" i="12"/>
  <c r="C9" i="12"/>
  <c r="D9" i="12"/>
  <c r="E9" i="12"/>
  <c r="H9" i="12"/>
  <c r="J9" i="12"/>
  <c r="K9" i="12"/>
  <c r="L9" i="12"/>
  <c r="N9" i="12"/>
  <c r="O9" i="12"/>
  <c r="P9" i="12"/>
  <c r="Q9" i="12"/>
  <c r="R9" i="12"/>
  <c r="S9" i="12"/>
  <c r="T9" i="12"/>
  <c r="U9" i="12"/>
  <c r="W9" i="12"/>
  <c r="X9" i="12"/>
  <c r="Y9" i="12"/>
  <c r="AB9" i="12"/>
  <c r="AD9" i="12"/>
  <c r="AE9" i="12"/>
  <c r="AF9" i="12"/>
  <c r="AH9" i="12"/>
  <c r="AI9" i="12"/>
  <c r="AJ9" i="12"/>
  <c r="AK9" i="12"/>
  <c r="AL9" i="12"/>
  <c r="AM9" i="12"/>
  <c r="AN9" i="12"/>
  <c r="AO9" i="12"/>
  <c r="AQ9" i="12"/>
  <c r="AR9" i="12"/>
  <c r="AS9" i="12"/>
  <c r="AV9" i="12"/>
  <c r="AX9" i="12"/>
  <c r="AY9" i="12"/>
  <c r="AZ9" i="12"/>
  <c r="BB9" i="12"/>
  <c r="BC9" i="12"/>
  <c r="BD9" i="12"/>
  <c r="BE9" i="12"/>
  <c r="BF9" i="12"/>
  <c r="BG9" i="12"/>
  <c r="BH9" i="12"/>
  <c r="BI9" i="12"/>
  <c r="C10" i="12"/>
  <c r="D10" i="12"/>
  <c r="E10" i="12"/>
  <c r="H10" i="12"/>
  <c r="J10" i="12"/>
  <c r="K10" i="12"/>
  <c r="L10" i="12"/>
  <c r="N10" i="12"/>
  <c r="O10" i="12"/>
  <c r="P10" i="12"/>
  <c r="Q10" i="12"/>
  <c r="R10" i="12"/>
  <c r="S10" i="12"/>
  <c r="T10" i="12"/>
  <c r="U10" i="12"/>
  <c r="W10" i="12"/>
  <c r="X10" i="12"/>
  <c r="Y10" i="12"/>
  <c r="AB10" i="12"/>
  <c r="AD10" i="12"/>
  <c r="AE10" i="12"/>
  <c r="AF10" i="12"/>
  <c r="AH10" i="12"/>
  <c r="AI10" i="12"/>
  <c r="AJ10" i="12"/>
  <c r="AK10" i="12"/>
  <c r="AL10" i="12"/>
  <c r="AM10" i="12"/>
  <c r="AN10" i="12"/>
  <c r="AO10" i="12"/>
  <c r="AQ10" i="12"/>
  <c r="AR10" i="12"/>
  <c r="AS10" i="12"/>
  <c r="AV10" i="12"/>
  <c r="AX10" i="12"/>
  <c r="AY10" i="12"/>
  <c r="AZ10" i="12"/>
  <c r="BB10" i="12"/>
  <c r="BC10" i="12"/>
  <c r="BD10" i="12"/>
  <c r="BE10" i="12"/>
  <c r="BF10" i="12"/>
  <c r="BG10" i="12"/>
  <c r="BH10" i="12"/>
  <c r="BI10" i="12"/>
  <c r="C11" i="12"/>
  <c r="D11" i="12"/>
  <c r="E11" i="12"/>
  <c r="H11" i="12"/>
  <c r="J11" i="12"/>
  <c r="K11" i="12"/>
  <c r="L11" i="12"/>
  <c r="N11" i="12"/>
  <c r="O11" i="12"/>
  <c r="P11" i="12"/>
  <c r="Q11" i="12"/>
  <c r="R11" i="12"/>
  <c r="S11" i="12"/>
  <c r="T11" i="12"/>
  <c r="U11" i="12"/>
  <c r="W11" i="12"/>
  <c r="X11" i="12"/>
  <c r="Y11" i="12"/>
  <c r="AB11" i="12"/>
  <c r="AD11" i="12"/>
  <c r="AE11" i="12"/>
  <c r="AF11" i="12"/>
  <c r="AH11" i="12"/>
  <c r="AI11" i="12"/>
  <c r="AJ11" i="12"/>
  <c r="AK11" i="12"/>
  <c r="AL11" i="12"/>
  <c r="AM11" i="12"/>
  <c r="AN11" i="12"/>
  <c r="AO11" i="12"/>
  <c r="AQ11" i="12"/>
  <c r="AR11" i="12"/>
  <c r="AS11" i="12"/>
  <c r="AV11" i="12"/>
  <c r="AX11" i="12"/>
  <c r="AY11" i="12"/>
  <c r="AZ11" i="12"/>
  <c r="BB11" i="12"/>
  <c r="BC11" i="12"/>
  <c r="BD11" i="12"/>
  <c r="BE11" i="12"/>
  <c r="BF11" i="12"/>
  <c r="BG11" i="12"/>
  <c r="BH11" i="12"/>
  <c r="BI11" i="12"/>
  <c r="C12" i="12"/>
  <c r="D12" i="12"/>
  <c r="E12" i="12"/>
  <c r="H12" i="12"/>
  <c r="J12" i="12"/>
  <c r="K12" i="12"/>
  <c r="L12" i="12"/>
  <c r="N12" i="12"/>
  <c r="O12" i="12"/>
  <c r="P12" i="12"/>
  <c r="Q12" i="12"/>
  <c r="R12" i="12"/>
  <c r="S12" i="12"/>
  <c r="T12" i="12"/>
  <c r="U12" i="12"/>
  <c r="W12" i="12"/>
  <c r="X12" i="12"/>
  <c r="Y12" i="12"/>
  <c r="AB12" i="12"/>
  <c r="AD12" i="12"/>
  <c r="AE12" i="12"/>
  <c r="AF12" i="12"/>
  <c r="AH12" i="12"/>
  <c r="AI12" i="12"/>
  <c r="AJ12" i="12"/>
  <c r="AK12" i="12"/>
  <c r="AL12" i="12"/>
  <c r="AM12" i="12"/>
  <c r="AN12" i="12"/>
  <c r="AO12" i="12"/>
  <c r="AQ12" i="12"/>
  <c r="AR12" i="12"/>
  <c r="AS12" i="12"/>
  <c r="AV12" i="12"/>
  <c r="AX12" i="12"/>
  <c r="AY12" i="12"/>
  <c r="AZ12" i="12"/>
  <c r="BB12" i="12"/>
  <c r="BC12" i="12"/>
  <c r="BD12" i="12"/>
  <c r="BE12" i="12"/>
  <c r="BF12" i="12"/>
  <c r="BG12" i="12"/>
  <c r="BH12" i="12"/>
  <c r="BI12" i="12"/>
  <c r="C13" i="12"/>
  <c r="D13" i="12"/>
  <c r="E13" i="12"/>
  <c r="H13" i="12"/>
  <c r="J13" i="12"/>
  <c r="K13" i="12"/>
  <c r="L13" i="12"/>
  <c r="N13" i="12"/>
  <c r="O13" i="12"/>
  <c r="P13" i="12"/>
  <c r="Q13" i="12"/>
  <c r="R13" i="12"/>
  <c r="S13" i="12"/>
  <c r="T13" i="12"/>
  <c r="U13" i="12"/>
  <c r="W13" i="12"/>
  <c r="X13" i="12"/>
  <c r="Y13" i="12"/>
  <c r="AB13" i="12"/>
  <c r="AD13" i="12"/>
  <c r="AE13" i="12"/>
  <c r="AF13" i="12"/>
  <c r="AH13" i="12"/>
  <c r="AI13" i="12"/>
  <c r="AJ13" i="12"/>
  <c r="AK13" i="12"/>
  <c r="AL13" i="12"/>
  <c r="AM13" i="12"/>
  <c r="AN13" i="12"/>
  <c r="AO13" i="12"/>
  <c r="AQ13" i="12"/>
  <c r="AR13" i="12"/>
  <c r="AS13" i="12"/>
  <c r="AV13" i="12"/>
  <c r="AX13" i="12"/>
  <c r="AY13" i="12"/>
  <c r="AZ13" i="12"/>
  <c r="BB13" i="12"/>
  <c r="BC13" i="12"/>
  <c r="BD13" i="12"/>
  <c r="BE13" i="12"/>
  <c r="BF13" i="12"/>
  <c r="BG13" i="12"/>
  <c r="BH13" i="12"/>
  <c r="BI13" i="12"/>
  <c r="C14" i="12"/>
  <c r="D14" i="12"/>
  <c r="E14" i="12"/>
  <c r="H14" i="12"/>
  <c r="J14" i="12"/>
  <c r="K14" i="12"/>
  <c r="L14" i="12"/>
  <c r="N14" i="12"/>
  <c r="O14" i="12"/>
  <c r="P14" i="12"/>
  <c r="Q14" i="12"/>
  <c r="R14" i="12"/>
  <c r="S14" i="12"/>
  <c r="T14" i="12"/>
  <c r="U14" i="12"/>
  <c r="W14" i="12"/>
  <c r="X14" i="12"/>
  <c r="Y14" i="12"/>
  <c r="AB14" i="12"/>
  <c r="AD14" i="12"/>
  <c r="AE14" i="12"/>
  <c r="AF14" i="12"/>
  <c r="AH14" i="12"/>
  <c r="AI14" i="12"/>
  <c r="AJ14" i="12"/>
  <c r="AK14" i="12"/>
  <c r="AL14" i="12"/>
  <c r="AM14" i="12"/>
  <c r="AN14" i="12"/>
  <c r="AO14" i="12"/>
  <c r="AQ14" i="12"/>
  <c r="AR14" i="12"/>
  <c r="AS14" i="12"/>
  <c r="AV14" i="12"/>
  <c r="AX14" i="12"/>
  <c r="AY14" i="12"/>
  <c r="AZ14" i="12"/>
  <c r="BB14" i="12"/>
  <c r="BC14" i="12"/>
  <c r="BD14" i="12"/>
  <c r="BE14" i="12"/>
  <c r="BF14" i="12"/>
  <c r="BG14" i="12"/>
  <c r="BH14" i="12"/>
  <c r="BI14" i="12"/>
  <c r="C15" i="12"/>
  <c r="D15" i="12"/>
  <c r="E15" i="12"/>
  <c r="H15" i="12"/>
  <c r="J15" i="12"/>
  <c r="K15" i="12"/>
  <c r="L15" i="12"/>
  <c r="N15" i="12"/>
  <c r="O15" i="12"/>
  <c r="P15" i="12"/>
  <c r="Q15" i="12"/>
  <c r="R15" i="12"/>
  <c r="S15" i="12"/>
  <c r="T15" i="12"/>
  <c r="U15" i="12"/>
  <c r="W15" i="12"/>
  <c r="X15" i="12"/>
  <c r="Y15" i="12"/>
  <c r="AB15" i="12"/>
  <c r="AD15" i="12"/>
  <c r="AE15" i="12"/>
  <c r="AF15" i="12"/>
  <c r="AH15" i="12"/>
  <c r="AI15" i="12"/>
  <c r="AJ15" i="12"/>
  <c r="AK15" i="12"/>
  <c r="AL15" i="12"/>
  <c r="AM15" i="12"/>
  <c r="AN15" i="12"/>
  <c r="AO15" i="12"/>
  <c r="AQ15" i="12"/>
  <c r="AR15" i="12"/>
  <c r="AS15" i="12"/>
  <c r="AV15" i="12"/>
  <c r="AX15" i="12"/>
  <c r="AY15" i="12"/>
  <c r="AZ15" i="12"/>
  <c r="BB15" i="12"/>
  <c r="BC15" i="12"/>
  <c r="BD15" i="12"/>
  <c r="BE15" i="12"/>
  <c r="BF15" i="12"/>
  <c r="BG15" i="12"/>
  <c r="BH15" i="12"/>
  <c r="BI15" i="12"/>
  <c r="C16" i="12"/>
  <c r="D16" i="12"/>
  <c r="E16" i="12"/>
  <c r="H16" i="12"/>
  <c r="J16" i="12"/>
  <c r="K16" i="12"/>
  <c r="L16" i="12"/>
  <c r="N16" i="12"/>
  <c r="O16" i="12"/>
  <c r="P16" i="12"/>
  <c r="Q16" i="12"/>
  <c r="R16" i="12"/>
  <c r="S16" i="12"/>
  <c r="T16" i="12"/>
  <c r="U16" i="12"/>
  <c r="W16" i="12"/>
  <c r="X16" i="12"/>
  <c r="Y16" i="12"/>
  <c r="AB16" i="12"/>
  <c r="AD16" i="12"/>
  <c r="AE16" i="12"/>
  <c r="AF16" i="12"/>
  <c r="AH16" i="12"/>
  <c r="AI16" i="12"/>
  <c r="AJ16" i="12"/>
  <c r="AK16" i="12"/>
  <c r="AL16" i="12"/>
  <c r="AM16" i="12"/>
  <c r="AN16" i="12"/>
  <c r="AO16" i="12"/>
  <c r="AQ16" i="12"/>
  <c r="AR16" i="12"/>
  <c r="AS16" i="12"/>
  <c r="AV16" i="12"/>
  <c r="AX16" i="12"/>
  <c r="AY16" i="12"/>
  <c r="AZ16" i="12"/>
  <c r="BB16" i="12"/>
  <c r="BC16" i="12"/>
  <c r="BD16" i="12"/>
  <c r="BE16" i="12"/>
  <c r="BF16" i="12"/>
  <c r="BG16" i="12"/>
  <c r="BH16" i="12"/>
  <c r="BI16" i="12"/>
  <c r="C17" i="12"/>
  <c r="D17" i="12"/>
  <c r="E17" i="12"/>
  <c r="H17" i="12"/>
  <c r="J17" i="12"/>
  <c r="K17" i="12"/>
  <c r="L17" i="12"/>
  <c r="N17" i="12"/>
  <c r="O17" i="12"/>
  <c r="P17" i="12"/>
  <c r="Q17" i="12"/>
  <c r="R17" i="12"/>
  <c r="S17" i="12"/>
  <c r="T17" i="12"/>
  <c r="U17" i="12"/>
  <c r="W17" i="12"/>
  <c r="X17" i="12"/>
  <c r="Y17" i="12"/>
  <c r="AB17" i="12"/>
  <c r="AD17" i="12"/>
  <c r="AE17" i="12"/>
  <c r="AF17" i="12"/>
  <c r="AH17" i="12"/>
  <c r="AI17" i="12"/>
  <c r="AJ17" i="12"/>
  <c r="AK17" i="12"/>
  <c r="AL17" i="12"/>
  <c r="AM17" i="12"/>
  <c r="AN17" i="12"/>
  <c r="AO17" i="12"/>
  <c r="AQ17" i="12"/>
  <c r="AR17" i="12"/>
  <c r="AS17" i="12"/>
  <c r="AV17" i="12"/>
  <c r="AX17" i="12"/>
  <c r="AY17" i="12"/>
  <c r="AZ17" i="12"/>
  <c r="BB17" i="12"/>
  <c r="BC17" i="12"/>
  <c r="BD17" i="12"/>
  <c r="BE17" i="12"/>
  <c r="BF17" i="12"/>
  <c r="BG17" i="12"/>
  <c r="BH17" i="12"/>
  <c r="BI17" i="12"/>
  <c r="C19" i="12"/>
  <c r="D19" i="12"/>
  <c r="E19" i="12"/>
  <c r="H19" i="12"/>
  <c r="J19" i="12"/>
  <c r="K19" i="12"/>
  <c r="L19" i="12"/>
  <c r="N19" i="12"/>
  <c r="O19" i="12"/>
  <c r="P19" i="12"/>
  <c r="Q19" i="12"/>
  <c r="R19" i="12"/>
  <c r="S19" i="12"/>
  <c r="T19" i="12"/>
  <c r="U19" i="12"/>
  <c r="W19" i="12"/>
  <c r="X19" i="12"/>
  <c r="Y19" i="12"/>
  <c r="AB19" i="12"/>
  <c r="AD19" i="12"/>
  <c r="AE19" i="12"/>
  <c r="AF19" i="12"/>
  <c r="AH19" i="12"/>
  <c r="AI19" i="12"/>
  <c r="AJ19" i="12"/>
  <c r="AK19" i="12"/>
  <c r="AL19" i="12"/>
  <c r="AM19" i="12"/>
  <c r="AN19" i="12"/>
  <c r="AO19" i="12"/>
  <c r="AQ19" i="12"/>
  <c r="AR19" i="12"/>
  <c r="AS19" i="12"/>
  <c r="AV19" i="12"/>
  <c r="AX19" i="12"/>
  <c r="AY19" i="12"/>
  <c r="AZ19" i="12"/>
  <c r="BB19" i="12"/>
  <c r="BC19" i="12"/>
  <c r="BD19" i="12"/>
  <c r="BE19" i="12"/>
  <c r="BF19" i="12"/>
  <c r="BG19" i="12"/>
  <c r="BH19" i="12"/>
  <c r="BI19" i="12"/>
  <c r="C20" i="12"/>
  <c r="D20" i="12"/>
  <c r="E20" i="12"/>
  <c r="H20" i="12"/>
  <c r="J20" i="12"/>
  <c r="K20" i="12"/>
  <c r="L20" i="12"/>
  <c r="N20" i="12"/>
  <c r="O20" i="12"/>
  <c r="P20" i="12"/>
  <c r="Q20" i="12"/>
  <c r="R20" i="12"/>
  <c r="S20" i="12"/>
  <c r="T20" i="12"/>
  <c r="U20" i="12"/>
  <c r="W20" i="12"/>
  <c r="X20" i="12"/>
  <c r="Y20" i="12"/>
  <c r="AB20" i="12"/>
  <c r="AD20" i="12"/>
  <c r="AE20" i="12"/>
  <c r="AF20" i="12"/>
  <c r="AH20" i="12"/>
  <c r="AI20" i="12"/>
  <c r="AJ20" i="12"/>
  <c r="AK20" i="12"/>
  <c r="AL20" i="12"/>
  <c r="AM20" i="12"/>
  <c r="AN20" i="12"/>
  <c r="AO20" i="12"/>
  <c r="AQ20" i="12"/>
  <c r="AR20" i="12"/>
  <c r="AS20" i="12"/>
  <c r="AV20" i="12"/>
  <c r="AX20" i="12"/>
  <c r="AY20" i="12"/>
  <c r="AZ20" i="12"/>
  <c r="BB20" i="12"/>
  <c r="BC20" i="12"/>
  <c r="BD20" i="12"/>
  <c r="BE20" i="12"/>
  <c r="BF20" i="12"/>
  <c r="BG20" i="12"/>
  <c r="BH20" i="12"/>
  <c r="BI20" i="12"/>
  <c r="C21" i="12"/>
  <c r="D21" i="12"/>
  <c r="E21" i="12"/>
  <c r="H21" i="12"/>
  <c r="J21" i="12"/>
  <c r="K21" i="12"/>
  <c r="L21" i="12"/>
  <c r="N21" i="12"/>
  <c r="O21" i="12"/>
  <c r="P21" i="12"/>
  <c r="Q21" i="12"/>
  <c r="R21" i="12"/>
  <c r="S21" i="12"/>
  <c r="T21" i="12"/>
  <c r="U21" i="12"/>
  <c r="W21" i="12"/>
  <c r="X21" i="12"/>
  <c r="Y21" i="12"/>
  <c r="AB21" i="12"/>
  <c r="AD21" i="12"/>
  <c r="AE21" i="12"/>
  <c r="AF21" i="12"/>
  <c r="AH21" i="12"/>
  <c r="AI21" i="12"/>
  <c r="AJ21" i="12"/>
  <c r="AK21" i="12"/>
  <c r="AL21" i="12"/>
  <c r="AM21" i="12"/>
  <c r="AN21" i="12"/>
  <c r="AO21" i="12"/>
  <c r="AQ21" i="12"/>
  <c r="AR21" i="12"/>
  <c r="AS21" i="12"/>
  <c r="AV21" i="12"/>
  <c r="AX21" i="12"/>
  <c r="AY21" i="12"/>
  <c r="AZ21" i="12"/>
  <c r="BB21" i="12"/>
  <c r="BC21" i="12"/>
  <c r="BD21" i="12"/>
  <c r="BE21" i="12"/>
  <c r="BF21" i="12"/>
  <c r="BG21" i="12"/>
  <c r="BH21" i="12"/>
  <c r="BI21" i="12"/>
  <c r="C22" i="12"/>
  <c r="D22" i="12"/>
  <c r="E22" i="12"/>
  <c r="H22" i="12"/>
  <c r="J22" i="12"/>
  <c r="K22" i="12"/>
  <c r="L22" i="12"/>
  <c r="N22" i="12"/>
  <c r="O22" i="12"/>
  <c r="P22" i="12"/>
  <c r="Q22" i="12"/>
  <c r="R22" i="12"/>
  <c r="S22" i="12"/>
  <c r="T22" i="12"/>
  <c r="U22" i="12"/>
  <c r="W22" i="12"/>
  <c r="X22" i="12"/>
  <c r="Y22" i="12"/>
  <c r="AB22" i="12"/>
  <c r="AD22" i="12"/>
  <c r="AE22" i="12"/>
  <c r="AF22" i="12"/>
  <c r="AH22" i="12"/>
  <c r="AI22" i="12"/>
  <c r="AJ22" i="12"/>
  <c r="AK22" i="12"/>
  <c r="AL22" i="12"/>
  <c r="AM22" i="12"/>
  <c r="AN22" i="12"/>
  <c r="AO22" i="12"/>
  <c r="AQ22" i="12"/>
  <c r="AR22" i="12"/>
  <c r="AS22" i="12"/>
  <c r="AV22" i="12"/>
  <c r="AX22" i="12"/>
  <c r="AY22" i="12"/>
  <c r="AZ22" i="12"/>
  <c r="BB22" i="12"/>
  <c r="BC22" i="12"/>
  <c r="BD22" i="12"/>
  <c r="BE22" i="12"/>
  <c r="BF22" i="12"/>
  <c r="BG22" i="12"/>
  <c r="BH22" i="12"/>
  <c r="BI22" i="12"/>
  <c r="C23" i="12"/>
  <c r="D23" i="12"/>
  <c r="E23" i="12"/>
  <c r="H23" i="12"/>
  <c r="J23" i="12"/>
  <c r="K23" i="12"/>
  <c r="L23" i="12"/>
  <c r="N23" i="12"/>
  <c r="O23" i="12"/>
  <c r="P23" i="12"/>
  <c r="Q23" i="12"/>
  <c r="R23" i="12"/>
  <c r="S23" i="12"/>
  <c r="T23" i="12"/>
  <c r="U23" i="12"/>
  <c r="W23" i="12"/>
  <c r="X23" i="12"/>
  <c r="Y23" i="12"/>
  <c r="AB23" i="12"/>
  <c r="AD23" i="12"/>
  <c r="AE23" i="12"/>
  <c r="AF23" i="12"/>
  <c r="AH23" i="12"/>
  <c r="AI23" i="12"/>
  <c r="AJ23" i="12"/>
  <c r="AK23" i="12"/>
  <c r="AL23" i="12"/>
  <c r="AM23" i="12"/>
  <c r="AN23" i="12"/>
  <c r="AO23" i="12"/>
  <c r="AQ23" i="12"/>
  <c r="AR23" i="12"/>
  <c r="AS23" i="12"/>
  <c r="AV23" i="12"/>
  <c r="AX23" i="12"/>
  <c r="AY23" i="12"/>
  <c r="AZ23" i="12"/>
  <c r="BB23" i="12"/>
  <c r="BC23" i="12"/>
  <c r="BD23" i="12"/>
  <c r="BE23" i="12"/>
  <c r="BF23" i="12"/>
  <c r="BG23" i="12"/>
  <c r="BH23" i="12"/>
  <c r="BI23" i="12"/>
  <c r="C24" i="12"/>
  <c r="D24" i="12"/>
  <c r="E24" i="12"/>
  <c r="H24" i="12"/>
  <c r="J24" i="12"/>
  <c r="K24" i="12"/>
  <c r="L24" i="12"/>
  <c r="N24" i="12"/>
  <c r="O24" i="12"/>
  <c r="P24" i="12"/>
  <c r="Q24" i="12"/>
  <c r="R24" i="12"/>
  <c r="S24" i="12"/>
  <c r="T24" i="12"/>
  <c r="U24" i="12"/>
  <c r="W24" i="12"/>
  <c r="X24" i="12"/>
  <c r="Y24" i="12"/>
  <c r="AB24" i="12"/>
  <c r="AD24" i="12"/>
  <c r="AE24" i="12"/>
  <c r="AF24" i="12"/>
  <c r="AH24" i="12"/>
  <c r="AI24" i="12"/>
  <c r="AJ24" i="12"/>
  <c r="AK24" i="12"/>
  <c r="AL24" i="12"/>
  <c r="AM24" i="12"/>
  <c r="AN24" i="12"/>
  <c r="AO24" i="12"/>
  <c r="AQ24" i="12"/>
  <c r="AR24" i="12"/>
  <c r="AS24" i="12"/>
  <c r="AV24" i="12"/>
  <c r="AX24" i="12"/>
  <c r="AY24" i="12"/>
  <c r="AZ24" i="12"/>
  <c r="BB24" i="12"/>
  <c r="BC24" i="12"/>
  <c r="BD24" i="12"/>
  <c r="BE24" i="12"/>
  <c r="BF24" i="12"/>
  <c r="BG24" i="12"/>
  <c r="BH24" i="12"/>
  <c r="BI24" i="12"/>
  <c r="C25" i="12"/>
  <c r="D25" i="12"/>
  <c r="E25" i="12"/>
  <c r="H25" i="12"/>
  <c r="J25" i="12"/>
  <c r="K25" i="12"/>
  <c r="L25" i="12"/>
  <c r="N25" i="12"/>
  <c r="O25" i="12"/>
  <c r="P25" i="12"/>
  <c r="Q25" i="12"/>
  <c r="R25" i="12"/>
  <c r="S25" i="12"/>
  <c r="T25" i="12"/>
  <c r="U25" i="12"/>
  <c r="W25" i="12"/>
  <c r="X25" i="12"/>
  <c r="Y25" i="12"/>
  <c r="AB25" i="12"/>
  <c r="AD25" i="12"/>
  <c r="AE25" i="12"/>
  <c r="AF25" i="12"/>
  <c r="AH25" i="12"/>
  <c r="AI25" i="12"/>
  <c r="AJ25" i="12"/>
  <c r="AK25" i="12"/>
  <c r="AL25" i="12"/>
  <c r="AM25" i="12"/>
  <c r="AN25" i="12"/>
  <c r="AO25" i="12"/>
  <c r="AQ25" i="12"/>
  <c r="AR25" i="12"/>
  <c r="AS25" i="12"/>
  <c r="AV25" i="12"/>
  <c r="AX25" i="12"/>
  <c r="AY25" i="12"/>
  <c r="AZ25" i="12"/>
  <c r="BB25" i="12"/>
  <c r="BC25" i="12"/>
  <c r="BD25" i="12"/>
  <c r="BE25" i="12"/>
  <c r="BF25" i="12"/>
  <c r="BG25" i="12"/>
  <c r="BH25" i="12"/>
  <c r="BI25" i="12"/>
  <c r="C26" i="12"/>
  <c r="D26" i="12"/>
  <c r="E26" i="12"/>
  <c r="H26" i="12"/>
  <c r="J26" i="12"/>
  <c r="K26" i="12"/>
  <c r="L26" i="12"/>
  <c r="N26" i="12"/>
  <c r="O26" i="12"/>
  <c r="P26" i="12"/>
  <c r="Q26" i="12"/>
  <c r="R26" i="12"/>
  <c r="S26" i="12"/>
  <c r="T26" i="12"/>
  <c r="U26" i="12"/>
  <c r="W26" i="12"/>
  <c r="X26" i="12"/>
  <c r="Y26" i="12"/>
  <c r="AB26" i="12"/>
  <c r="AD26" i="12"/>
  <c r="AE26" i="12"/>
  <c r="AF26" i="12"/>
  <c r="AH26" i="12"/>
  <c r="AI26" i="12"/>
  <c r="AJ26" i="12"/>
  <c r="AK26" i="12"/>
  <c r="AL26" i="12"/>
  <c r="AM26" i="12"/>
  <c r="AN26" i="12"/>
  <c r="AO26" i="12"/>
  <c r="AQ26" i="12"/>
  <c r="AR26" i="12"/>
  <c r="AS26" i="12"/>
  <c r="AV26" i="12"/>
  <c r="AX26" i="12"/>
  <c r="AY26" i="12"/>
  <c r="AZ26" i="12"/>
  <c r="BB26" i="12"/>
  <c r="BC26" i="12"/>
  <c r="BD26" i="12"/>
  <c r="BE26" i="12"/>
  <c r="BF26" i="12"/>
  <c r="BG26" i="12"/>
  <c r="BH26" i="12"/>
  <c r="BI26" i="12"/>
  <c r="C27" i="12"/>
  <c r="D27" i="12"/>
  <c r="E27" i="12"/>
  <c r="H27" i="12"/>
  <c r="J27" i="12"/>
  <c r="K27" i="12"/>
  <c r="L27" i="12"/>
  <c r="N27" i="12"/>
  <c r="O27" i="12"/>
  <c r="P27" i="12"/>
  <c r="Q27" i="12"/>
  <c r="R27" i="12"/>
  <c r="S27" i="12"/>
  <c r="T27" i="12"/>
  <c r="U27" i="12"/>
  <c r="W27" i="12"/>
  <c r="X27" i="12"/>
  <c r="Y27" i="12"/>
  <c r="AB27" i="12"/>
  <c r="AD27" i="12"/>
  <c r="AE27" i="12"/>
  <c r="AF27" i="12"/>
  <c r="AH27" i="12"/>
  <c r="AI27" i="12"/>
  <c r="AJ27" i="12"/>
  <c r="AK27" i="12"/>
  <c r="AL27" i="12"/>
  <c r="AM27" i="12"/>
  <c r="AN27" i="12"/>
  <c r="AO27" i="12"/>
  <c r="AQ27" i="12"/>
  <c r="AR27" i="12"/>
  <c r="AS27" i="12"/>
  <c r="AV27" i="12"/>
  <c r="AX27" i="12"/>
  <c r="AY27" i="12"/>
  <c r="AZ27" i="12"/>
  <c r="BB27" i="12"/>
  <c r="BC27" i="12"/>
  <c r="BD27" i="12"/>
  <c r="BE27" i="12"/>
  <c r="BF27" i="12"/>
  <c r="BG27" i="12"/>
  <c r="BH27" i="12"/>
  <c r="BI27" i="12"/>
  <c r="C28" i="12"/>
  <c r="D28" i="12"/>
  <c r="E28" i="12"/>
  <c r="H28" i="12"/>
  <c r="J28" i="12"/>
  <c r="K28" i="12"/>
  <c r="L28" i="12"/>
  <c r="N28" i="12"/>
  <c r="O28" i="12"/>
  <c r="P28" i="12"/>
  <c r="Q28" i="12"/>
  <c r="R28" i="12"/>
  <c r="S28" i="12"/>
  <c r="T28" i="12"/>
  <c r="U28" i="12"/>
  <c r="W28" i="12"/>
  <c r="X28" i="12"/>
  <c r="Y28" i="12"/>
  <c r="AB28" i="12"/>
  <c r="AD28" i="12"/>
  <c r="AE28" i="12"/>
  <c r="AF28" i="12"/>
  <c r="AH28" i="12"/>
  <c r="AI28" i="12"/>
  <c r="AJ28" i="12"/>
  <c r="AK28" i="12"/>
  <c r="AL28" i="12"/>
  <c r="AM28" i="12"/>
  <c r="AN28" i="12"/>
  <c r="AO28" i="12"/>
  <c r="AQ28" i="12"/>
  <c r="AR28" i="12"/>
  <c r="AS28" i="12"/>
  <c r="AV28" i="12"/>
  <c r="AX28" i="12"/>
  <c r="AY28" i="12"/>
  <c r="AZ28" i="12"/>
  <c r="BB28" i="12"/>
  <c r="BC28" i="12"/>
  <c r="BD28" i="12"/>
  <c r="BE28" i="12"/>
  <c r="BF28" i="12"/>
  <c r="BG28" i="12"/>
  <c r="BH28" i="12"/>
  <c r="BI28" i="12"/>
  <c r="C29" i="12"/>
  <c r="D29" i="12"/>
  <c r="E29" i="12"/>
  <c r="H29" i="12"/>
  <c r="J29" i="12"/>
  <c r="K29" i="12"/>
  <c r="L29" i="12"/>
  <c r="N29" i="12"/>
  <c r="O29" i="12"/>
  <c r="P29" i="12"/>
  <c r="Q29" i="12"/>
  <c r="R29" i="12"/>
  <c r="S29" i="12"/>
  <c r="T29" i="12"/>
  <c r="U29" i="12"/>
  <c r="W29" i="12"/>
  <c r="X29" i="12"/>
  <c r="Y29" i="12"/>
  <c r="AB29" i="12"/>
  <c r="AD29" i="12"/>
  <c r="AE29" i="12"/>
  <c r="AF29" i="12"/>
  <c r="AH29" i="12"/>
  <c r="AI29" i="12"/>
  <c r="AJ29" i="12"/>
  <c r="AK29" i="12"/>
  <c r="AL29" i="12"/>
  <c r="AM29" i="12"/>
  <c r="AN29" i="12"/>
  <c r="AO29" i="12"/>
  <c r="AQ29" i="12"/>
  <c r="AR29" i="12"/>
  <c r="AS29" i="12"/>
  <c r="AV29" i="12"/>
  <c r="AX29" i="12"/>
  <c r="AY29" i="12"/>
  <c r="AZ29" i="12"/>
  <c r="BB29" i="12"/>
  <c r="BC29" i="12"/>
  <c r="BD29" i="12"/>
  <c r="BE29" i="12"/>
  <c r="BF29" i="12"/>
  <c r="BG29" i="12"/>
  <c r="BH29" i="12"/>
  <c r="BI29" i="12"/>
  <c r="C30" i="12"/>
  <c r="D30" i="12"/>
  <c r="E30" i="12"/>
  <c r="H30" i="12"/>
  <c r="J30" i="12"/>
  <c r="K30" i="12"/>
  <c r="L30" i="12"/>
  <c r="N30" i="12"/>
  <c r="O30" i="12"/>
  <c r="P30" i="12"/>
  <c r="Q30" i="12"/>
  <c r="R30" i="12"/>
  <c r="S30" i="12"/>
  <c r="T30" i="12"/>
  <c r="U30" i="12"/>
  <c r="W30" i="12"/>
  <c r="X30" i="12"/>
  <c r="Y30" i="12"/>
  <c r="AB30" i="12"/>
  <c r="AD30" i="12"/>
  <c r="AE30" i="12"/>
  <c r="AF30" i="12"/>
  <c r="AH30" i="12"/>
  <c r="AI30" i="12"/>
  <c r="AJ30" i="12"/>
  <c r="AK30" i="12"/>
  <c r="AL30" i="12"/>
  <c r="AM30" i="12"/>
  <c r="AN30" i="12"/>
  <c r="AO30" i="12"/>
  <c r="AQ30" i="12"/>
  <c r="AR30" i="12"/>
  <c r="AS30" i="12"/>
  <c r="AV30" i="12"/>
  <c r="AX30" i="12"/>
  <c r="AY30" i="12"/>
  <c r="AZ30" i="12"/>
  <c r="BB30" i="12"/>
  <c r="BC30" i="12"/>
  <c r="BD30" i="12"/>
  <c r="BE30" i="12"/>
  <c r="BF30" i="12"/>
  <c r="BG30" i="12"/>
  <c r="BH30" i="12"/>
  <c r="BI30" i="12"/>
  <c r="C31" i="12"/>
  <c r="D31" i="12"/>
  <c r="E31" i="12"/>
  <c r="H31" i="12"/>
  <c r="J31" i="12"/>
  <c r="K31" i="12"/>
  <c r="L31" i="12"/>
  <c r="N31" i="12"/>
  <c r="O31" i="12"/>
  <c r="P31" i="12"/>
  <c r="Q31" i="12"/>
  <c r="R31" i="12"/>
  <c r="S31" i="12"/>
  <c r="T31" i="12"/>
  <c r="U31" i="12"/>
  <c r="W31" i="12"/>
  <c r="X31" i="12"/>
  <c r="Y31" i="12"/>
  <c r="AB31" i="12"/>
  <c r="AD31" i="12"/>
  <c r="AE31" i="12"/>
  <c r="AF31" i="12"/>
  <c r="AH31" i="12"/>
  <c r="AI31" i="12"/>
  <c r="AJ31" i="12"/>
  <c r="AK31" i="12"/>
  <c r="AL31" i="12"/>
  <c r="AM31" i="12"/>
  <c r="AN31" i="12"/>
  <c r="AO31" i="12"/>
  <c r="AQ31" i="12"/>
  <c r="AR31" i="12"/>
  <c r="AS31" i="12"/>
  <c r="AV31" i="12"/>
  <c r="AX31" i="12"/>
  <c r="AY31" i="12"/>
  <c r="AZ31" i="12"/>
  <c r="BB31" i="12"/>
  <c r="BC31" i="12"/>
  <c r="BD31" i="12"/>
  <c r="BE31" i="12"/>
  <c r="BF31" i="12"/>
  <c r="BG31" i="12"/>
  <c r="BH31" i="12"/>
  <c r="BI31" i="12"/>
  <c r="C32" i="12"/>
  <c r="D32" i="12"/>
  <c r="E32" i="12"/>
  <c r="H32" i="12"/>
  <c r="J32" i="12"/>
  <c r="K32" i="12"/>
  <c r="L32" i="12"/>
  <c r="N32" i="12"/>
  <c r="O32" i="12"/>
  <c r="P32" i="12"/>
  <c r="Q32" i="12"/>
  <c r="R32" i="12"/>
  <c r="S32" i="12"/>
  <c r="T32" i="12"/>
  <c r="U32" i="12"/>
  <c r="W32" i="12"/>
  <c r="X32" i="12"/>
  <c r="Y32" i="12"/>
  <c r="AB32" i="12"/>
  <c r="AD32" i="12"/>
  <c r="AE32" i="12"/>
  <c r="AF32" i="12"/>
  <c r="AH32" i="12"/>
  <c r="AI32" i="12"/>
  <c r="AJ32" i="12"/>
  <c r="AK32" i="12"/>
  <c r="AL32" i="12"/>
  <c r="AM32" i="12"/>
  <c r="AN32" i="12"/>
  <c r="AO32" i="12"/>
  <c r="AQ32" i="12"/>
  <c r="AR32" i="12"/>
  <c r="AS32" i="12"/>
  <c r="AV32" i="12"/>
  <c r="AX32" i="12"/>
  <c r="AY32" i="12"/>
  <c r="AZ32" i="12"/>
  <c r="BB32" i="12"/>
  <c r="BC32" i="12"/>
  <c r="BD32" i="12"/>
  <c r="BE32" i="12"/>
  <c r="BF32" i="12"/>
  <c r="BG32" i="12"/>
  <c r="BH32" i="12"/>
  <c r="BI32" i="12"/>
</calcChain>
</file>

<file path=xl/sharedStrings.xml><?xml version="1.0" encoding="utf-8"?>
<sst xmlns="http://schemas.openxmlformats.org/spreadsheetml/2006/main" count="1269" uniqueCount="307">
  <si>
    <t>gm_power</t>
  </si>
  <si>
    <t>PARAMETER</t>
  </si>
  <si>
    <t>V</t>
  </si>
  <si>
    <t>A/V</t>
  </si>
  <si>
    <t>ns</t>
  </si>
  <si>
    <t>mA</t>
  </si>
  <si>
    <t>V/ns</t>
  </si>
  <si>
    <t>nC</t>
  </si>
  <si>
    <t>AVOL</t>
  </si>
  <si>
    <t>dB</t>
  </si>
  <si>
    <t>gm_EA</t>
  </si>
  <si>
    <t>A</t>
  </si>
  <si>
    <t>Rz</t>
  </si>
  <si>
    <t>Cz</t>
  </si>
  <si>
    <t>Cp</t>
  </si>
  <si>
    <t>MHz</t>
  </si>
  <si>
    <t>nF</t>
  </si>
  <si>
    <t>pF</t>
  </si>
  <si>
    <t>KHz</t>
  </si>
  <si>
    <t>mV</t>
  </si>
  <si>
    <t>VFB</t>
  </si>
  <si>
    <t>Qg_FET</t>
  </si>
  <si>
    <t>‒</t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</si>
  <si>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C/W</t>
    </r>
  </si>
  <si>
    <t>%</t>
  </si>
  <si>
    <t>VFB tol</t>
  </si>
  <si>
    <t>Co_ESR</t>
  </si>
  <si>
    <t>Co_ESL</t>
  </si>
  <si>
    <t>nH</t>
  </si>
  <si>
    <t>VALUE</t>
  </si>
  <si>
    <t>COMPONENT</t>
  </si>
  <si>
    <t>MIN</t>
  </si>
  <si>
    <t>TYP</t>
  </si>
  <si>
    <t>MAX</t>
  </si>
  <si>
    <t>UNITS</t>
  </si>
  <si>
    <t>UVLO Hysteresis</t>
  </si>
  <si>
    <t>COMMENTS</t>
  </si>
  <si>
    <t>ms</t>
  </si>
  <si>
    <t>Fsw_tol</t>
  </si>
  <si>
    <t xml:space="preserve">Fsw = </t>
  </si>
  <si>
    <t xml:space="preserve">Lo = </t>
  </si>
  <si>
    <t>Fsw_max</t>
  </si>
  <si>
    <t>Cin_min</t>
  </si>
  <si>
    <t>fc =</t>
  </si>
  <si>
    <t>Input capacitance RMS current requirement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</si>
  <si>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ILo, target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</si>
  <si>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ILo_max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</si>
  <si>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ILo_typ</t>
    </r>
  </si>
  <si>
    <t>Calculated values</t>
  </si>
  <si>
    <t>Used to calculate Lo at typical Vin, Vout</t>
  </si>
  <si>
    <t>Vout, target</t>
  </si>
  <si>
    <t>RFB1_calc</t>
  </si>
  <si>
    <t>RFB2_calc</t>
  </si>
  <si>
    <t xml:space="preserve">RFB1 = </t>
  </si>
  <si>
    <t>RFB2 =</t>
  </si>
  <si>
    <t>Data sheet values</t>
  </si>
  <si>
    <t>Design supplied value</t>
  </si>
  <si>
    <t>Data sheet value</t>
  </si>
  <si>
    <t>Output inductor tolerances</t>
  </si>
  <si>
    <r>
      <t>K</t>
    </r>
    <r>
      <rPr>
        <sz val="11"/>
        <color indexed="8"/>
        <rFont val="Calibri"/>
        <family val="2"/>
      </rPr>
      <t>Ω</t>
    </r>
  </si>
  <si>
    <t>Approximate soft start time (Vout ramp)</t>
  </si>
  <si>
    <r>
      <t>A</t>
    </r>
    <r>
      <rPr>
        <vertAlign val="subscript"/>
        <sz val="11"/>
        <color indexed="8"/>
        <rFont val="Calibri"/>
        <family val="2"/>
      </rPr>
      <t>DC</t>
    </r>
  </si>
  <si>
    <r>
      <t>A</t>
    </r>
    <r>
      <rPr>
        <vertAlign val="subscript"/>
        <sz val="11"/>
        <color indexed="8"/>
        <rFont val="Calibri"/>
        <family val="2"/>
      </rPr>
      <t>PP</t>
    </r>
  </si>
  <si>
    <r>
      <t>A</t>
    </r>
    <r>
      <rPr>
        <vertAlign val="subscript"/>
        <sz val="11"/>
        <color indexed="8"/>
        <rFont val="Calibri"/>
        <family val="2"/>
      </rPr>
      <t>PEAK</t>
    </r>
  </si>
  <si>
    <t>SS time, target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</si>
  <si>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H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</si>
  <si>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F</t>
    </r>
  </si>
  <si>
    <r>
      <t>A</t>
    </r>
    <r>
      <rPr>
        <vertAlign val="subscript"/>
        <sz val="11"/>
        <color indexed="8"/>
        <rFont val="Calibri"/>
        <family val="2"/>
      </rPr>
      <t>RMS</t>
    </r>
  </si>
  <si>
    <r>
      <t>Iout</t>
    </r>
    <r>
      <rPr>
        <b/>
        <vertAlign val="subscript"/>
        <sz val="11"/>
        <color indexed="8"/>
        <rFont val="Calibri"/>
        <family val="2"/>
      </rPr>
      <t>MAX</t>
    </r>
  </si>
  <si>
    <r>
      <t>% of Iout</t>
    </r>
    <r>
      <rPr>
        <vertAlign val="subscript"/>
        <sz val="11"/>
        <color indexed="8"/>
        <rFont val="Calibri"/>
        <family val="2"/>
      </rPr>
      <t>MAX</t>
    </r>
  </si>
  <si>
    <r>
      <t>fc</t>
    </r>
    <r>
      <rPr>
        <b/>
        <vertAlign val="subscript"/>
        <sz val="11"/>
        <color indexed="8"/>
        <rFont val="Calibri"/>
        <family val="2"/>
      </rPr>
      <t>MAX</t>
    </r>
  </si>
  <si>
    <t>RFB combo</t>
  </si>
  <si>
    <t>Recommended minimum input capacitance including DC bias</t>
  </si>
  <si>
    <t>Ω</t>
  </si>
  <si>
    <r>
      <t>f</t>
    </r>
    <r>
      <rPr>
        <b/>
        <vertAlign val="subscript"/>
        <sz val="11"/>
        <color indexed="8"/>
        <rFont val="Calibri"/>
        <family val="2"/>
      </rPr>
      <t>P1</t>
    </r>
  </si>
  <si>
    <r>
      <t>f</t>
    </r>
    <r>
      <rPr>
        <b/>
        <vertAlign val="subscript"/>
        <sz val="11"/>
        <color indexed="8"/>
        <rFont val="Calibri"/>
        <family val="2"/>
      </rPr>
      <t>Z1</t>
    </r>
  </si>
  <si>
    <t>Ro_EA</t>
  </si>
  <si>
    <r>
      <t>M</t>
    </r>
    <r>
      <rPr>
        <sz val="11"/>
        <color indexed="8"/>
        <rFont val="Calibri"/>
        <family val="2"/>
      </rPr>
      <t>Ω</t>
    </r>
  </si>
  <si>
    <t xml:space="preserve">Rz = </t>
  </si>
  <si>
    <t>Use the closest available 1% standard resister value</t>
  </si>
  <si>
    <r>
      <t>R_LOAD</t>
    </r>
    <r>
      <rPr>
        <b/>
        <vertAlign val="subscript"/>
        <sz val="11"/>
        <color indexed="8"/>
        <rFont val="Calibri"/>
        <family val="2"/>
      </rPr>
      <t>TYP</t>
    </r>
  </si>
  <si>
    <t>Recommended maximum 0dB crossover frequency of the system</t>
  </si>
  <si>
    <t>Zero formed by the output capacitance and its ESR</t>
  </si>
  <si>
    <t>Recommended FB resister from Vout to VFB</t>
  </si>
  <si>
    <t>Recommended FB resister from VFB to GND</t>
  </si>
  <si>
    <r>
      <t xml:space="preserve">Compensation is based on average current: </t>
    </r>
    <r>
      <rPr>
        <sz val="11"/>
        <color indexed="8"/>
        <rFont val="Calibri"/>
        <family val="2"/>
      </rPr>
      <t>Δ</t>
    </r>
    <r>
      <rPr>
        <sz val="11"/>
        <color theme="1"/>
        <rFont val="Calibri"/>
        <family val="2"/>
        <scheme val="minor"/>
      </rPr>
      <t>ILo/2 &lt; Iout &lt; Iout</t>
    </r>
    <r>
      <rPr>
        <vertAlign val="subscript"/>
        <sz val="11"/>
        <color indexed="8"/>
        <rFont val="Calibri"/>
        <family val="2"/>
      </rPr>
      <t>MAX</t>
    </r>
  </si>
  <si>
    <t>Choose the closest available 1% standard resister value</t>
  </si>
  <si>
    <t>Desired output voltage</t>
  </si>
  <si>
    <t>Desired maximum output current</t>
  </si>
  <si>
    <t>Recommended compensation capacitor, use closest available value</t>
  </si>
  <si>
    <t>Recommended HF compensation capacitor, use closest available value</t>
  </si>
  <si>
    <t>Choose a standard resister value, or combination of values</t>
  </si>
  <si>
    <t>Iout</t>
  </si>
  <si>
    <t>Pin</t>
  </si>
  <si>
    <t>Psw</t>
  </si>
  <si>
    <t>Pcond</t>
  </si>
  <si>
    <t>Ptotal</t>
  </si>
  <si>
    <t>Chosen value, total R seen by the FB pin</t>
  </si>
  <si>
    <r>
      <t>m</t>
    </r>
    <r>
      <rPr>
        <sz val="11"/>
        <color indexed="8"/>
        <rFont val="Calibri"/>
        <family val="2"/>
      </rPr>
      <t>Ω</t>
    </r>
  </si>
  <si>
    <t>RDSon @ 25C</t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</si>
  <si>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</si>
  <si>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t>T</t>
    </r>
    <r>
      <rPr>
        <b/>
        <vertAlign val="subscript"/>
        <sz val="11"/>
        <color indexed="8"/>
        <rFont val="Calibri"/>
        <family val="2"/>
      </rPr>
      <t>AMB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</si>
  <si>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MAX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</si>
  <si>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MIN</t>
    </r>
  </si>
  <si>
    <r>
      <t>t_on</t>
    </r>
    <r>
      <rPr>
        <b/>
        <vertAlign val="subscript"/>
        <sz val="11"/>
        <color indexed="8"/>
        <rFont val="Calibri"/>
        <family val="2"/>
      </rPr>
      <t>MIN</t>
    </r>
  </si>
  <si>
    <r>
      <t>t_off</t>
    </r>
    <r>
      <rPr>
        <b/>
        <vertAlign val="subscript"/>
        <sz val="11"/>
        <color indexed="8"/>
        <rFont val="Calibri"/>
        <family val="2"/>
      </rPr>
      <t>MIN</t>
    </r>
  </si>
  <si>
    <t>Vin</t>
  </si>
  <si>
    <t>TCR of RDSon</t>
  </si>
  <si>
    <r>
      <t xml:space="preserve">% / </t>
    </r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</si>
  <si>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A/V</t>
    </r>
  </si>
  <si>
    <t>RDSon</t>
  </si>
  <si>
    <t>Vo</t>
  </si>
  <si>
    <t>Capacitors</t>
  </si>
  <si>
    <t>Co_tol</t>
  </si>
  <si>
    <r>
      <t>m</t>
    </r>
    <r>
      <rPr>
        <sz val="11"/>
        <color theme="1"/>
        <rFont val="Calibri"/>
        <family val="2"/>
      </rPr>
      <t>Ω</t>
    </r>
  </si>
  <si>
    <t>µF</t>
  </si>
  <si>
    <t>Measured on Allegro EVB with 2x 10uF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</si>
  <si>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</si>
  <si>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</t>
    </r>
  </si>
  <si>
    <t>Based on Kemet data + solder/tracks/vias</t>
  </si>
  <si>
    <t>Based on Murata data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</si>
  <si>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Vout</t>
    </r>
  </si>
  <si>
    <t>Co_num_actual =</t>
  </si>
  <si>
    <t>DC bias coefficient</t>
  </si>
  <si>
    <t>Co_tot_min</t>
  </si>
  <si>
    <t>Voltage where transient data was obtained</t>
  </si>
  <si>
    <t>Worst case initial tolerance</t>
  </si>
  <si>
    <r>
      <t>f</t>
    </r>
    <r>
      <rPr>
        <b/>
        <vertAlign val="subscript"/>
        <sz val="11"/>
        <color theme="1"/>
        <rFont val="Calibri"/>
        <family val="2"/>
        <scheme val="minor"/>
      </rPr>
      <t>SW</t>
    </r>
  </si>
  <si>
    <t>Switching frequency used during measurement</t>
  </si>
  <si>
    <r>
      <t>mV</t>
    </r>
    <r>
      <rPr>
        <vertAlign val="subscript"/>
        <sz val="11"/>
        <color theme="1"/>
        <rFont val="Calibri"/>
        <family val="2"/>
        <scheme val="minor"/>
      </rPr>
      <t>PP</t>
    </r>
  </si>
  <si>
    <t>Estimated typical output voltage ripple</t>
  </si>
  <si>
    <t>pieces</t>
  </si>
  <si>
    <t>VARIABLES</t>
  </si>
  <si>
    <t>Lo_tolerance</t>
  </si>
  <si>
    <t>RFB2_tolerance</t>
  </si>
  <si>
    <t>RFB1_tolerance</t>
  </si>
  <si>
    <t xml:space="preserve"> Switching Frequency Determination:</t>
  </si>
  <si>
    <t xml:space="preserve"> Output Capacitor and Output Voltage Ripple:</t>
  </si>
  <si>
    <t xml:space="preserve"> Input Capacitor Requirements:</t>
  </si>
  <si>
    <t xml:space="preserve"> Compensation Components:</t>
  </si>
  <si>
    <t>Co_num_est</t>
  </si>
  <si>
    <t xml:space="preserve"> Output Inductor Calculations:</t>
  </si>
  <si>
    <t>Worst case maximum inductor ripple current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</si>
  <si>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JA</t>
    </r>
  </si>
  <si>
    <t>ILIM slope</t>
  </si>
  <si>
    <t>ILIM offset</t>
  </si>
  <si>
    <t>A / %</t>
  </si>
  <si>
    <r>
      <t>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</si>
  <si>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</si>
  <si>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2</t>
    </r>
  </si>
  <si>
    <t>Curve fit, coefficient of V</t>
  </si>
  <si>
    <t>Measured transient step current</t>
  </si>
  <si>
    <t>Includes worst case IC &amp; component variations vs. temperature</t>
  </si>
  <si>
    <r>
      <t>Vout</t>
    </r>
    <r>
      <rPr>
        <sz val="11"/>
        <color theme="1"/>
        <rFont val="Calibri"/>
        <family val="2"/>
        <scheme val="minor"/>
      </rPr>
      <t xml:space="preserve">  (min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max)</t>
    </r>
  </si>
  <si>
    <t>This value should not exceed the inductor's specified saturation current</t>
  </si>
  <si>
    <r>
      <t>1% initial tolerance + 100ppm @ 60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 rise</t>
    </r>
  </si>
  <si>
    <t>UVLO Multiplier</t>
  </si>
  <si>
    <t>Chosen value, allows for margin</t>
  </si>
  <si>
    <r>
      <t>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</si>
  <si>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Maximum current for this design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</si>
  <si>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Io/Io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</si>
  <si>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INSTRUCTIONS:   Enter design goals and component values in the white boxes.</t>
  </si>
  <si>
    <t>Transient current =</t>
  </si>
  <si>
    <t>Measured step current as a percent of full load</t>
  </si>
  <si>
    <t>Capacitors used during this measurement</t>
  </si>
  <si>
    <t>Maximum steady-state ambient temperature</t>
  </si>
  <si>
    <t>V  |  µF</t>
  </si>
  <si>
    <r>
      <t>µF/V</t>
    </r>
    <r>
      <rPr>
        <vertAlign val="superscript"/>
        <sz val="11"/>
        <color theme="1"/>
        <rFont val="Calibri"/>
        <family val="2"/>
      </rPr>
      <t>3</t>
    </r>
  </si>
  <si>
    <t>µF/V</t>
  </si>
  <si>
    <r>
      <t>µF/V</t>
    </r>
    <r>
      <rPr>
        <vertAlign val="superscript"/>
        <sz val="11"/>
        <color theme="1"/>
        <rFont val="Calibri"/>
        <family val="2"/>
      </rPr>
      <t>2</t>
    </r>
  </si>
  <si>
    <t>Curve fit, coefficient of 0V</t>
  </si>
  <si>
    <r>
      <t>Transient step current as a percent of Iout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, recommend starting with 50%</t>
    </r>
  </si>
  <si>
    <t>Calculated total output capacitance with tolerance and real DC bias</t>
  </si>
  <si>
    <t>Lo_est</t>
  </si>
  <si>
    <t>Estimated output inductance, based on worst case timing and input voltages</t>
  </si>
  <si>
    <t>Typical output inductor ripple current</t>
  </si>
  <si>
    <t>Current limit margin (minimum) before possible duty-cycle limiting</t>
  </si>
  <si>
    <t>INSTRUCTIONS:  No values need to be entered here, all values are derived from the DESIGN tab</t>
  </si>
  <si>
    <t xml:space="preserve"> Typical &amp; Worst Case Output Voltage Calculations:</t>
  </si>
  <si>
    <t>These values are all derived from the data sheet or lab measurements.</t>
  </si>
  <si>
    <r>
      <t xml:space="preserve">Choose Lo, considering </t>
    </r>
    <r>
      <rPr>
        <sz val="11"/>
        <color indexed="8"/>
        <rFont val="Calibri"/>
        <family val="2"/>
      </rPr>
      <t>Lo_est</t>
    </r>
    <r>
      <rPr>
        <sz val="11"/>
        <color theme="1"/>
        <rFont val="Calibri"/>
        <family val="2"/>
        <scheme val="minor"/>
      </rPr>
      <t xml:space="preserve"> (choose next highest standard value)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</si>
  <si>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GS</t>
    </r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</si>
  <si>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5% duty cycle, data sheet value</t>
    </r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</si>
  <si>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90% duty cycle, data sheet value</t>
    </r>
  </si>
  <si>
    <t>Measured value, see LX curve to the right</t>
  </si>
  <si>
    <t>Curve fit value, slope</t>
  </si>
  <si>
    <t>Curve fit value, offset</t>
  </si>
  <si>
    <t>Lo_I_max</t>
  </si>
  <si>
    <t>The asynchronous diode must be rated to support at least this much current</t>
  </si>
  <si>
    <r>
      <t>Cin_I</t>
    </r>
    <r>
      <rPr>
        <b/>
        <vertAlign val="subscript"/>
        <sz val="11"/>
        <color theme="1"/>
        <rFont val="Calibri"/>
        <family val="2"/>
        <scheme val="minor"/>
      </rPr>
      <t>RMS</t>
    </r>
  </si>
  <si>
    <t xml:space="preserve"> Asynchronous Diode Requirement:</t>
  </si>
  <si>
    <r>
      <rPr>
        <i/>
        <sz val="11"/>
        <color theme="0"/>
        <rFont val="Calibri"/>
        <family val="2"/>
      </rPr>
      <t xml:space="preserve">**** Note:  The applications schematic is shown at the bottom of this TAB. ****
Schematic component values are shown in </t>
    </r>
    <r>
      <rPr>
        <b/>
        <i/>
        <sz val="11"/>
        <color rgb="FF0000FF"/>
        <rFont val="Calibri"/>
        <family val="2"/>
      </rPr>
      <t>BLUE</t>
    </r>
    <r>
      <rPr>
        <b/>
        <i/>
        <sz val="11"/>
        <color theme="1"/>
        <rFont val="Calibri"/>
        <family val="2"/>
      </rPr>
      <t>.</t>
    </r>
  </si>
  <si>
    <r>
      <t>K</t>
    </r>
    <r>
      <rPr>
        <b/>
        <sz val="11"/>
        <color rgb="FF0000FF"/>
        <rFont val="Calibri"/>
        <family val="2"/>
      </rPr>
      <t>Ω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</si>
  <si>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H</t>
    </r>
  </si>
  <si>
    <r>
      <t>I</t>
    </r>
    <r>
      <rPr>
        <b/>
        <vertAlign val="subscript"/>
        <sz val="11"/>
        <color rgb="FF0000FF"/>
        <rFont val="Calibri"/>
        <family val="2"/>
        <scheme val="minor"/>
      </rPr>
      <t>F,RMS</t>
    </r>
  </si>
  <si>
    <r>
      <t>A</t>
    </r>
    <r>
      <rPr>
        <b/>
        <vertAlign val="subscript"/>
        <sz val="11"/>
        <color rgb="FF0000FF"/>
        <rFont val="Calibri"/>
        <family val="2"/>
        <scheme val="minor"/>
      </rPr>
      <t>RMS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</si>
  <si>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F</t>
    </r>
  </si>
  <si>
    <t>IQ</t>
  </si>
  <si>
    <r>
      <t>P</t>
    </r>
    <r>
      <rPr>
        <b/>
        <vertAlign val="subscript"/>
        <sz val="10"/>
        <rFont val="Arial"/>
        <family val="2"/>
      </rPr>
      <t>DRIVER</t>
    </r>
  </si>
  <si>
    <t>Choose Fsw</t>
  </si>
  <si>
    <t>Fsw</t>
  </si>
  <si>
    <t>Recommended maximum PWM frequency, before possible pulse skipping</t>
  </si>
  <si>
    <t>UVLO Stop</t>
  </si>
  <si>
    <r>
      <t>SYNC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at Vin</t>
    </r>
    <r>
      <rPr>
        <b/>
        <vertAlign val="subscript"/>
        <sz val="11"/>
        <color theme="1"/>
        <rFont val="Calibri"/>
        <family val="2"/>
        <scheme val="minor"/>
      </rPr>
      <t>TYP</t>
    </r>
  </si>
  <si>
    <r>
      <t>m</t>
    </r>
    <r>
      <rPr>
        <b/>
        <sz val="11"/>
        <rFont val="Calibri"/>
        <family val="2"/>
      </rPr>
      <t>Ω</t>
    </r>
  </si>
  <si>
    <r>
      <t>Lo</t>
    </r>
    <r>
      <rPr>
        <b/>
        <vertAlign val="subscript"/>
        <sz val="11"/>
        <rFont val="Calibri"/>
        <family val="2"/>
        <scheme val="minor"/>
      </rPr>
      <t>DCR</t>
    </r>
    <r>
      <rPr>
        <b/>
        <sz val="11"/>
        <rFont val="Calibri"/>
        <family val="2"/>
        <scheme val="minor"/>
      </rPr>
      <t xml:space="preserve"> = </t>
    </r>
  </si>
  <si>
    <r>
      <t>Enter the output inductor's DCR, default is 35m</t>
    </r>
    <r>
      <rPr>
        <sz val="11"/>
        <rFont val="Calibri"/>
        <family val="2"/>
      </rPr>
      <t>Ω if left blank</t>
    </r>
  </si>
  <si>
    <r>
      <t>Lo</t>
    </r>
    <r>
      <rPr>
        <b/>
        <vertAlign val="subscript"/>
        <sz val="11"/>
        <color theme="1"/>
        <rFont val="Calibri"/>
        <family val="2"/>
        <scheme val="minor"/>
      </rPr>
      <t>DCR</t>
    </r>
  </si>
  <si>
    <t>Default DCR of the output inductor</t>
  </si>
  <si>
    <t>Step =</t>
  </si>
  <si>
    <t>T (°C)</t>
  </si>
  <si>
    <t>Non-convergence: set RESET = 1</t>
  </si>
  <si>
    <t xml:space="preserve">RESET = </t>
  </si>
  <si>
    <t>Snubber Component Calculations:</t>
  </si>
  <si>
    <t>Capacitance of D1</t>
  </si>
  <si>
    <t>Measured LX resonant freqeuncy</t>
  </si>
  <si>
    <r>
      <t>Estimated D1 capacitance at Vin</t>
    </r>
    <r>
      <rPr>
        <vertAlign val="subscript"/>
        <sz val="11"/>
        <color theme="1"/>
        <rFont val="Calibri"/>
        <family val="2"/>
        <scheme val="minor"/>
      </rPr>
      <t>TYP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</si>
  <si>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EQ</t>
    </r>
  </si>
  <si>
    <r>
      <t>LX resonance, F</t>
    </r>
    <r>
      <rPr>
        <b/>
        <vertAlign val="subscript"/>
        <sz val="11"/>
        <color theme="1"/>
        <rFont val="Calibri"/>
        <family val="2"/>
        <scheme val="minor"/>
      </rPr>
      <t>LX</t>
    </r>
  </si>
  <si>
    <r>
      <t>P</t>
    </r>
    <r>
      <rPr>
        <vertAlign val="subscript"/>
        <sz val="11"/>
        <color theme="1"/>
        <rFont val="Calibri"/>
        <family val="2"/>
        <scheme val="minor"/>
      </rPr>
      <t>SNUB</t>
    </r>
  </si>
  <si>
    <t>LX resonance period</t>
  </si>
  <si>
    <r>
      <t>LX resonance, T</t>
    </r>
    <r>
      <rPr>
        <b/>
        <vertAlign val="subscript"/>
        <sz val="11"/>
        <color theme="1"/>
        <rFont val="Calibri"/>
        <family val="2"/>
        <scheme val="minor"/>
      </rPr>
      <t>LX</t>
    </r>
  </si>
  <si>
    <t>mW</t>
  </si>
  <si>
    <t>Snubber resistance, use the closest available standard value</t>
  </si>
  <si>
    <t>Snubber capacitance, use the closest available standard value</t>
  </si>
  <si>
    <r>
      <t>Equivalent inductance, given F</t>
    </r>
    <r>
      <rPr>
        <vertAlign val="subscript"/>
        <sz val="11"/>
        <color theme="1"/>
        <rFont val="Calibri"/>
        <family val="2"/>
        <scheme val="minor"/>
      </rPr>
      <t>LX</t>
    </r>
    <r>
      <rPr>
        <sz val="11"/>
        <color theme="1"/>
        <rFont val="Calibri"/>
        <family val="2"/>
        <scheme val="minor"/>
      </rPr>
      <t xml:space="preserve"> and C</t>
    </r>
    <r>
      <rPr>
        <vertAlign val="subscript"/>
        <sz val="11"/>
        <color theme="1"/>
        <rFont val="Calibri"/>
        <family val="2"/>
        <scheme val="minor"/>
      </rPr>
      <t>TOTAL</t>
    </r>
  </si>
  <si>
    <t>Start with 2.5, decrease for more damping</t>
  </si>
  <si>
    <r>
      <t xml:space="preserve">Snubber </t>
    </r>
    <r>
      <rPr>
        <b/>
        <sz val="11"/>
        <color theme="1"/>
        <rFont val="Calibri"/>
        <family val="2"/>
      </rPr>
      <t>‒</t>
    </r>
    <r>
      <rPr>
        <b/>
        <sz val="11"/>
        <color theme="1"/>
        <rFont val="Calibri"/>
        <family val="2"/>
        <scheme val="minor"/>
      </rPr>
      <t>3dB freq.</t>
    </r>
  </si>
  <si>
    <r>
      <t>Snubber resistor power requirement at Vin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and Fsw</t>
    </r>
  </si>
  <si>
    <t>Capacitance, other</t>
  </si>
  <si>
    <t>Estimated FET + PCB trace capacitance</t>
  </si>
  <si>
    <t>TCR of Copper</t>
  </si>
  <si>
    <r>
      <t>%/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</si>
  <si>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Duty</t>
  </si>
  <si>
    <r>
      <rPr>
        <b/>
        <sz val="10"/>
        <rFont val="Calibri"/>
        <family val="2"/>
      </rPr>
      <t>Δ</t>
    </r>
    <r>
      <rPr>
        <b/>
        <sz val="10"/>
        <rFont val="Arial"/>
        <family val="2"/>
      </rPr>
      <t>IL</t>
    </r>
  </si>
  <si>
    <t>VF</t>
  </si>
  <si>
    <t>(RESET should normally be set to 0)</t>
  </si>
  <si>
    <r>
      <t>Multiple of F</t>
    </r>
    <r>
      <rPr>
        <vertAlign val="subscript"/>
        <sz val="11"/>
        <color theme="1"/>
        <rFont val="Calibri"/>
        <family val="2"/>
      </rPr>
      <t>LX</t>
    </r>
  </si>
  <si>
    <t>Known value, used for inductor DCR</t>
  </si>
  <si>
    <t>A   |   VF</t>
  </si>
  <si>
    <t>mV/°C</t>
  </si>
  <si>
    <t>EFF</t>
  </si>
  <si>
    <t>VF1</t>
  </si>
  <si>
    <t>VF2</t>
  </si>
  <si>
    <t>VF3</t>
  </si>
  <si>
    <t>Vout</t>
  </si>
  <si>
    <r>
      <t>VO</t>
    </r>
    <r>
      <rPr>
        <b/>
        <vertAlign val="subscript"/>
        <sz val="10"/>
        <rFont val="Arial"/>
        <family val="2"/>
      </rPr>
      <t>SAT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</si>
  <si>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</si>
  <si>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MIN</t>
    </r>
  </si>
  <si>
    <t>System Duty Cycle</t>
  </si>
  <si>
    <t>Range of system duty-cycles given Vin, Vout, Iout, VF, etc</t>
  </si>
  <si>
    <t>DIODE (D1) CHARACTERIZATION</t>
  </si>
  <si>
    <r>
      <t>P</t>
    </r>
    <r>
      <rPr>
        <b/>
        <vertAlign val="subscript"/>
        <sz val="10"/>
        <rFont val="Arial"/>
        <family val="2"/>
      </rPr>
      <t>IC</t>
    </r>
  </si>
  <si>
    <r>
      <t>V</t>
    </r>
    <r>
      <rPr>
        <b/>
        <vertAlign val="subscript"/>
        <sz val="10"/>
        <rFont val="Arial"/>
        <family val="2"/>
      </rPr>
      <t>OUT</t>
    </r>
  </si>
  <si>
    <r>
      <t>P</t>
    </r>
    <r>
      <rPr>
        <b/>
        <vertAlign val="subscript"/>
        <sz val="10"/>
        <rFont val="Arial"/>
        <family val="2"/>
      </rPr>
      <t>D1</t>
    </r>
  </si>
  <si>
    <r>
      <t>P</t>
    </r>
    <r>
      <rPr>
        <b/>
        <vertAlign val="subscript"/>
        <sz val="10"/>
        <rFont val="Arial"/>
        <family val="2"/>
      </rPr>
      <t>IND</t>
    </r>
  </si>
  <si>
    <r>
      <t>P</t>
    </r>
    <r>
      <rPr>
        <b/>
        <vertAlign val="subscript"/>
        <sz val="10"/>
        <rFont val="Arial"/>
        <family val="2"/>
      </rPr>
      <t>IN</t>
    </r>
  </si>
  <si>
    <r>
      <t>P</t>
    </r>
    <r>
      <rPr>
        <b/>
        <vertAlign val="subscript"/>
        <sz val="10"/>
        <rFont val="Arial"/>
        <family val="2"/>
      </rPr>
      <t>OUT</t>
    </r>
  </si>
  <si>
    <t>Thermal resistance, 4 layer PCB</t>
  </si>
  <si>
    <r>
      <t xml:space="preserve">Choose fc considering </t>
    </r>
    <r>
      <rPr>
        <sz val="11"/>
        <color indexed="8"/>
        <rFont val="Calibri"/>
        <family val="2"/>
      </rPr>
      <t>fc</t>
    </r>
    <r>
      <rPr>
        <vertAlign val="subscript"/>
        <sz val="11"/>
        <color indexed="8"/>
        <rFont val="Calibri"/>
        <family val="2"/>
      </rPr>
      <t>MAX.</t>
    </r>
    <r>
      <rPr>
        <sz val="11"/>
        <color indexed="8"/>
        <rFont val="Calibri"/>
        <family val="2"/>
      </rPr>
      <t xml:space="preserve">  Higher fc = faster system, lower stability margins</t>
    </r>
  </si>
  <si>
    <t>Value from the data sheet for D1: VF at 200mA</t>
  </si>
  <si>
    <t>Value from the data sheet for D1: VF at 2A</t>
  </si>
  <si>
    <t>Value from the data sheet for D1: VF at 4A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</si>
  <si>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</si>
  <si>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</si>
  <si>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t>Enter the snubber resister value</t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</si>
  <si>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</si>
  <si>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C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</si>
  <si>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P</t>
    </r>
    <r>
      <rPr>
        <b/>
        <vertAlign val="subscript"/>
        <sz val="10"/>
        <rFont val="Arial"/>
        <family val="2"/>
      </rPr>
      <t>SNUB</t>
    </r>
  </si>
  <si>
    <r>
      <t>Maximum SYNC frequency at Vin</t>
    </r>
    <r>
      <rPr>
        <vertAlign val="subscript"/>
        <sz val="11"/>
        <color theme="1"/>
        <rFont val="Calibri"/>
        <family val="2"/>
        <scheme val="minor"/>
      </rPr>
      <t>TYP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based on Fsw, Duty Cycle</t>
    </r>
    <r>
      <rPr>
        <vertAlign val="subscript"/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  <scheme val="minor"/>
      </rPr>
      <t>, and t</t>
    </r>
    <r>
      <rPr>
        <vertAlign val="subscript"/>
        <sz val="11"/>
        <color theme="1"/>
        <rFont val="Calibri"/>
        <family val="2"/>
        <scheme val="minor"/>
      </rPr>
      <t>ON,TYP</t>
    </r>
  </si>
  <si>
    <r>
      <t xml:space="preserve"> Feedback Component Calculations  </t>
    </r>
    <r>
      <rPr>
        <b/>
        <i/>
        <sz val="12"/>
        <color rgb="FFFF0000"/>
        <rFont val="Calibri"/>
        <family val="2"/>
        <scheme val="minor"/>
      </rPr>
      <t xml:space="preserve">(Must enter </t>
    </r>
    <r>
      <rPr>
        <b/>
        <i/>
        <sz val="12"/>
        <color rgb="FF0000FF"/>
        <rFont val="Calibri"/>
        <family val="2"/>
        <scheme val="minor"/>
      </rPr>
      <t>RFB1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and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0000FF"/>
        <rFont val="Calibri"/>
        <family val="2"/>
        <scheme val="minor"/>
      </rPr>
      <t>RFB2</t>
    </r>
    <r>
      <rPr>
        <b/>
        <i/>
        <sz val="12"/>
        <color rgb="FFFF0000"/>
        <rFont val="Calibri"/>
        <family val="2"/>
        <scheme val="minor"/>
      </rPr>
      <t xml:space="preserve"> values for the remaining calculations to be accurate)</t>
    </r>
  </si>
  <si>
    <t>C =</t>
  </si>
  <si>
    <t>ESR =</t>
  </si>
  <si>
    <t>ESL =</t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</si>
  <si>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F</t>
    </r>
  </si>
  <si>
    <r>
      <t>m</t>
    </r>
    <r>
      <rPr>
        <sz val="11"/>
        <color theme="1"/>
        <rFont val="Calibri"/>
        <family val="2"/>
      </rPr>
      <t>Ω</t>
    </r>
  </si>
  <si>
    <t>Dominant pole formed by the output capacitance and the load</t>
  </si>
  <si>
    <t>Recommended compensation resister to achieve fc</t>
  </si>
  <si>
    <t>Optional: Output Capacitors</t>
  </si>
  <si>
    <t>Used to calculate output ripple and set the compensation values</t>
  </si>
  <si>
    <t>Enter Values Manually</t>
  </si>
  <si>
    <t>No. =</t>
  </si>
  <si>
    <t>Vout during dropout calculated with the typical OFF time</t>
  </si>
  <si>
    <t>Vout during dropout calculated with the worst case maximum OFF time</t>
  </si>
  <si>
    <r>
      <t>TJ</t>
    </r>
    <r>
      <rPr>
        <b/>
        <vertAlign val="subscript"/>
        <sz val="10"/>
        <rFont val="Arial"/>
        <family val="2"/>
      </rPr>
      <t>D1</t>
    </r>
  </si>
  <si>
    <r>
      <t>TJ</t>
    </r>
    <r>
      <rPr>
        <b/>
        <vertAlign val="subscript"/>
        <sz val="10"/>
        <rFont val="Arial"/>
        <family val="2"/>
      </rPr>
      <t>IC</t>
    </r>
  </si>
  <si>
    <t>Estimated value from the data sheet for D1</t>
  </si>
  <si>
    <t>VF, Temp. Coeff.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</si>
  <si>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AVG</t>
    </r>
  </si>
  <si>
    <t>Value from the data sheet for D1 (average of min/max)</t>
  </si>
  <si>
    <t xml:space="preserve">       Diode D1:  Example I-V Characteristics</t>
  </si>
  <si>
    <r>
      <t>(TYP | MAX) Minimum duty cycles at the chosen Fsw given t</t>
    </r>
    <r>
      <rPr>
        <vertAlign val="subscript"/>
        <sz val="11"/>
        <color theme="1"/>
        <rFont val="Calibri"/>
        <family val="2"/>
        <scheme val="minor"/>
      </rPr>
      <t>ON,TYP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ON,MAX</t>
    </r>
  </si>
  <si>
    <r>
      <t>(MIN | TYP) Maximum duty cycles at the chosen Fsw given t</t>
    </r>
    <r>
      <rPr>
        <vertAlign val="subscript"/>
        <sz val="11"/>
        <color theme="1"/>
        <rFont val="Calibri"/>
        <family val="2"/>
        <scheme val="minor"/>
      </rPr>
      <t>OFF,TYP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OFF,MAX</t>
    </r>
  </si>
  <si>
    <r>
      <t xml:space="preserve">       Diode D1: Example of Capacitance vs. V</t>
    </r>
    <r>
      <rPr>
        <b/>
        <vertAlign val="subscript"/>
        <sz val="11"/>
        <color theme="1"/>
        <rFont val="Calibri"/>
        <family val="2"/>
        <scheme val="minor"/>
      </rPr>
      <t>R</t>
    </r>
  </si>
  <si>
    <t>Enter the snubber capacitor value, enter "0" if no snubber is used</t>
  </si>
  <si>
    <t>ALLEGRO A8586 DESIGN SPREADSHEET - Rev. 1.0</t>
  </si>
  <si>
    <t>ALLEGRO A8586 DESIGN SPREADSHEET</t>
  </si>
  <si>
    <t>SW_slew_rise</t>
  </si>
  <si>
    <t>SW_slew_fall</t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</si>
  <si>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4</t>
    </r>
  </si>
  <si>
    <r>
      <t>µF/V</t>
    </r>
    <r>
      <rPr>
        <vertAlign val="superscript"/>
        <sz val="11"/>
        <color theme="1"/>
        <rFont val="Calibri"/>
        <family val="2"/>
      </rPr>
      <t>4</t>
    </r>
  </si>
  <si>
    <t>Estimated number of 22uF/16V/X7R/1210 output capacitors required</t>
  </si>
  <si>
    <r>
      <t>Choose the number of 22</t>
    </r>
    <r>
      <rPr>
        <b/>
        <sz val="11"/>
        <color rgb="FF0000FF"/>
        <rFont val="Calibri"/>
        <family val="2"/>
        <scheme val="minor"/>
      </rPr>
      <t>uF/16V/X7R/1210</t>
    </r>
    <r>
      <rPr>
        <sz val="11"/>
        <color theme="1"/>
        <rFont val="Calibri"/>
        <family val="2"/>
        <scheme val="minor"/>
      </rPr>
      <t xml:space="preserve"> output capacitors</t>
    </r>
  </si>
  <si>
    <t>1x 22uF with DC bias</t>
  </si>
  <si>
    <t>Typical SW frequency measurement before snubber</t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</si>
  <si>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FREQ</t>
    </r>
  </si>
  <si>
    <t>Output Capacitor Characterization:  22uF, 10%, 16V, X7R, 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</si>
</sst>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0.0000"/>
    <numFmt numFmtId="167" formatCode="&quot;IOUT=&quot;0.00&quot;A&quot;"/>
    <numFmt numFmtId="168" formatCode="&quot;Vin = &quot;0.0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i/>
      <sz val="16"/>
      <color theme="0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0000FF"/>
      <name val="Calibri"/>
      <family val="2"/>
    </font>
    <font>
      <i/>
      <sz val="11"/>
      <color theme="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vertAlign val="subscript"/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0"/>
      <name val="Calibri"/>
      <family val="2"/>
    </font>
    <font>
      <b/>
      <vertAlign val="subscript"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i/>
      <sz val="14"/>
      <color theme="1"/>
      <name val="Calibri"/>
      <family val="2"/>
    </font>
    <font>
      <b/>
      <i/>
      <sz val="12"/>
      <color rgb="FF0000FF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420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2" fontId="8" fillId="0" borderId="0" xfId="0" applyNumberFormat="1" applyFont="1" applyAlignment="1" applyProtection="1">
      <alignment horizontal="center"/>
    </xf>
    <xf numFmtId="0" fontId="5" fillId="0" borderId="0" xfId="1" applyProtection="1"/>
    <xf numFmtId="0" fontId="7" fillId="0" borderId="0" xfId="0" applyFont="1"/>
    <xf numFmtId="0" fontId="0" fillId="6" borderId="3" xfId="0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165" fontId="0" fillId="7" borderId="2" xfId="0" applyNumberForma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2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Protection="1"/>
    <xf numFmtId="165" fontId="0" fillId="7" borderId="0" xfId="0" applyNumberForma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left" indent="1"/>
    </xf>
    <xf numFmtId="0" fontId="0" fillId="7" borderId="10" xfId="0" applyFill="1" applyBorder="1" applyAlignment="1" applyProtection="1">
      <alignment horizontal="left" indent="1"/>
    </xf>
    <xf numFmtId="1" fontId="0" fillId="9" borderId="1" xfId="0" applyNumberFormat="1" applyFill="1" applyBorder="1" applyAlignment="1" applyProtection="1">
      <alignment horizontal="center"/>
      <protection locked="0"/>
    </xf>
    <xf numFmtId="165" fontId="0" fillId="9" borderId="1" xfId="0" applyNumberFormat="1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</xf>
    <xf numFmtId="0" fontId="8" fillId="6" borderId="9" xfId="0" applyFont="1" applyFill="1" applyBorder="1" applyAlignment="1" applyProtection="1">
      <alignment horizontal="center"/>
    </xf>
    <xf numFmtId="0" fontId="8" fillId="6" borderId="7" xfId="0" applyFont="1" applyFill="1" applyBorder="1" applyAlignment="1" applyProtection="1">
      <alignment horizontal="center"/>
    </xf>
    <xf numFmtId="0" fontId="8" fillId="9" borderId="1" xfId="0" applyFont="1" applyFill="1" applyBorder="1" applyAlignment="1" applyProtection="1">
      <alignment horizontal="center"/>
      <protection locked="0"/>
    </xf>
    <xf numFmtId="0" fontId="8" fillId="6" borderId="8" xfId="0" applyFont="1" applyFill="1" applyBorder="1" applyAlignment="1" applyProtection="1">
      <alignment horizontal="center"/>
    </xf>
    <xf numFmtId="0" fontId="8" fillId="6" borderId="13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9" fillId="8" borderId="1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164" fontId="0" fillId="5" borderId="14" xfId="0" applyNumberFormat="1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5" borderId="14" xfId="0" applyFill="1" applyBorder="1" applyAlignment="1">
      <alignment horizontal="left" indent="1"/>
    </xf>
    <xf numFmtId="0" fontId="0" fillId="5" borderId="14" xfId="0" applyFill="1" applyBorder="1"/>
    <xf numFmtId="0" fontId="0" fillId="5" borderId="20" xfId="0" applyFill="1" applyBorder="1"/>
    <xf numFmtId="165" fontId="0" fillId="5" borderId="14" xfId="0" applyNumberFormat="1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" fontId="0" fillId="5" borderId="14" xfId="0" applyNumberFormat="1" applyFont="1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2" xfId="0" applyFill="1" applyBorder="1" applyAlignment="1">
      <alignment horizontal="left" indent="1"/>
    </xf>
    <xf numFmtId="0" fontId="0" fillId="5" borderId="22" xfId="0" applyFill="1" applyBorder="1"/>
    <xf numFmtId="0" fontId="0" fillId="5" borderId="23" xfId="0" applyFill="1" applyBorder="1"/>
    <xf numFmtId="0" fontId="9" fillId="8" borderId="16" xfId="0" applyFont="1" applyFill="1" applyBorder="1" applyAlignment="1">
      <alignment horizontal="left" vertical="center"/>
    </xf>
    <xf numFmtId="0" fontId="7" fillId="8" borderId="17" xfId="0" applyFont="1" applyFill="1" applyBorder="1" applyAlignment="1">
      <alignment horizontal="center"/>
    </xf>
    <xf numFmtId="0" fontId="7" fillId="8" borderId="17" xfId="0" applyFont="1" applyFill="1" applyBorder="1"/>
    <xf numFmtId="0" fontId="7" fillId="8" borderId="18" xfId="0" applyFont="1" applyFill="1" applyBorder="1"/>
    <xf numFmtId="0" fontId="0" fillId="5" borderId="14" xfId="0" applyFill="1" applyBorder="1" applyAlignment="1">
      <alignment horizontal="left"/>
    </xf>
    <xf numFmtId="0" fontId="0" fillId="9" borderId="1" xfId="0" applyFill="1" applyBorder="1" applyAlignment="1" applyProtection="1">
      <alignment horizontal="center" vertical="center"/>
      <protection locked="0"/>
    </xf>
    <xf numFmtId="2" fontId="0" fillId="9" borderId="24" xfId="0" applyNumberFormat="1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</xf>
    <xf numFmtId="0" fontId="7" fillId="6" borderId="25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1" fillId="8" borderId="27" xfId="0" applyFont="1" applyFill="1" applyBorder="1" applyAlignment="1" applyProtection="1">
      <alignment horizontal="center"/>
    </xf>
    <xf numFmtId="0" fontId="11" fillId="8" borderId="28" xfId="0" applyFont="1" applyFill="1" applyBorder="1" applyAlignment="1" applyProtection="1">
      <alignment horizontal="center"/>
    </xf>
    <xf numFmtId="0" fontId="7" fillId="6" borderId="19" xfId="0" applyFont="1" applyFill="1" applyBorder="1" applyAlignment="1" applyProtection="1">
      <alignment horizontal="center"/>
    </xf>
    <xf numFmtId="0" fontId="7" fillId="6" borderId="25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/>
    </xf>
    <xf numFmtId="0" fontId="7" fillId="7" borderId="40" xfId="0" applyFont="1" applyFill="1" applyBorder="1" applyAlignment="1" applyProtection="1">
      <alignment horizontal="center"/>
    </xf>
    <xf numFmtId="0" fontId="0" fillId="7" borderId="41" xfId="0" applyFill="1" applyBorder="1" applyProtection="1"/>
    <xf numFmtId="166" fontId="0" fillId="7" borderId="41" xfId="0" applyNumberFormat="1" applyFill="1" applyBorder="1" applyAlignment="1" applyProtection="1">
      <alignment horizontal="center"/>
    </xf>
    <xf numFmtId="0" fontId="7" fillId="7" borderId="42" xfId="0" applyFont="1" applyFill="1" applyBorder="1" applyAlignment="1" applyProtection="1">
      <alignment horizontal="center"/>
    </xf>
    <xf numFmtId="2" fontId="0" fillId="7" borderId="36" xfId="0" applyNumberFormat="1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0" fillId="7" borderId="33" xfId="0" applyFill="1" applyBorder="1" applyAlignment="1" applyProtection="1">
      <alignment horizontal="left" indent="1"/>
    </xf>
    <xf numFmtId="0" fontId="0" fillId="7" borderId="36" xfId="0" applyFill="1" applyBorder="1" applyProtection="1"/>
    <xf numFmtId="0" fontId="0" fillId="7" borderId="37" xfId="0" applyFill="1" applyBorder="1" applyProtection="1"/>
    <xf numFmtId="0" fontId="8" fillId="6" borderId="6" xfId="0" applyFont="1" applyFill="1" applyBorder="1" applyAlignment="1">
      <alignment horizontal="center" vertical="center"/>
    </xf>
    <xf numFmtId="0" fontId="7" fillId="6" borderId="32" xfId="0" applyFont="1" applyFill="1" applyBorder="1" applyAlignment="1" applyProtection="1">
      <alignment horizontal="center" vertical="center"/>
    </xf>
    <xf numFmtId="0" fontId="8" fillId="6" borderId="33" xfId="0" applyFont="1" applyFill="1" applyBorder="1" applyAlignment="1" applyProtection="1">
      <alignment horizontal="center" vertical="center"/>
    </xf>
    <xf numFmtId="0" fontId="8" fillId="6" borderId="34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1" fontId="0" fillId="9" borderId="1" xfId="0" applyNumberForma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1" fontId="0" fillId="7" borderId="0" xfId="0" applyNumberFormat="1" applyFill="1" applyBorder="1" applyAlignment="1" applyProtection="1">
      <alignment horizontal="center"/>
    </xf>
    <xf numFmtId="0" fontId="0" fillId="5" borderId="19" xfId="0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left" vertical="center"/>
    </xf>
    <xf numFmtId="0" fontId="0" fillId="5" borderId="22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7" fillId="7" borderId="42" xfId="0" applyFont="1" applyFill="1" applyBorder="1" applyAlignment="1" applyProtection="1">
      <alignment horizontal="center" vertical="center"/>
    </xf>
    <xf numFmtId="165" fontId="0" fillId="7" borderId="36" xfId="0" applyNumberFormat="1" applyFill="1" applyBorder="1" applyAlignment="1" applyProtection="1">
      <alignment horizontal="center" vertical="center"/>
    </xf>
    <xf numFmtId="2" fontId="0" fillId="7" borderId="36" xfId="0" applyNumberFormat="1" applyFill="1" applyBorder="1" applyAlignment="1" applyProtection="1">
      <alignment horizontal="center" vertical="center"/>
    </xf>
    <xf numFmtId="0" fontId="0" fillId="7" borderId="36" xfId="0" applyFill="1" applyBorder="1" applyAlignment="1" applyProtection="1">
      <alignment horizontal="center" vertical="center"/>
    </xf>
    <xf numFmtId="0" fontId="0" fillId="7" borderId="34" xfId="0" applyFill="1" applyBorder="1" applyAlignment="1" applyProtection="1">
      <alignment horizontal="left" vertical="center" indent="1"/>
    </xf>
    <xf numFmtId="0" fontId="0" fillId="7" borderId="36" xfId="0" applyFill="1" applyBorder="1" applyAlignment="1" applyProtection="1">
      <alignment vertical="center"/>
    </xf>
    <xf numFmtId="0" fontId="0" fillId="7" borderId="37" xfId="0" applyFill="1" applyBorder="1" applyAlignment="1" applyProtection="1">
      <alignment vertical="center"/>
    </xf>
    <xf numFmtId="0" fontId="0" fillId="7" borderId="34" xfId="0" applyFill="1" applyBorder="1" applyAlignment="1" applyProtection="1">
      <alignment horizontal="left" indent="1"/>
    </xf>
    <xf numFmtId="0" fontId="0" fillId="7" borderId="0" xfId="0" applyFont="1" applyFill="1" applyBorder="1" applyAlignment="1" applyProtection="1">
      <alignment horizontal="left" vertical="center" wrapText="1"/>
    </xf>
    <xf numFmtId="0" fontId="0" fillId="7" borderId="41" xfId="0" applyFont="1" applyFill="1" applyBorder="1" applyAlignment="1" applyProtection="1">
      <alignment horizontal="left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0" fillId="7" borderId="7" xfId="0" applyFill="1" applyBorder="1" applyAlignment="1" applyProtection="1">
      <alignment horizontal="left" vertical="center" indent="1"/>
    </xf>
    <xf numFmtId="0" fontId="0" fillId="9" borderId="1" xfId="0" applyFont="1" applyFill="1" applyBorder="1" applyAlignment="1" applyProtection="1">
      <alignment horizontal="center" vertical="center" wrapText="1"/>
      <protection locked="0"/>
    </xf>
    <xf numFmtId="165" fontId="0" fillId="5" borderId="14" xfId="0" applyNumberFormat="1" applyFill="1" applyBorder="1" applyAlignment="1">
      <alignment horizontal="center"/>
    </xf>
    <xf numFmtId="0" fontId="11" fillId="8" borderId="26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 vertical="center"/>
    </xf>
    <xf numFmtId="0" fontId="0" fillId="5" borderId="19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/>
    </xf>
    <xf numFmtId="0" fontId="20" fillId="5" borderId="22" xfId="0" applyFont="1" applyFill="1" applyBorder="1" applyAlignment="1">
      <alignment horizontal="center"/>
    </xf>
    <xf numFmtId="2" fontId="0" fillId="5" borderId="14" xfId="0" applyNumberFormat="1" applyFont="1" applyFill="1" applyBorder="1" applyAlignment="1">
      <alignment horizontal="center"/>
    </xf>
    <xf numFmtId="164" fontId="0" fillId="9" borderId="1" xfId="0" applyNumberFormat="1" applyFill="1" applyBorder="1" applyAlignment="1" applyProtection="1">
      <alignment horizontal="center"/>
      <protection locked="0"/>
    </xf>
    <xf numFmtId="164" fontId="0" fillId="7" borderId="0" xfId="0" applyNumberFormat="1" applyFill="1" applyBorder="1" applyAlignment="1" applyProtection="1">
      <alignment horizontal="center"/>
    </xf>
    <xf numFmtId="165" fontId="0" fillId="7" borderId="0" xfId="0" applyNumberForma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left" indent="1"/>
    </xf>
    <xf numFmtId="0" fontId="17" fillId="7" borderId="40" xfId="0" applyFont="1" applyFill="1" applyBorder="1" applyAlignment="1" applyProtection="1">
      <alignment horizontal="left" vertical="center"/>
    </xf>
    <xf numFmtId="0" fontId="24" fillId="7" borderId="40" xfId="0" applyFont="1" applyFill="1" applyBorder="1" applyAlignment="1" applyProtection="1">
      <alignment horizontal="center"/>
    </xf>
    <xf numFmtId="2" fontId="24" fillId="7" borderId="0" xfId="0" applyNumberFormat="1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>
      <alignment horizontal="center"/>
    </xf>
    <xf numFmtId="2" fontId="24" fillId="9" borderId="1" xfId="0" applyNumberFormat="1" applyFont="1" applyFill="1" applyBorder="1" applyAlignment="1" applyProtection="1">
      <alignment horizontal="center"/>
      <protection locked="0"/>
    </xf>
    <xf numFmtId="0" fontId="24" fillId="7" borderId="42" xfId="0" applyFont="1" applyFill="1" applyBorder="1" applyAlignment="1" applyProtection="1">
      <alignment horizontal="center"/>
    </xf>
    <xf numFmtId="0" fontId="24" fillId="7" borderId="36" xfId="0" applyFont="1" applyFill="1" applyBorder="1" applyAlignment="1" applyProtection="1">
      <alignment horizontal="center"/>
    </xf>
    <xf numFmtId="0" fontId="25" fillId="7" borderId="0" xfId="0" applyFont="1" applyFill="1" applyBorder="1" applyAlignment="1" applyProtection="1">
      <alignment horizontal="center"/>
    </xf>
    <xf numFmtId="0" fontId="24" fillId="7" borderId="40" xfId="0" applyFont="1" applyFill="1" applyBorder="1" applyAlignment="1" applyProtection="1">
      <alignment horizontal="center" vertical="center"/>
    </xf>
    <xf numFmtId="2" fontId="24" fillId="7" borderId="0" xfId="0" applyNumberFormat="1" applyFont="1" applyFill="1" applyBorder="1" applyAlignment="1" applyProtection="1">
      <alignment horizontal="center" vertical="center"/>
    </xf>
    <xf numFmtId="0" fontId="0" fillId="7" borderId="10" xfId="0" applyFont="1" applyFill="1" applyBorder="1" applyAlignment="1" applyProtection="1">
      <alignment horizontal="left" indent="1"/>
    </xf>
    <xf numFmtId="0" fontId="0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Protection="1"/>
    <xf numFmtId="0" fontId="0" fillId="7" borderId="41" xfId="0" applyFont="1" applyFill="1" applyBorder="1" applyProtection="1"/>
    <xf numFmtId="165" fontId="0" fillId="7" borderId="0" xfId="0" applyNumberFormat="1" applyFont="1" applyFill="1" applyBorder="1" applyAlignment="1" applyProtection="1">
      <alignment horizontal="center"/>
    </xf>
    <xf numFmtId="1" fontId="24" fillId="9" borderId="1" xfId="0" applyNumberFormat="1" applyFont="1" applyFill="1" applyBorder="1" applyAlignment="1" applyProtection="1">
      <alignment horizontal="center"/>
      <protection locked="0"/>
    </xf>
    <xf numFmtId="164" fontId="8" fillId="5" borderId="14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7" fillId="7" borderId="0" xfId="0" applyFont="1" applyFill="1" applyBorder="1" applyAlignment="1" applyProtection="1">
      <alignment horizontal="left" vertical="center"/>
    </xf>
    <xf numFmtId="0" fontId="33" fillId="7" borderId="40" xfId="0" applyFont="1" applyFill="1" applyBorder="1" applyAlignment="1" applyProtection="1">
      <alignment horizontal="center"/>
    </xf>
    <xf numFmtId="0" fontId="33" fillId="7" borderId="0" xfId="0" applyFont="1" applyFill="1" applyBorder="1" applyAlignment="1" applyProtection="1">
      <alignment horizontal="center"/>
    </xf>
    <xf numFmtId="0" fontId="35" fillId="7" borderId="10" xfId="0" applyFont="1" applyFill="1" applyBorder="1" applyAlignment="1" applyProtection="1">
      <alignment horizontal="left" indent="1"/>
    </xf>
    <xf numFmtId="0" fontId="35" fillId="7" borderId="0" xfId="0" applyFont="1" applyFill="1" applyBorder="1" applyAlignment="1" applyProtection="1">
      <alignment horizontal="center"/>
    </xf>
    <xf numFmtId="0" fontId="35" fillId="7" borderId="0" xfId="0" applyFont="1" applyFill="1" applyBorder="1" applyProtection="1"/>
    <xf numFmtId="0" fontId="35" fillId="7" borderId="41" xfId="0" applyFont="1" applyFill="1" applyBorder="1" applyProtection="1"/>
    <xf numFmtId="165" fontId="35" fillId="9" borderId="1" xfId="0" applyNumberFormat="1" applyFont="1" applyFill="1" applyBorder="1" applyAlignment="1" applyProtection="1">
      <alignment horizontal="center"/>
      <protection locked="0"/>
    </xf>
    <xf numFmtId="0" fontId="7" fillId="7" borderId="0" xfId="0" applyFont="1" applyFill="1" applyBorder="1" applyAlignment="1" applyProtection="1">
      <alignment horizontal="left" vertical="center"/>
    </xf>
    <xf numFmtId="165" fontId="31" fillId="7" borderId="0" xfId="0" applyNumberFormat="1" applyFont="1" applyFill="1" applyBorder="1" applyAlignment="1" applyProtection="1">
      <alignment horizontal="center" vertical="center"/>
    </xf>
    <xf numFmtId="0" fontId="39" fillId="8" borderId="40" xfId="0" applyFont="1" applyFill="1" applyBorder="1" applyAlignment="1">
      <alignment horizontal="center"/>
    </xf>
    <xf numFmtId="2" fontId="39" fillId="8" borderId="8" xfId="0" applyNumberFormat="1" applyFont="1" applyFill="1" applyBorder="1" applyAlignment="1">
      <alignment horizontal="center"/>
    </xf>
    <xf numFmtId="2" fontId="39" fillId="2" borderId="0" xfId="0" applyNumberFormat="1" applyFont="1" applyFill="1" applyBorder="1" applyAlignment="1">
      <alignment horizontal="center"/>
    </xf>
    <xf numFmtId="164" fontId="39" fillId="2" borderId="0" xfId="0" applyNumberFormat="1" applyFont="1" applyFill="1" applyBorder="1" applyAlignment="1">
      <alignment horizontal="center"/>
    </xf>
    <xf numFmtId="2" fontId="39" fillId="3" borderId="0" xfId="0" applyNumberFormat="1" applyFont="1" applyFill="1" applyBorder="1" applyAlignment="1">
      <alignment horizontal="center"/>
    </xf>
    <xf numFmtId="164" fontId="39" fillId="3" borderId="0" xfId="0" applyNumberFormat="1" applyFont="1" applyFill="1" applyBorder="1" applyAlignment="1">
      <alignment horizontal="center"/>
    </xf>
    <xf numFmtId="2" fontId="39" fillId="4" borderId="0" xfId="0" applyNumberFormat="1" applyFont="1" applyFill="1" applyBorder="1" applyAlignment="1">
      <alignment horizontal="center"/>
    </xf>
    <xf numFmtId="164" fontId="39" fillId="4" borderId="0" xfId="0" applyNumberFormat="1" applyFont="1" applyFill="1" applyBorder="1" applyAlignment="1">
      <alignment horizontal="center"/>
    </xf>
    <xf numFmtId="0" fontId="39" fillId="0" borderId="0" xfId="0" applyFont="1"/>
    <xf numFmtId="0" fontId="39" fillId="8" borderId="42" xfId="0" applyFont="1" applyFill="1" applyBorder="1" applyAlignment="1">
      <alignment horizontal="center"/>
    </xf>
    <xf numFmtId="2" fontId="39" fillId="8" borderId="35" xfId="0" applyNumberFormat="1" applyFont="1" applyFill="1" applyBorder="1" applyAlignment="1">
      <alignment horizontal="center"/>
    </xf>
    <xf numFmtId="2" fontId="39" fillId="2" borderId="36" xfId="0" applyNumberFormat="1" applyFont="1" applyFill="1" applyBorder="1" applyAlignment="1">
      <alignment horizontal="center"/>
    </xf>
    <xf numFmtId="164" fontId="39" fillId="2" borderId="36" xfId="0" applyNumberFormat="1" applyFont="1" applyFill="1" applyBorder="1" applyAlignment="1">
      <alignment horizontal="center"/>
    </xf>
    <xf numFmtId="2" fontId="39" fillId="3" borderId="36" xfId="0" applyNumberFormat="1" applyFont="1" applyFill="1" applyBorder="1" applyAlignment="1">
      <alignment horizontal="center"/>
    </xf>
    <xf numFmtId="164" fontId="39" fillId="3" borderId="36" xfId="0" applyNumberFormat="1" applyFont="1" applyFill="1" applyBorder="1" applyAlignment="1">
      <alignment horizontal="center"/>
    </xf>
    <xf numFmtId="2" fontId="39" fillId="4" borderId="36" xfId="0" applyNumberFormat="1" applyFont="1" applyFill="1" applyBorder="1" applyAlignment="1">
      <alignment horizontal="center"/>
    </xf>
    <xf numFmtId="164" fontId="39" fillId="4" borderId="36" xfId="0" applyNumberFormat="1" applyFont="1" applyFill="1" applyBorder="1" applyAlignment="1">
      <alignment horizontal="center"/>
    </xf>
    <xf numFmtId="0" fontId="40" fillId="0" borderId="0" xfId="1" applyFont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0" fontId="31" fillId="7" borderId="0" xfId="0" applyFont="1" applyFill="1" applyBorder="1" applyAlignment="1" applyProtection="1">
      <alignment horizontal="left" vertical="center"/>
    </xf>
    <xf numFmtId="0" fontId="11" fillId="8" borderId="16" xfId="0" applyFont="1" applyFill="1" applyBorder="1" applyAlignment="1" applyProtection="1">
      <alignment horizontal="center" vertical="center" wrapText="1"/>
    </xf>
    <xf numFmtId="0" fontId="0" fillId="6" borderId="12" xfId="0" applyFill="1" applyBorder="1" applyAlignment="1" applyProtection="1">
      <alignment horizontal="center"/>
    </xf>
    <xf numFmtId="0" fontId="8" fillId="6" borderId="51" xfId="0" applyFont="1" applyFill="1" applyBorder="1" applyAlignment="1" applyProtection="1">
      <alignment horizontal="center" vertical="center"/>
    </xf>
    <xf numFmtId="0" fontId="7" fillId="6" borderId="19" xfId="0" applyFont="1" applyFill="1" applyBorder="1" applyAlignment="1" applyProtection="1">
      <alignment horizontal="center" vertical="center"/>
    </xf>
    <xf numFmtId="0" fontId="0" fillId="7" borderId="36" xfId="0" applyFill="1" applyBorder="1"/>
    <xf numFmtId="0" fontId="0" fillId="7" borderId="37" xfId="0" applyFill="1" applyBorder="1"/>
    <xf numFmtId="0" fontId="0" fillId="7" borderId="4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4" xfId="0" applyFill="1" applyBorder="1" applyAlignment="1">
      <alignment horizontal="left" indent="1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1" fontId="0" fillId="7" borderId="36" xfId="0" applyNumberFormat="1" applyFill="1" applyBorder="1" applyAlignment="1">
      <alignment horizontal="center" vertical="center"/>
    </xf>
    <xf numFmtId="0" fontId="7" fillId="6" borderId="21" xfId="0" applyFont="1" applyFill="1" applyBorder="1" applyAlignment="1" applyProtection="1">
      <alignment horizontal="center" vertical="center"/>
    </xf>
    <xf numFmtId="0" fontId="8" fillId="6" borderId="43" xfId="0" applyFont="1" applyFill="1" applyBorder="1" applyAlignment="1" applyProtection="1">
      <alignment horizontal="center" vertical="center"/>
    </xf>
    <xf numFmtId="0" fontId="0" fillId="5" borderId="21" xfId="0" applyFill="1" applyBorder="1" applyAlignment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40" fillId="0" borderId="0" xfId="1" applyFont="1" applyAlignment="1" applyProtection="1">
      <alignment horizontal="right" vertical="center"/>
    </xf>
    <xf numFmtId="0" fontId="32" fillId="0" borderId="0" xfId="1" applyFont="1" applyBorder="1" applyAlignment="1" applyProtection="1">
      <alignment horizontal="center" vertical="center"/>
    </xf>
    <xf numFmtId="0" fontId="32" fillId="0" borderId="0" xfId="1" applyFont="1" applyBorder="1" applyAlignment="1" applyProtection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38" fillId="8" borderId="45" xfId="0" applyFont="1" applyFill="1" applyBorder="1" applyAlignment="1">
      <alignment horizontal="center" vertical="center"/>
    </xf>
    <xf numFmtId="0" fontId="38" fillId="8" borderId="44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8" borderId="38" xfId="0" applyFont="1" applyFill="1" applyBorder="1" applyAlignment="1">
      <alignment horizontal="center"/>
    </xf>
    <xf numFmtId="2" fontId="39" fillId="8" borderId="55" xfId="0" applyNumberFormat="1" applyFont="1" applyFill="1" applyBorder="1" applyAlignment="1">
      <alignment horizontal="center"/>
    </xf>
    <xf numFmtId="2" fontId="39" fillId="2" borderId="2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 vertical="center"/>
    </xf>
    <xf numFmtId="165" fontId="39" fillId="2" borderId="2" xfId="0" applyNumberFormat="1" applyFont="1" applyFill="1" applyBorder="1" applyAlignment="1">
      <alignment horizontal="center" vertical="center"/>
    </xf>
    <xf numFmtId="164" fontId="39" fillId="2" borderId="0" xfId="0" applyNumberFormat="1" applyFont="1" applyFill="1" applyBorder="1" applyAlignment="1">
      <alignment horizontal="center" vertical="center"/>
    </xf>
    <xf numFmtId="165" fontId="39" fillId="2" borderId="0" xfId="0" applyNumberFormat="1" applyFont="1" applyFill="1" applyBorder="1" applyAlignment="1">
      <alignment horizontal="center" vertical="center"/>
    </xf>
    <xf numFmtId="164" fontId="39" fillId="2" borderId="36" xfId="0" applyNumberFormat="1" applyFont="1" applyFill="1" applyBorder="1" applyAlignment="1">
      <alignment horizontal="center" vertical="center"/>
    </xf>
    <xf numFmtId="165" fontId="39" fillId="2" borderId="36" xfId="0" applyNumberFormat="1" applyFont="1" applyFill="1" applyBorder="1" applyAlignment="1">
      <alignment horizontal="center" vertical="center"/>
    </xf>
    <xf numFmtId="0" fontId="6" fillId="8" borderId="44" xfId="1" applyFont="1" applyFill="1" applyBorder="1" applyAlignment="1" applyProtection="1">
      <alignment horizontal="center" vertical="center"/>
    </xf>
    <xf numFmtId="164" fontId="39" fillId="2" borderId="39" xfId="0" applyNumberFormat="1" applyFont="1" applyFill="1" applyBorder="1" applyAlignment="1">
      <alignment horizontal="center"/>
    </xf>
    <xf numFmtId="164" fontId="39" fillId="2" borderId="41" xfId="0" applyNumberFormat="1" applyFont="1" applyFill="1" applyBorder="1" applyAlignment="1">
      <alignment horizontal="center"/>
    </xf>
    <xf numFmtId="165" fontId="39" fillId="2" borderId="2" xfId="0" applyNumberFormat="1" applyFont="1" applyFill="1" applyBorder="1" applyAlignment="1">
      <alignment horizontal="center"/>
    </xf>
    <xf numFmtId="165" fontId="39" fillId="2" borderId="0" xfId="0" applyNumberFormat="1" applyFont="1" applyFill="1" applyBorder="1" applyAlignment="1">
      <alignment horizontal="center"/>
    </xf>
    <xf numFmtId="165" fontId="39" fillId="2" borderId="36" xfId="0" applyNumberFormat="1" applyFont="1" applyFill="1" applyBorder="1" applyAlignment="1">
      <alignment horizontal="center"/>
    </xf>
    <xf numFmtId="2" fontId="39" fillId="3" borderId="56" xfId="0" applyNumberFormat="1" applyFont="1" applyFill="1" applyBorder="1" applyAlignment="1">
      <alignment horizontal="center"/>
    </xf>
    <xf numFmtId="2" fontId="39" fillId="3" borderId="2" xfId="0" applyNumberFormat="1" applyFont="1" applyFill="1" applyBorder="1" applyAlignment="1">
      <alignment horizontal="center"/>
    </xf>
    <xf numFmtId="165" fontId="39" fillId="3" borderId="2" xfId="0" applyNumberFormat="1" applyFont="1" applyFill="1" applyBorder="1" applyAlignment="1">
      <alignment horizontal="center"/>
    </xf>
    <xf numFmtId="164" fontId="39" fillId="3" borderId="2" xfId="0" applyNumberFormat="1" applyFont="1" applyFill="1" applyBorder="1" applyAlignment="1">
      <alignment horizontal="center"/>
    </xf>
    <xf numFmtId="164" fontId="39" fillId="3" borderId="2" xfId="0" applyNumberFormat="1" applyFont="1" applyFill="1" applyBorder="1" applyAlignment="1">
      <alignment horizontal="center" vertical="center"/>
    </xf>
    <xf numFmtId="165" fontId="39" fillId="3" borderId="2" xfId="0" applyNumberFormat="1" applyFont="1" applyFill="1" applyBorder="1" applyAlignment="1">
      <alignment horizontal="center" vertical="center"/>
    </xf>
    <xf numFmtId="2" fontId="39" fillId="3" borderId="7" xfId="0" applyNumberFormat="1" applyFont="1" applyFill="1" applyBorder="1" applyAlignment="1">
      <alignment horizontal="center"/>
    </xf>
    <xf numFmtId="165" fontId="39" fillId="3" borderId="0" xfId="0" applyNumberFormat="1" applyFont="1" applyFill="1" applyBorder="1" applyAlignment="1">
      <alignment horizontal="center"/>
    </xf>
    <xf numFmtId="164" fontId="39" fillId="3" borderId="0" xfId="0" applyNumberFormat="1" applyFont="1" applyFill="1" applyBorder="1" applyAlignment="1">
      <alignment horizontal="center" vertical="center"/>
    </xf>
    <xf numFmtId="165" fontId="39" fillId="3" borderId="0" xfId="0" applyNumberFormat="1" applyFont="1" applyFill="1" applyBorder="1" applyAlignment="1">
      <alignment horizontal="center" vertical="center"/>
    </xf>
    <xf numFmtId="2" fontId="39" fillId="3" borderId="34" xfId="0" applyNumberFormat="1" applyFont="1" applyFill="1" applyBorder="1" applyAlignment="1">
      <alignment horizontal="center"/>
    </xf>
    <xf numFmtId="165" fontId="39" fillId="3" borderId="36" xfId="0" applyNumberFormat="1" applyFont="1" applyFill="1" applyBorder="1" applyAlignment="1">
      <alignment horizontal="center"/>
    </xf>
    <xf numFmtId="164" fontId="39" fillId="3" borderId="36" xfId="0" applyNumberFormat="1" applyFont="1" applyFill="1" applyBorder="1" applyAlignment="1">
      <alignment horizontal="center" vertical="center"/>
    </xf>
    <xf numFmtId="165" fontId="39" fillId="3" borderId="36" xfId="0" applyNumberFormat="1" applyFont="1" applyFill="1" applyBorder="1" applyAlignment="1">
      <alignment horizontal="center" vertical="center"/>
    </xf>
    <xf numFmtId="2" fontId="39" fillId="4" borderId="38" xfId="0" applyNumberFormat="1" applyFont="1" applyFill="1" applyBorder="1" applyAlignment="1">
      <alignment horizontal="center"/>
    </xf>
    <xf numFmtId="2" fontId="39" fillId="4" borderId="2" xfId="0" applyNumberFormat="1" applyFont="1" applyFill="1" applyBorder="1" applyAlignment="1">
      <alignment horizontal="center"/>
    </xf>
    <xf numFmtId="165" fontId="39" fillId="4" borderId="2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center" vertical="center"/>
    </xf>
    <xf numFmtId="165" fontId="39" fillId="4" borderId="2" xfId="0" applyNumberFormat="1" applyFont="1" applyFill="1" applyBorder="1" applyAlignment="1">
      <alignment horizontal="center" vertical="center"/>
    </xf>
    <xf numFmtId="2" fontId="39" fillId="4" borderId="40" xfId="0" applyNumberFormat="1" applyFont="1" applyFill="1" applyBorder="1" applyAlignment="1">
      <alignment horizontal="center"/>
    </xf>
    <xf numFmtId="165" fontId="39" fillId="4" borderId="0" xfId="0" applyNumberFormat="1" applyFont="1" applyFill="1" applyBorder="1" applyAlignment="1">
      <alignment horizontal="center"/>
    </xf>
    <xf numFmtId="164" fontId="39" fillId="4" borderId="0" xfId="0" applyNumberFormat="1" applyFont="1" applyFill="1" applyBorder="1" applyAlignment="1">
      <alignment horizontal="center" vertical="center"/>
    </xf>
    <xf numFmtId="165" fontId="39" fillId="4" borderId="0" xfId="0" applyNumberFormat="1" applyFont="1" applyFill="1" applyBorder="1" applyAlignment="1">
      <alignment horizontal="center" vertical="center"/>
    </xf>
    <xf numFmtId="2" fontId="39" fillId="4" borderId="42" xfId="0" applyNumberFormat="1" applyFont="1" applyFill="1" applyBorder="1" applyAlignment="1">
      <alignment horizontal="center"/>
    </xf>
    <xf numFmtId="165" fontId="39" fillId="4" borderId="36" xfId="0" applyNumberFormat="1" applyFont="1" applyFill="1" applyBorder="1" applyAlignment="1">
      <alignment horizontal="center"/>
    </xf>
    <xf numFmtId="164" fontId="39" fillId="4" borderId="36" xfId="0" applyNumberFormat="1" applyFont="1" applyFill="1" applyBorder="1" applyAlignment="1">
      <alignment horizontal="center" vertical="center"/>
    </xf>
    <xf numFmtId="165" fontId="39" fillId="4" borderId="36" xfId="0" applyNumberFormat="1" applyFont="1" applyFill="1" applyBorder="1" applyAlignment="1">
      <alignment horizontal="center" vertical="center"/>
    </xf>
    <xf numFmtId="0" fontId="6" fillId="8" borderId="36" xfId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left"/>
    </xf>
    <xf numFmtId="0" fontId="40" fillId="0" borderId="0" xfId="1" applyFont="1" applyAlignment="1" applyProtection="1">
      <alignment horizontal="left" vertical="center"/>
    </xf>
    <xf numFmtId="0" fontId="32" fillId="0" borderId="0" xfId="0" applyFont="1" applyAlignment="1">
      <alignment horizontal="left"/>
    </xf>
    <xf numFmtId="0" fontId="7" fillId="7" borderId="0" xfId="0" applyFont="1" applyFill="1" applyBorder="1" applyProtection="1"/>
    <xf numFmtId="0" fontId="0" fillId="7" borderId="0" xfId="0" applyFill="1" applyProtection="1"/>
    <xf numFmtId="0" fontId="0" fillId="7" borderId="0" xfId="0" applyFill="1" applyAlignment="1" applyProtection="1">
      <alignment horizontal="center"/>
    </xf>
    <xf numFmtId="165" fontId="8" fillId="7" borderId="0" xfId="0" applyNumberFormat="1" applyFont="1" applyFill="1" applyBorder="1" applyAlignment="1" applyProtection="1">
      <alignment horizontal="center" vertical="center"/>
    </xf>
    <xf numFmtId="165" fontId="0" fillId="7" borderId="0" xfId="0" applyNumberFormat="1" applyFont="1" applyFill="1" applyAlignment="1" applyProtection="1">
      <alignment horizontal="center"/>
    </xf>
    <xf numFmtId="0" fontId="38" fillId="8" borderId="36" xfId="0" applyFont="1" applyFill="1" applyBorder="1" applyAlignment="1">
      <alignment horizontal="center" vertical="center"/>
    </xf>
    <xf numFmtId="0" fontId="8" fillId="6" borderId="29" xfId="0" applyFont="1" applyFill="1" applyBorder="1" applyAlignment="1" applyProtection="1">
      <alignment horizontal="center"/>
    </xf>
    <xf numFmtId="165" fontId="8" fillId="6" borderId="3" xfId="0" applyNumberFormat="1" applyFont="1" applyFill="1" applyBorder="1" applyAlignment="1" applyProtection="1">
      <alignment horizontal="center"/>
    </xf>
    <xf numFmtId="2" fontId="8" fillId="9" borderId="1" xfId="0" applyNumberFormat="1" applyFont="1" applyFill="1" applyBorder="1" applyAlignment="1" applyProtection="1">
      <alignment horizontal="center"/>
      <protection locked="0"/>
    </xf>
    <xf numFmtId="165" fontId="8" fillId="6" borderId="57" xfId="0" applyNumberFormat="1" applyFont="1" applyFill="1" applyBorder="1" applyAlignment="1" applyProtection="1">
      <alignment horizontal="center"/>
    </xf>
    <xf numFmtId="2" fontId="0" fillId="9" borderId="1" xfId="0" applyNumberFormat="1" applyFill="1" applyBorder="1" applyAlignment="1" applyProtection="1">
      <alignment horizontal="center"/>
      <protection locked="0"/>
    </xf>
    <xf numFmtId="0" fontId="0" fillId="0" borderId="0" xfId="0" applyFont="1"/>
    <xf numFmtId="0" fontId="38" fillId="8" borderId="42" xfId="0" applyFont="1" applyFill="1" applyBorder="1" applyAlignment="1">
      <alignment horizontal="center" vertical="center"/>
    </xf>
    <xf numFmtId="0" fontId="38" fillId="8" borderId="37" xfId="0" applyFont="1" applyFill="1" applyBorder="1" applyAlignment="1">
      <alignment horizontal="center" vertical="center"/>
    </xf>
    <xf numFmtId="165" fontId="39" fillId="2" borderId="39" xfId="0" applyNumberFormat="1" applyFont="1" applyFill="1" applyBorder="1" applyAlignment="1">
      <alignment horizontal="center"/>
    </xf>
    <xf numFmtId="165" fontId="39" fillId="2" borderId="41" xfId="0" applyNumberFormat="1" applyFont="1" applyFill="1" applyBorder="1" applyAlignment="1">
      <alignment horizontal="center"/>
    </xf>
    <xf numFmtId="165" fontId="39" fillId="2" borderId="37" xfId="0" applyNumberFormat="1" applyFont="1" applyFill="1" applyBorder="1" applyAlignment="1">
      <alignment horizontal="center"/>
    </xf>
    <xf numFmtId="165" fontId="38" fillId="8" borderId="46" xfId="0" applyNumberFormat="1" applyFont="1" applyFill="1" applyBorder="1" applyAlignment="1">
      <alignment horizontal="center" vertical="center"/>
    </xf>
    <xf numFmtId="165" fontId="39" fillId="3" borderId="39" xfId="0" applyNumberFormat="1" applyFont="1" applyFill="1" applyBorder="1" applyAlignment="1">
      <alignment horizontal="center"/>
    </xf>
    <xf numFmtId="165" fontId="39" fillId="3" borderId="41" xfId="0" applyNumberFormat="1" applyFont="1" applyFill="1" applyBorder="1" applyAlignment="1">
      <alignment horizontal="center"/>
    </xf>
    <xf numFmtId="165" fontId="39" fillId="3" borderId="37" xfId="0" applyNumberFormat="1" applyFont="1" applyFill="1" applyBorder="1" applyAlignment="1">
      <alignment horizontal="center"/>
    </xf>
    <xf numFmtId="165" fontId="39" fillId="4" borderId="39" xfId="0" applyNumberFormat="1" applyFont="1" applyFill="1" applyBorder="1" applyAlignment="1">
      <alignment horizontal="center"/>
    </xf>
    <xf numFmtId="165" fontId="39" fillId="4" borderId="41" xfId="0" applyNumberFormat="1" applyFont="1" applyFill="1" applyBorder="1" applyAlignment="1">
      <alignment horizontal="center"/>
    </xf>
    <xf numFmtId="165" fontId="39" fillId="4" borderId="37" xfId="0" applyNumberFormat="1" applyFont="1" applyFill="1" applyBorder="1" applyAlignment="1">
      <alignment horizontal="center"/>
    </xf>
    <xf numFmtId="2" fontId="39" fillId="2" borderId="38" xfId="0" applyNumberFormat="1" applyFont="1" applyFill="1" applyBorder="1" applyAlignment="1">
      <alignment horizontal="center"/>
    </xf>
    <xf numFmtId="2" fontId="39" fillId="2" borderId="40" xfId="0" applyNumberFormat="1" applyFont="1" applyFill="1" applyBorder="1" applyAlignment="1">
      <alignment horizontal="center"/>
    </xf>
    <xf numFmtId="2" fontId="39" fillId="2" borderId="42" xfId="0" applyNumberFormat="1" applyFont="1" applyFill="1" applyBorder="1" applyAlignment="1">
      <alignment horizontal="center"/>
    </xf>
    <xf numFmtId="0" fontId="0" fillId="8" borderId="39" xfId="0" applyFont="1" applyFill="1" applyBorder="1"/>
    <xf numFmtId="0" fontId="38" fillId="8" borderId="58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53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54" xfId="0" applyFont="1" applyFill="1" applyBorder="1" applyAlignment="1" applyProtection="1">
      <alignment horizontal="center" vertical="center"/>
    </xf>
    <xf numFmtId="0" fontId="43" fillId="8" borderId="52" xfId="0" applyFont="1" applyFill="1" applyBorder="1" applyAlignment="1" applyProtection="1">
      <alignment horizontal="center" vertical="center"/>
    </xf>
    <xf numFmtId="2" fontId="7" fillId="7" borderId="0" xfId="0" applyNumberFormat="1" applyFont="1" applyFill="1" applyBorder="1" applyAlignment="1" applyProtection="1">
      <alignment horizontal="center"/>
      <protection locked="0"/>
    </xf>
    <xf numFmtId="0" fontId="12" fillId="7" borderId="0" xfId="0" applyFont="1" applyFill="1" applyBorder="1" applyAlignment="1" applyProtection="1">
      <alignment horizontal="center"/>
    </xf>
    <xf numFmtId="1" fontId="7" fillId="7" borderId="0" xfId="0" applyNumberFormat="1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/>
    </xf>
    <xf numFmtId="2" fontId="24" fillId="0" borderId="1" xfId="0" applyNumberFormat="1" applyFont="1" applyFill="1" applyBorder="1" applyAlignment="1" applyProtection="1">
      <alignment horizontal="center"/>
      <protection locked="0"/>
    </xf>
    <xf numFmtId="0" fontId="8" fillId="6" borderId="15" xfId="0" applyFont="1" applyFill="1" applyBorder="1" applyAlignment="1" applyProtection="1">
      <alignment horizontal="center"/>
    </xf>
    <xf numFmtId="165" fontId="0" fillId="6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46" fillId="0" borderId="0" xfId="0" applyFont="1" applyAlignment="1">
      <alignment vertical="center"/>
    </xf>
    <xf numFmtId="2" fontId="46" fillId="8" borderId="2" xfId="0" applyNumberFormat="1" applyFont="1" applyFill="1" applyBorder="1" applyAlignment="1">
      <alignment horizontal="left" vertical="center"/>
    </xf>
    <xf numFmtId="2" fontId="46" fillId="8" borderId="2" xfId="0" applyNumberFormat="1" applyFont="1" applyFill="1" applyBorder="1" applyAlignment="1">
      <alignment horizontal="center" vertical="center"/>
    </xf>
    <xf numFmtId="165" fontId="46" fillId="8" borderId="2" xfId="0" applyNumberFormat="1" applyFont="1" applyFill="1" applyBorder="1" applyAlignment="1">
      <alignment horizontal="center" vertical="center"/>
    </xf>
    <xf numFmtId="164" fontId="46" fillId="8" borderId="2" xfId="0" applyNumberFormat="1" applyFont="1" applyFill="1" applyBorder="1" applyAlignment="1">
      <alignment horizontal="center" vertical="center"/>
    </xf>
    <xf numFmtId="164" fontId="46" fillId="8" borderId="39" xfId="0" applyNumberFormat="1" applyFont="1" applyFill="1" applyBorder="1" applyAlignment="1">
      <alignment horizontal="center" vertical="center"/>
    </xf>
    <xf numFmtId="0" fontId="38" fillId="8" borderId="35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 vertical="center"/>
    </xf>
    <xf numFmtId="0" fontId="47" fillId="8" borderId="38" xfId="0" applyFont="1" applyFill="1" applyBorder="1" applyAlignment="1">
      <alignment horizontal="left" vertical="center"/>
    </xf>
    <xf numFmtId="0" fontId="47" fillId="8" borderId="2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4" fontId="17" fillId="7" borderId="0" xfId="0" applyNumberFormat="1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 vertical="center"/>
    </xf>
    <xf numFmtId="0" fontId="50" fillId="0" borderId="40" xfId="0" applyFont="1" applyBorder="1" applyAlignment="1" applyProtection="1"/>
    <xf numFmtId="0" fontId="50" fillId="0" borderId="0" xfId="0" applyFont="1" applyAlignment="1" applyProtection="1"/>
    <xf numFmtId="0" fontId="50" fillId="0" borderId="0" xfId="0" applyFont="1" applyProtection="1"/>
    <xf numFmtId="0" fontId="7" fillId="0" borderId="0" xfId="0" applyFont="1" applyAlignment="1" applyProtection="1">
      <alignment horizontal="left"/>
    </xf>
    <xf numFmtId="1" fontId="24" fillId="7" borderId="36" xfId="0" applyNumberFormat="1" applyFont="1" applyFill="1" applyBorder="1" applyAlignment="1" applyProtection="1">
      <alignment horizontal="center"/>
    </xf>
    <xf numFmtId="0" fontId="7" fillId="7" borderId="40" xfId="0" applyFont="1" applyFill="1" applyBorder="1" applyAlignment="1" applyProtection="1">
      <alignment horizontal="center" vertical="center"/>
    </xf>
    <xf numFmtId="165" fontId="0" fillId="9" borderId="1" xfId="0" applyNumberFormat="1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 applyProtection="1">
      <alignment horizontal="center" vertical="center"/>
    </xf>
    <xf numFmtId="0" fontId="0" fillId="7" borderId="37" xfId="0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0" fontId="38" fillId="8" borderId="39" xfId="0" applyFont="1" applyFill="1" applyBorder="1" applyAlignment="1">
      <alignment horizontal="center" vertical="center"/>
    </xf>
    <xf numFmtId="0" fontId="0" fillId="6" borderId="22" xfId="0" applyFill="1" applyBorder="1" applyAlignment="1" applyProtection="1">
      <alignment horizontal="left" vertical="center" indent="1"/>
    </xf>
    <xf numFmtId="0" fontId="50" fillId="0" borderId="0" xfId="0" applyFont="1" applyBorder="1" applyAlignment="1" applyProtection="1"/>
    <xf numFmtId="0" fontId="0" fillId="6" borderId="22" xfId="0" applyFill="1" applyBorder="1" applyProtection="1"/>
    <xf numFmtId="0" fontId="0" fillId="6" borderId="23" xfId="0" applyFill="1" applyBorder="1" applyProtection="1"/>
    <xf numFmtId="0" fontId="7" fillId="6" borderId="19" xfId="0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 applyProtection="1">
      <alignment horizontal="center" vertical="center"/>
      <protection locked="0"/>
    </xf>
    <xf numFmtId="1" fontId="24" fillId="0" borderId="1" xfId="0" applyNumberFormat="1" applyFont="1" applyFill="1" applyBorder="1" applyAlignment="1" applyProtection="1">
      <alignment horizontal="center"/>
      <protection locked="0"/>
    </xf>
    <xf numFmtId="0" fontId="12" fillId="5" borderId="14" xfId="0" applyFont="1" applyFill="1" applyBorder="1" applyAlignment="1">
      <alignment horizontal="center"/>
    </xf>
    <xf numFmtId="164" fontId="39" fillId="13" borderId="41" xfId="0" applyNumberFormat="1" applyFont="1" applyFill="1" applyBorder="1" applyAlignment="1">
      <alignment horizontal="center"/>
    </xf>
    <xf numFmtId="164" fontId="39" fillId="13" borderId="37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164" fontId="0" fillId="5" borderId="14" xfId="0" applyNumberFormat="1" applyFill="1" applyBorder="1" applyAlignment="1">
      <alignment horizontal="center"/>
    </xf>
    <xf numFmtId="0" fontId="24" fillId="9" borderId="1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</xf>
    <xf numFmtId="2" fontId="39" fillId="3" borderId="38" xfId="0" applyNumberFormat="1" applyFont="1" applyFill="1" applyBorder="1" applyAlignment="1">
      <alignment horizontal="center"/>
    </xf>
    <xf numFmtId="2" fontId="39" fillId="3" borderId="40" xfId="0" applyNumberFormat="1" applyFont="1" applyFill="1" applyBorder="1" applyAlignment="1">
      <alignment horizontal="center"/>
    </xf>
    <xf numFmtId="167" fontId="52" fillId="0" borderId="0" xfId="0" applyNumberFormat="1" applyFont="1" applyAlignment="1">
      <alignment horizontal="center"/>
    </xf>
    <xf numFmtId="2" fontId="39" fillId="3" borderId="42" xfId="0" applyNumberFormat="1" applyFont="1" applyFill="1" applyBorder="1" applyAlignment="1">
      <alignment horizontal="center"/>
    </xf>
    <xf numFmtId="164" fontId="39" fillId="14" borderId="39" xfId="0" applyNumberFormat="1" applyFont="1" applyFill="1" applyBorder="1" applyAlignment="1">
      <alignment horizontal="center"/>
    </xf>
    <xf numFmtId="164" fontId="39" fillId="14" borderId="41" xfId="0" applyNumberFormat="1" applyFont="1" applyFill="1" applyBorder="1" applyAlignment="1">
      <alignment horizontal="center"/>
    </xf>
    <xf numFmtId="164" fontId="39" fillId="14" borderId="37" xfId="0" applyNumberFormat="1" applyFont="1" applyFill="1" applyBorder="1" applyAlignment="1">
      <alignment horizontal="center"/>
    </xf>
    <xf numFmtId="164" fontId="39" fillId="15" borderId="39" xfId="0" applyNumberFormat="1" applyFont="1" applyFill="1" applyBorder="1" applyAlignment="1">
      <alignment horizontal="center"/>
    </xf>
    <xf numFmtId="164" fontId="39" fillId="15" borderId="41" xfId="0" applyNumberFormat="1" applyFont="1" applyFill="1" applyBorder="1" applyAlignment="1">
      <alignment horizontal="center"/>
    </xf>
    <xf numFmtId="164" fontId="39" fillId="15" borderId="37" xfId="0" applyNumberFormat="1" applyFont="1" applyFill="1" applyBorder="1" applyAlignment="1">
      <alignment horizontal="center"/>
    </xf>
    <xf numFmtId="0" fontId="17" fillId="7" borderId="40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center" vertical="center"/>
    </xf>
    <xf numFmtId="0" fontId="17" fillId="7" borderId="41" xfId="0" applyFont="1" applyFill="1" applyBorder="1" applyAlignment="1" applyProtection="1">
      <alignment horizontal="center" vertical="center"/>
    </xf>
    <xf numFmtId="0" fontId="17" fillId="7" borderId="38" xfId="0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horizontal="center" vertical="center"/>
    </xf>
    <xf numFmtId="0" fontId="17" fillId="7" borderId="39" xfId="0" applyFont="1" applyFill="1" applyBorder="1" applyAlignment="1" applyProtection="1">
      <alignment horizontal="center" vertical="center"/>
    </xf>
    <xf numFmtId="0" fontId="51" fillId="7" borderId="4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6" borderId="13" xfId="0" applyFill="1" applyBorder="1" applyAlignment="1" applyProtection="1">
      <alignment horizontal="left" vertical="center" indent="1"/>
    </xf>
    <xf numFmtId="0" fontId="0" fillId="6" borderId="14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0" fillId="6" borderId="13" xfId="0" applyFill="1" applyBorder="1" applyAlignment="1" applyProtection="1">
      <alignment horizontal="left" indent="1"/>
    </xf>
    <xf numFmtId="0" fontId="0" fillId="6" borderId="14" xfId="0" applyFill="1" applyBorder="1" applyAlignment="1" applyProtection="1">
      <alignment horizontal="left" indent="1"/>
    </xf>
    <xf numFmtId="0" fontId="0" fillId="6" borderId="20" xfId="0" applyFill="1" applyBorder="1" applyAlignment="1" applyProtection="1">
      <alignment horizontal="left" indent="1"/>
    </xf>
    <xf numFmtId="0" fontId="0" fillId="6" borderId="13" xfId="0" applyFont="1" applyFill="1" applyBorder="1" applyAlignment="1" applyProtection="1">
      <alignment horizontal="left" indent="1"/>
    </xf>
    <xf numFmtId="0" fontId="0" fillId="6" borderId="14" xfId="0" applyFont="1" applyFill="1" applyBorder="1" applyAlignment="1" applyProtection="1">
      <alignment horizontal="left" indent="1"/>
    </xf>
    <xf numFmtId="0" fontId="0" fillId="6" borderId="20" xfId="0" applyFont="1" applyFill="1" applyBorder="1" applyAlignment="1" applyProtection="1">
      <alignment horizontal="left" indent="1"/>
    </xf>
    <xf numFmtId="0" fontId="15" fillId="0" borderId="0" xfId="0" applyFont="1" applyAlignment="1" applyProtection="1">
      <alignment horizontal="center"/>
    </xf>
    <xf numFmtId="0" fontId="11" fillId="8" borderId="45" xfId="0" applyFont="1" applyFill="1" applyBorder="1" applyAlignment="1" applyProtection="1">
      <alignment horizontal="center" vertical="center"/>
    </xf>
    <xf numFmtId="0" fontId="11" fillId="8" borderId="44" xfId="0" applyFont="1" applyFill="1" applyBorder="1" applyAlignment="1" applyProtection="1">
      <alignment horizontal="center" vertical="center"/>
    </xf>
    <xf numFmtId="0" fontId="11" fillId="8" borderId="50" xfId="0" applyFont="1" applyFill="1" applyBorder="1" applyAlignment="1" applyProtection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left" vertical="center" indent="1"/>
    </xf>
    <xf numFmtId="0" fontId="0" fillId="6" borderId="17" xfId="0" applyFill="1" applyBorder="1" applyAlignment="1" applyProtection="1">
      <alignment horizontal="left" vertical="center" indent="1"/>
    </xf>
    <xf numFmtId="0" fontId="0" fillId="6" borderId="18" xfId="0" applyFill="1" applyBorder="1" applyAlignment="1" applyProtection="1">
      <alignment horizontal="left" vertical="center" inden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7" fillId="10" borderId="45" xfId="0" applyFont="1" applyFill="1" applyBorder="1" applyAlignment="1" applyProtection="1">
      <alignment horizontal="center" vertical="center"/>
    </xf>
    <xf numFmtId="0" fontId="27" fillId="10" borderId="44" xfId="0" applyFont="1" applyFill="1" applyBorder="1" applyAlignment="1" applyProtection="1">
      <alignment horizontal="center" vertical="center"/>
    </xf>
    <xf numFmtId="0" fontId="27" fillId="10" borderId="46" xfId="0" applyFont="1" applyFill="1" applyBorder="1" applyAlignment="1" applyProtection="1">
      <alignment horizontal="center" vertical="center"/>
    </xf>
    <xf numFmtId="0" fontId="17" fillId="7" borderId="38" xfId="0" applyFont="1" applyFill="1" applyBorder="1" applyAlignment="1" applyProtection="1">
      <alignment horizontal="left" vertical="center" wrapText="1"/>
    </xf>
    <xf numFmtId="0" fontId="17" fillId="7" borderId="2" xfId="0" applyFont="1" applyFill="1" applyBorder="1" applyAlignment="1" applyProtection="1">
      <alignment horizontal="left" vertical="center" wrapText="1"/>
    </xf>
    <xf numFmtId="0" fontId="17" fillId="7" borderId="39" xfId="0" applyFont="1" applyFill="1" applyBorder="1" applyAlignment="1" applyProtection="1">
      <alignment horizontal="left" vertical="center" wrapText="1"/>
    </xf>
    <xf numFmtId="0" fontId="0" fillId="6" borderId="4" xfId="0" applyFill="1" applyBorder="1" applyAlignment="1" applyProtection="1">
      <alignment horizontal="left" indent="1"/>
    </xf>
    <xf numFmtId="0" fontId="0" fillId="6" borderId="5" xfId="0" applyFill="1" applyBorder="1" applyAlignment="1" applyProtection="1">
      <alignment horizontal="left" indent="1"/>
    </xf>
    <xf numFmtId="0" fontId="0" fillId="6" borderId="31" xfId="0" applyFill="1" applyBorder="1" applyAlignment="1" applyProtection="1">
      <alignment horizontal="left" indent="1"/>
    </xf>
    <xf numFmtId="0" fontId="0" fillId="6" borderId="43" xfId="0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3" xfId="0" applyFill="1" applyBorder="1" applyAlignment="1" applyProtection="1">
      <alignment horizontal="left" vertical="center" indent="1"/>
    </xf>
    <xf numFmtId="0" fontId="17" fillId="7" borderId="40" xfId="0" applyFont="1" applyFill="1" applyBorder="1" applyAlignment="1" applyProtection="1">
      <alignment horizontal="left" vertical="center" wrapText="1"/>
    </xf>
    <xf numFmtId="0" fontId="17" fillId="7" borderId="0" xfId="0" applyFont="1" applyFill="1" applyBorder="1" applyAlignment="1" applyProtection="1">
      <alignment horizontal="left" vertical="center" wrapText="1"/>
    </xf>
    <xf numFmtId="0" fontId="17" fillId="7" borderId="41" xfId="0" applyFont="1" applyFill="1" applyBorder="1" applyAlignment="1" applyProtection="1">
      <alignment horizontal="left" vertical="center" wrapText="1"/>
    </xf>
    <xf numFmtId="0" fontId="11" fillId="8" borderId="29" xfId="0" applyFont="1" applyFill="1" applyBorder="1" applyAlignment="1" applyProtection="1">
      <alignment horizontal="center" vertical="center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18" xfId="0" applyFont="1" applyFill="1" applyBorder="1" applyAlignment="1" applyProtection="1">
      <alignment horizontal="center" vertical="center"/>
    </xf>
    <xf numFmtId="0" fontId="0" fillId="6" borderId="13" xfId="0" applyFill="1" applyBorder="1" applyAlignment="1">
      <alignment horizontal="left" vertical="center" indent="1"/>
    </xf>
    <xf numFmtId="0" fontId="0" fillId="6" borderId="14" xfId="0" applyFill="1" applyBorder="1" applyAlignment="1">
      <alignment horizontal="left" vertical="center" indent="1"/>
    </xf>
    <xf numFmtId="0" fontId="0" fillId="6" borderId="20" xfId="0" applyFill="1" applyBorder="1" applyAlignment="1">
      <alignment horizontal="left" vertical="center" indent="1"/>
    </xf>
    <xf numFmtId="0" fontId="21" fillId="11" borderId="45" xfId="0" applyFont="1" applyFill="1" applyBorder="1" applyAlignment="1" applyProtection="1">
      <alignment horizontal="center" vertical="center" wrapText="1"/>
    </xf>
    <xf numFmtId="0" fontId="12" fillId="11" borderId="44" xfId="0" applyFont="1" applyFill="1" applyBorder="1" applyAlignment="1" applyProtection="1">
      <alignment horizontal="center" vertical="center"/>
    </xf>
    <xf numFmtId="0" fontId="12" fillId="11" borderId="46" xfId="0" applyFont="1" applyFill="1" applyBorder="1" applyAlignment="1" applyProtection="1">
      <alignment horizontal="center" vertical="center"/>
    </xf>
    <xf numFmtId="0" fontId="28" fillId="12" borderId="45" xfId="0" applyFont="1" applyFill="1" applyBorder="1" applyAlignment="1" applyProtection="1">
      <alignment horizontal="center" vertical="center"/>
    </xf>
    <xf numFmtId="0" fontId="28" fillId="12" borderId="44" xfId="0" applyFont="1" applyFill="1" applyBorder="1" applyAlignment="1" applyProtection="1">
      <alignment horizontal="center" vertical="center"/>
    </xf>
    <xf numFmtId="0" fontId="28" fillId="12" borderId="46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11" fillId="8" borderId="29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/>
    </xf>
    <xf numFmtId="0" fontId="11" fillId="8" borderId="18" xfId="0" applyFont="1" applyFill="1" applyBorder="1" applyAlignment="1" applyProtection="1">
      <alignment horizontal="center"/>
    </xf>
    <xf numFmtId="0" fontId="21" fillId="11" borderId="42" xfId="0" applyFont="1" applyFill="1" applyBorder="1" applyAlignment="1" applyProtection="1">
      <alignment horizontal="center" vertical="center" wrapText="1"/>
    </xf>
    <xf numFmtId="0" fontId="12" fillId="11" borderId="36" xfId="0" applyFont="1" applyFill="1" applyBorder="1" applyAlignment="1" applyProtection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0" fontId="19" fillId="10" borderId="45" xfId="0" applyFont="1" applyFill="1" applyBorder="1" applyAlignment="1">
      <alignment horizontal="center" vertical="center"/>
    </xf>
    <xf numFmtId="0" fontId="19" fillId="10" borderId="44" xfId="0" applyFont="1" applyFill="1" applyBorder="1" applyAlignment="1">
      <alignment horizontal="center" vertical="center"/>
    </xf>
    <xf numFmtId="0" fontId="19" fillId="10" borderId="46" xfId="0" applyFont="1" applyFill="1" applyBorder="1" applyAlignment="1">
      <alignment horizontal="center" vertical="center"/>
    </xf>
    <xf numFmtId="168" fontId="49" fillId="8" borderId="38" xfId="0" applyNumberFormat="1" applyFont="1" applyFill="1" applyBorder="1" applyAlignment="1">
      <alignment horizontal="center" vertical="center"/>
    </xf>
    <xf numFmtId="168" fontId="49" fillId="8" borderId="2" xfId="0" applyNumberFormat="1" applyFont="1" applyFill="1" applyBorder="1" applyAlignment="1">
      <alignment horizontal="center" vertical="center"/>
    </xf>
    <xf numFmtId="0" fontId="19" fillId="10" borderId="36" xfId="0" applyFont="1" applyFill="1" applyBorder="1" applyAlignment="1">
      <alignment horizontal="center" vertical="center"/>
    </xf>
    <xf numFmtId="0" fontId="40" fillId="0" borderId="0" xfId="1" applyFont="1" applyAlignment="1" applyProtection="1">
      <alignment horizontal="center" vertical="center"/>
    </xf>
    <xf numFmtId="0" fontId="9" fillId="8" borderId="17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ndense val="0"/>
        <extend val="0"/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u val="none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0000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29868828896388111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351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Efficiency!$B$2</c:f>
              <c:strCache>
                <c:ptCount val="1"/>
                <c:pt idx="0">
                  <c:v>Vin = 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Efficiency!$B$4:$B$17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Efficiency!$U$4:$U$17</c:f>
              <c:numCache>
                <c:formatCode>0.0</c:formatCode>
                <c:ptCount val="14"/>
                <c:pt idx="0">
                  <c:v>90.161058326828979</c:v>
                </c:pt>
                <c:pt idx="1">
                  <c:v>90.892801588295171</c:v>
                </c:pt>
                <c:pt idx="2">
                  <c:v>90.627481428293535</c:v>
                </c:pt>
                <c:pt idx="3">
                  <c:v>90.10671654907938</c:v>
                </c:pt>
                <c:pt idx="4">
                  <c:v>89.479947871663583</c:v>
                </c:pt>
                <c:pt idx="5">
                  <c:v>88.794889992629962</c:v>
                </c:pt>
                <c:pt idx="6">
                  <c:v>88.069530897794166</c:v>
                </c:pt>
                <c:pt idx="7">
                  <c:v>87.310249147128047</c:v>
                </c:pt>
                <c:pt idx="8">
                  <c:v>86.667153364700908</c:v>
                </c:pt>
                <c:pt idx="9">
                  <c:v>85.980879701935606</c:v>
                </c:pt>
                <c:pt idx="10">
                  <c:v>85.246141988035461</c:v>
                </c:pt>
                <c:pt idx="11">
                  <c:v>84.455079073144674</c:v>
                </c:pt>
                <c:pt idx="12">
                  <c:v>83.5968441025327</c:v>
                </c:pt>
                <c:pt idx="13">
                  <c:v>82.656691586951013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Efficiency!$V$2</c:f>
              <c:strCache>
                <c:ptCount val="1"/>
                <c:pt idx="0">
                  <c:v>Vin = 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Efficiency!$V$4:$V$17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Efficiency!$AO$4:$AO$17</c:f>
              <c:numCache>
                <c:formatCode>0.0</c:formatCode>
                <c:ptCount val="14"/>
                <c:pt idx="0">
                  <c:v>86.246910241840183</c:v>
                </c:pt>
                <c:pt idx="1">
                  <c:v>87.898675663068971</c:v>
                </c:pt>
                <c:pt idx="2">
                  <c:v>88.033587085147374</c:v>
                </c:pt>
                <c:pt idx="3">
                  <c:v>87.776861091384859</c:v>
                </c:pt>
                <c:pt idx="4">
                  <c:v>87.361811782944415</c:v>
                </c:pt>
                <c:pt idx="5">
                  <c:v>86.866276966797045</c:v>
                </c:pt>
                <c:pt idx="6">
                  <c:v>86.322715779580179</c:v>
                </c:pt>
                <c:pt idx="7">
                  <c:v>85.74626704795925</c:v>
                </c:pt>
                <c:pt idx="8">
                  <c:v>85.328076138917353</c:v>
                </c:pt>
                <c:pt idx="9">
                  <c:v>84.880128167920304</c:v>
                </c:pt>
                <c:pt idx="10">
                  <c:v>84.403240537173218</c:v>
                </c:pt>
                <c:pt idx="11">
                  <c:v>83.896602283891752</c:v>
                </c:pt>
                <c:pt idx="12">
                  <c:v>83.358115997984598</c:v>
                </c:pt>
                <c:pt idx="13">
                  <c:v>82.78450608946136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Efficiency!$AP$2</c:f>
              <c:strCache>
                <c:ptCount val="1"/>
                <c:pt idx="0">
                  <c:v>Vin = 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Efficiency!$AP$4:$AP$17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Efficiency!$BI$4:$BI$17</c:f>
              <c:numCache>
                <c:formatCode>0.0</c:formatCode>
                <c:ptCount val="14"/>
                <c:pt idx="0">
                  <c:v>82.38734309322885</c:v>
                </c:pt>
                <c:pt idx="1">
                  <c:v>84.928649036213699</c:v>
                </c:pt>
                <c:pt idx="2">
                  <c:v>85.431320760449708</c:v>
                </c:pt>
                <c:pt idx="3">
                  <c:v>85.398120067518761</c:v>
                </c:pt>
                <c:pt idx="4">
                  <c:v>85.147225399573756</c:v>
                </c:pt>
                <c:pt idx="5">
                  <c:v>84.786549971831931</c:v>
                </c:pt>
                <c:pt idx="6">
                  <c:v>84.362218614827995</c:v>
                </c:pt>
                <c:pt idx="7">
                  <c:v>83.896760288061841</c:v>
                </c:pt>
                <c:pt idx="8">
                  <c:v>83.596874928697773</c:v>
                </c:pt>
                <c:pt idx="9">
                  <c:v>83.267076078918791</c:v>
                </c:pt>
                <c:pt idx="10">
                  <c:v>82.910810610262658</c:v>
                </c:pt>
                <c:pt idx="11">
                  <c:v>82.529691673326724</c:v>
                </c:pt>
                <c:pt idx="12">
                  <c:v>82.124087294159949</c:v>
                </c:pt>
                <c:pt idx="13">
                  <c:v>81.693430818243485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08672"/>
        <c:axId val="62909248"/>
      </c:scatterChart>
      <c:valAx>
        <c:axId val="62908672"/>
        <c:scaling>
          <c:orientation val="minMax"/>
          <c:max val="3.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5999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909248"/>
        <c:crosses val="autoZero"/>
        <c:crossBetween val="midCat"/>
        <c:majorUnit val="0.5"/>
        <c:minorUnit val="0.25"/>
      </c:valAx>
      <c:valAx>
        <c:axId val="62909248"/>
        <c:scaling>
          <c:orientation val="minMax"/>
          <c:max val="95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0696E-2"/>
              <c:y val="0.279266409690420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908672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30768028996377"/>
          <c:y val="0.68932428425526249"/>
          <c:w val="0.12461751371987591"/>
          <c:h val="0.157884464441947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21" r="0.7500000000000092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DC Bias</a:t>
            </a:r>
            <a:r>
              <a:rPr lang="en-US" sz="1600" baseline="0"/>
              <a:t> Effect on 22uF/16V/X7R/1210</a:t>
            </a:r>
            <a:endParaRPr lang="en-US" sz="1600"/>
          </a:p>
        </c:rich>
      </c:tx>
      <c:layout>
        <c:manualLayout>
          <c:xMode val="edge"/>
          <c:yMode val="edge"/>
          <c:x val="0.14362228054826509"/>
          <c:y val="2.17983651226158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11863517060374"/>
          <c:y val="0.12319251646677704"/>
          <c:w val="0.82715987168270744"/>
          <c:h val="0.72752930406860039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trendline>
            <c:spPr>
              <a:ln w="19050">
                <a:solidFill>
                  <a:srgbClr val="FF0000"/>
                </a:solidFill>
                <a:prstDash val="dash"/>
              </a:ln>
            </c:spPr>
            <c:trendlineType val="poly"/>
            <c:order val="4"/>
            <c:dispRSqr val="0"/>
            <c:dispEq val="1"/>
            <c:trendlineLbl>
              <c:layout>
                <c:manualLayout>
                  <c:x val="-0.11274517351997666"/>
                  <c:y val="-1.2138714268345884E-2"/>
                </c:manualLayout>
              </c:layout>
              <c:numFmt formatCode="#,##0.00000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50" b="1">
                      <a:solidFill>
                        <a:srgbClr val="FF0000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Constants!$B$47:$B$247</c:f>
              <c:numCache>
                <c:formatCode>0.0</c:formatCode>
                <c:ptCount val="201"/>
                <c:pt idx="0">
                  <c:v>0</c:v>
                </c:pt>
                <c:pt idx="1">
                  <c:v>0.08</c:v>
                </c:pt>
                <c:pt idx="2">
                  <c:v>0.16</c:v>
                </c:pt>
                <c:pt idx="3">
                  <c:v>0.24</c:v>
                </c:pt>
                <c:pt idx="4">
                  <c:v>0.32</c:v>
                </c:pt>
                <c:pt idx="5">
                  <c:v>0.4</c:v>
                </c:pt>
                <c:pt idx="6">
                  <c:v>0.48</c:v>
                </c:pt>
                <c:pt idx="7">
                  <c:v>0.56000000000000005</c:v>
                </c:pt>
                <c:pt idx="8">
                  <c:v>0.64</c:v>
                </c:pt>
                <c:pt idx="9">
                  <c:v>0.72</c:v>
                </c:pt>
                <c:pt idx="10">
                  <c:v>0.8</c:v>
                </c:pt>
                <c:pt idx="11">
                  <c:v>0.88</c:v>
                </c:pt>
                <c:pt idx="12">
                  <c:v>0.96</c:v>
                </c:pt>
                <c:pt idx="13">
                  <c:v>1.04</c:v>
                </c:pt>
                <c:pt idx="14">
                  <c:v>1.1200000000000001</c:v>
                </c:pt>
                <c:pt idx="15">
                  <c:v>1.2</c:v>
                </c:pt>
                <c:pt idx="16">
                  <c:v>1.28</c:v>
                </c:pt>
                <c:pt idx="17">
                  <c:v>1.36</c:v>
                </c:pt>
                <c:pt idx="18">
                  <c:v>1.44</c:v>
                </c:pt>
                <c:pt idx="19">
                  <c:v>1.52</c:v>
                </c:pt>
                <c:pt idx="20">
                  <c:v>1.6</c:v>
                </c:pt>
                <c:pt idx="21">
                  <c:v>1.68</c:v>
                </c:pt>
                <c:pt idx="22">
                  <c:v>1.76</c:v>
                </c:pt>
                <c:pt idx="23">
                  <c:v>1.84</c:v>
                </c:pt>
                <c:pt idx="24">
                  <c:v>1.92</c:v>
                </c:pt>
                <c:pt idx="25">
                  <c:v>2</c:v>
                </c:pt>
                <c:pt idx="26">
                  <c:v>2.08</c:v>
                </c:pt>
                <c:pt idx="27">
                  <c:v>2.16</c:v>
                </c:pt>
                <c:pt idx="28">
                  <c:v>2.2400000000000002</c:v>
                </c:pt>
                <c:pt idx="29">
                  <c:v>2.3199999999999998</c:v>
                </c:pt>
                <c:pt idx="30">
                  <c:v>2.4</c:v>
                </c:pt>
                <c:pt idx="31">
                  <c:v>2.48</c:v>
                </c:pt>
                <c:pt idx="32">
                  <c:v>2.56</c:v>
                </c:pt>
                <c:pt idx="33">
                  <c:v>2.64</c:v>
                </c:pt>
                <c:pt idx="34">
                  <c:v>2.72</c:v>
                </c:pt>
                <c:pt idx="35">
                  <c:v>2.8</c:v>
                </c:pt>
                <c:pt idx="36">
                  <c:v>2.88</c:v>
                </c:pt>
                <c:pt idx="37">
                  <c:v>2.96</c:v>
                </c:pt>
                <c:pt idx="38">
                  <c:v>3.04</c:v>
                </c:pt>
                <c:pt idx="39">
                  <c:v>3.12</c:v>
                </c:pt>
                <c:pt idx="40">
                  <c:v>3.2</c:v>
                </c:pt>
                <c:pt idx="41">
                  <c:v>3.28</c:v>
                </c:pt>
                <c:pt idx="42">
                  <c:v>3.36</c:v>
                </c:pt>
                <c:pt idx="43">
                  <c:v>3.44</c:v>
                </c:pt>
                <c:pt idx="44">
                  <c:v>3.52</c:v>
                </c:pt>
                <c:pt idx="45">
                  <c:v>3.6</c:v>
                </c:pt>
                <c:pt idx="46">
                  <c:v>3.68</c:v>
                </c:pt>
                <c:pt idx="47">
                  <c:v>3.76</c:v>
                </c:pt>
                <c:pt idx="48">
                  <c:v>3.84</c:v>
                </c:pt>
                <c:pt idx="49">
                  <c:v>3.92</c:v>
                </c:pt>
                <c:pt idx="50">
                  <c:v>4</c:v>
                </c:pt>
                <c:pt idx="51">
                  <c:v>4.08</c:v>
                </c:pt>
                <c:pt idx="52">
                  <c:v>4.16</c:v>
                </c:pt>
                <c:pt idx="53">
                  <c:v>4.24</c:v>
                </c:pt>
                <c:pt idx="54">
                  <c:v>4.32</c:v>
                </c:pt>
                <c:pt idx="55">
                  <c:v>4.4000000000000004</c:v>
                </c:pt>
                <c:pt idx="56">
                  <c:v>4.4800000000000004</c:v>
                </c:pt>
                <c:pt idx="57">
                  <c:v>4.5599999999999996</c:v>
                </c:pt>
                <c:pt idx="58">
                  <c:v>4.6399999999999997</c:v>
                </c:pt>
                <c:pt idx="59">
                  <c:v>4.72</c:v>
                </c:pt>
                <c:pt idx="60">
                  <c:v>4.8</c:v>
                </c:pt>
                <c:pt idx="61">
                  <c:v>4.88</c:v>
                </c:pt>
                <c:pt idx="62">
                  <c:v>4.96</c:v>
                </c:pt>
                <c:pt idx="63">
                  <c:v>5.04</c:v>
                </c:pt>
                <c:pt idx="64">
                  <c:v>5.12</c:v>
                </c:pt>
                <c:pt idx="65">
                  <c:v>5.2</c:v>
                </c:pt>
                <c:pt idx="66">
                  <c:v>5.28</c:v>
                </c:pt>
                <c:pt idx="67">
                  <c:v>5.36</c:v>
                </c:pt>
                <c:pt idx="68">
                  <c:v>5.44</c:v>
                </c:pt>
                <c:pt idx="69">
                  <c:v>5.52</c:v>
                </c:pt>
                <c:pt idx="70">
                  <c:v>5.6</c:v>
                </c:pt>
                <c:pt idx="71">
                  <c:v>5.68</c:v>
                </c:pt>
                <c:pt idx="72">
                  <c:v>5.76</c:v>
                </c:pt>
                <c:pt idx="73">
                  <c:v>5.84</c:v>
                </c:pt>
                <c:pt idx="74">
                  <c:v>5.92</c:v>
                </c:pt>
                <c:pt idx="75">
                  <c:v>6</c:v>
                </c:pt>
                <c:pt idx="76">
                  <c:v>6.08</c:v>
                </c:pt>
                <c:pt idx="77">
                  <c:v>6.16</c:v>
                </c:pt>
                <c:pt idx="78">
                  <c:v>6.24</c:v>
                </c:pt>
                <c:pt idx="79">
                  <c:v>6.32</c:v>
                </c:pt>
                <c:pt idx="80">
                  <c:v>6.4</c:v>
                </c:pt>
                <c:pt idx="81">
                  <c:v>6.48</c:v>
                </c:pt>
                <c:pt idx="82">
                  <c:v>6.56</c:v>
                </c:pt>
                <c:pt idx="83">
                  <c:v>6.64</c:v>
                </c:pt>
                <c:pt idx="84">
                  <c:v>6.72</c:v>
                </c:pt>
                <c:pt idx="85">
                  <c:v>6.8</c:v>
                </c:pt>
                <c:pt idx="86">
                  <c:v>6.88</c:v>
                </c:pt>
                <c:pt idx="87">
                  <c:v>6.96</c:v>
                </c:pt>
                <c:pt idx="88">
                  <c:v>7.04</c:v>
                </c:pt>
                <c:pt idx="89">
                  <c:v>7.12</c:v>
                </c:pt>
                <c:pt idx="90">
                  <c:v>7.2</c:v>
                </c:pt>
                <c:pt idx="91">
                  <c:v>7.28</c:v>
                </c:pt>
                <c:pt idx="92">
                  <c:v>7.36</c:v>
                </c:pt>
                <c:pt idx="93">
                  <c:v>7.44</c:v>
                </c:pt>
                <c:pt idx="94">
                  <c:v>7.52</c:v>
                </c:pt>
                <c:pt idx="95">
                  <c:v>7.6</c:v>
                </c:pt>
                <c:pt idx="96">
                  <c:v>7.68</c:v>
                </c:pt>
                <c:pt idx="97">
                  <c:v>7.76</c:v>
                </c:pt>
                <c:pt idx="98">
                  <c:v>7.84</c:v>
                </c:pt>
                <c:pt idx="99">
                  <c:v>7.92</c:v>
                </c:pt>
                <c:pt idx="100">
                  <c:v>8</c:v>
                </c:pt>
                <c:pt idx="101">
                  <c:v>8.08</c:v>
                </c:pt>
                <c:pt idx="102">
                  <c:v>8.16</c:v>
                </c:pt>
                <c:pt idx="103">
                  <c:v>8.24</c:v>
                </c:pt>
                <c:pt idx="104">
                  <c:v>8.32</c:v>
                </c:pt>
                <c:pt idx="105">
                  <c:v>8.4</c:v>
                </c:pt>
                <c:pt idx="106">
                  <c:v>8.48</c:v>
                </c:pt>
                <c:pt idx="107">
                  <c:v>8.56</c:v>
                </c:pt>
                <c:pt idx="108">
                  <c:v>8.64</c:v>
                </c:pt>
                <c:pt idx="109">
                  <c:v>8.7200000000000006</c:v>
                </c:pt>
                <c:pt idx="110">
                  <c:v>8.8000000000000007</c:v>
                </c:pt>
                <c:pt idx="111">
                  <c:v>8.8800000000000008</c:v>
                </c:pt>
                <c:pt idx="112">
                  <c:v>8.9600000000000009</c:v>
                </c:pt>
                <c:pt idx="113">
                  <c:v>9.0399999999999991</c:v>
                </c:pt>
                <c:pt idx="114">
                  <c:v>9.1199999999999992</c:v>
                </c:pt>
                <c:pt idx="115">
                  <c:v>9.1999999999999993</c:v>
                </c:pt>
                <c:pt idx="116">
                  <c:v>9.2799999999999994</c:v>
                </c:pt>
                <c:pt idx="117">
                  <c:v>9.36</c:v>
                </c:pt>
                <c:pt idx="118">
                  <c:v>9.44</c:v>
                </c:pt>
                <c:pt idx="119">
                  <c:v>9.52</c:v>
                </c:pt>
                <c:pt idx="120">
                  <c:v>9.6</c:v>
                </c:pt>
                <c:pt idx="121">
                  <c:v>9.68</c:v>
                </c:pt>
                <c:pt idx="122">
                  <c:v>9.76</c:v>
                </c:pt>
                <c:pt idx="123">
                  <c:v>9.84</c:v>
                </c:pt>
                <c:pt idx="124">
                  <c:v>9.92</c:v>
                </c:pt>
                <c:pt idx="125">
                  <c:v>10</c:v>
                </c:pt>
                <c:pt idx="126">
                  <c:v>10.08</c:v>
                </c:pt>
                <c:pt idx="127">
                  <c:v>10.16</c:v>
                </c:pt>
                <c:pt idx="128">
                  <c:v>10.24</c:v>
                </c:pt>
                <c:pt idx="129">
                  <c:v>10.32</c:v>
                </c:pt>
                <c:pt idx="130">
                  <c:v>10.4</c:v>
                </c:pt>
                <c:pt idx="131">
                  <c:v>10.48</c:v>
                </c:pt>
                <c:pt idx="132">
                  <c:v>10.56</c:v>
                </c:pt>
                <c:pt idx="133">
                  <c:v>10.64</c:v>
                </c:pt>
                <c:pt idx="134">
                  <c:v>10.72</c:v>
                </c:pt>
                <c:pt idx="135">
                  <c:v>10.8</c:v>
                </c:pt>
                <c:pt idx="136">
                  <c:v>10.88</c:v>
                </c:pt>
                <c:pt idx="137">
                  <c:v>10.96</c:v>
                </c:pt>
                <c:pt idx="138">
                  <c:v>11.04</c:v>
                </c:pt>
                <c:pt idx="139">
                  <c:v>11.12</c:v>
                </c:pt>
                <c:pt idx="140">
                  <c:v>11.2</c:v>
                </c:pt>
                <c:pt idx="141">
                  <c:v>11.28</c:v>
                </c:pt>
                <c:pt idx="142">
                  <c:v>11.36</c:v>
                </c:pt>
                <c:pt idx="143">
                  <c:v>11.44</c:v>
                </c:pt>
                <c:pt idx="144">
                  <c:v>11.52</c:v>
                </c:pt>
                <c:pt idx="145">
                  <c:v>11.6</c:v>
                </c:pt>
                <c:pt idx="146">
                  <c:v>11.68</c:v>
                </c:pt>
                <c:pt idx="147">
                  <c:v>11.76</c:v>
                </c:pt>
                <c:pt idx="148">
                  <c:v>11.84</c:v>
                </c:pt>
                <c:pt idx="149">
                  <c:v>11.92</c:v>
                </c:pt>
                <c:pt idx="150">
                  <c:v>12</c:v>
                </c:pt>
                <c:pt idx="151">
                  <c:v>12.08</c:v>
                </c:pt>
                <c:pt idx="152">
                  <c:v>12.16</c:v>
                </c:pt>
                <c:pt idx="153">
                  <c:v>12.24</c:v>
                </c:pt>
                <c:pt idx="154">
                  <c:v>12.32</c:v>
                </c:pt>
                <c:pt idx="155">
                  <c:v>12.4</c:v>
                </c:pt>
                <c:pt idx="156">
                  <c:v>12.48</c:v>
                </c:pt>
                <c:pt idx="157">
                  <c:v>12.56</c:v>
                </c:pt>
                <c:pt idx="158">
                  <c:v>12.64</c:v>
                </c:pt>
                <c:pt idx="159">
                  <c:v>12.72</c:v>
                </c:pt>
                <c:pt idx="160">
                  <c:v>12.8</c:v>
                </c:pt>
                <c:pt idx="161">
                  <c:v>12.88</c:v>
                </c:pt>
                <c:pt idx="162">
                  <c:v>12.96</c:v>
                </c:pt>
                <c:pt idx="163">
                  <c:v>13.04</c:v>
                </c:pt>
                <c:pt idx="164">
                  <c:v>13.12</c:v>
                </c:pt>
                <c:pt idx="165">
                  <c:v>13.2</c:v>
                </c:pt>
                <c:pt idx="166">
                  <c:v>13.28</c:v>
                </c:pt>
                <c:pt idx="167">
                  <c:v>13.36</c:v>
                </c:pt>
                <c:pt idx="168">
                  <c:v>13.44</c:v>
                </c:pt>
                <c:pt idx="169">
                  <c:v>13.52</c:v>
                </c:pt>
                <c:pt idx="170">
                  <c:v>13.6</c:v>
                </c:pt>
                <c:pt idx="171">
                  <c:v>13.68</c:v>
                </c:pt>
                <c:pt idx="172">
                  <c:v>13.76</c:v>
                </c:pt>
                <c:pt idx="173">
                  <c:v>13.84</c:v>
                </c:pt>
                <c:pt idx="174">
                  <c:v>13.92</c:v>
                </c:pt>
                <c:pt idx="175">
                  <c:v>14</c:v>
                </c:pt>
                <c:pt idx="176">
                  <c:v>14.08</c:v>
                </c:pt>
                <c:pt idx="177">
                  <c:v>14.16</c:v>
                </c:pt>
                <c:pt idx="178">
                  <c:v>14.24</c:v>
                </c:pt>
                <c:pt idx="179">
                  <c:v>14.32</c:v>
                </c:pt>
                <c:pt idx="180">
                  <c:v>14.4</c:v>
                </c:pt>
                <c:pt idx="181">
                  <c:v>14.48</c:v>
                </c:pt>
                <c:pt idx="182">
                  <c:v>14.56</c:v>
                </c:pt>
                <c:pt idx="183">
                  <c:v>14.64</c:v>
                </c:pt>
                <c:pt idx="184">
                  <c:v>14.72</c:v>
                </c:pt>
                <c:pt idx="185">
                  <c:v>14.8</c:v>
                </c:pt>
                <c:pt idx="186">
                  <c:v>14.88</c:v>
                </c:pt>
                <c:pt idx="187">
                  <c:v>14.96</c:v>
                </c:pt>
                <c:pt idx="188">
                  <c:v>15.04</c:v>
                </c:pt>
                <c:pt idx="189">
                  <c:v>15.12</c:v>
                </c:pt>
                <c:pt idx="190">
                  <c:v>15.2</c:v>
                </c:pt>
                <c:pt idx="191">
                  <c:v>15.28</c:v>
                </c:pt>
                <c:pt idx="192">
                  <c:v>15.36</c:v>
                </c:pt>
                <c:pt idx="193">
                  <c:v>15.44</c:v>
                </c:pt>
                <c:pt idx="194">
                  <c:v>15.52</c:v>
                </c:pt>
                <c:pt idx="195">
                  <c:v>15.6</c:v>
                </c:pt>
                <c:pt idx="196">
                  <c:v>15.68</c:v>
                </c:pt>
                <c:pt idx="197">
                  <c:v>15.76</c:v>
                </c:pt>
                <c:pt idx="198">
                  <c:v>15.84</c:v>
                </c:pt>
                <c:pt idx="199">
                  <c:v>15.92</c:v>
                </c:pt>
                <c:pt idx="200">
                  <c:v>16</c:v>
                </c:pt>
              </c:numCache>
            </c:numRef>
          </c:xVal>
          <c:yVal>
            <c:numRef>
              <c:f>Constants!$C$47:$C$247</c:f>
              <c:numCache>
                <c:formatCode>0.00</c:formatCode>
                <c:ptCount val="201"/>
                <c:pt idx="0">
                  <c:v>16</c:v>
                </c:pt>
                <c:pt idx="1">
                  <c:v>16.123665954468596</c:v>
                </c:pt>
                <c:pt idx="2">
                  <c:v>16.236819826111848</c:v>
                </c:pt>
                <c:pt idx="3">
                  <c:v>16.339886667558634</c:v>
                </c:pt>
                <c:pt idx="4">
                  <c:v>16.433269875782248</c:v>
                </c:pt>
                <c:pt idx="5">
                  <c:v>16.517352736731056</c:v>
                </c:pt>
                <c:pt idx="6">
                  <c:v>16.592499898496577</c:v>
                </c:pt>
                <c:pt idx="7">
                  <c:v>16.659058762734489</c:v>
                </c:pt>
                <c:pt idx="8">
                  <c:v>16.717360788359734</c:v>
                </c:pt>
                <c:pt idx="9">
                  <c:v>16.767722704809984</c:v>
                </c:pt>
                <c:pt idx="10">
                  <c:v>16.810447634623721</c:v>
                </c:pt>
                <c:pt idx="11">
                  <c:v>16.845826126891417</c:v>
                </c:pt>
                <c:pt idx="12">
                  <c:v>16.874137104440166</c:v>
                </c:pt>
                <c:pt idx="13">
                  <c:v>16.895648728525039</c:v>
                </c:pt>
                <c:pt idx="14">
                  <c:v>16.910619185401959</c:v>
                </c:pt>
                <c:pt idx="15">
                  <c:v>16.919297399526716</c:v>
                </c:pt>
                <c:pt idx="16">
                  <c:v>16.921923678311423</c:v>
                </c:pt>
                <c:pt idx="17">
                  <c:v>16.918730293421302</c:v>
                </c:pt>
                <c:pt idx="18">
                  <c:v>16.909942003543204</c:v>
                </c:pt>
                <c:pt idx="19">
                  <c:v>16.895776523434069</c:v>
                </c:pt>
                <c:pt idx="20">
                  <c:v>16.876444943876123</c:v>
                </c:pt>
                <c:pt idx="21">
                  <c:v>16.852152106954872</c:v>
                </c:pt>
                <c:pt idx="22">
                  <c:v>16.823096940833629</c:v>
                </c:pt>
                <c:pt idx="23">
                  <c:v>16.789472757948865</c:v>
                </c:pt>
                <c:pt idx="24">
                  <c:v>16.751467520291907</c:v>
                </c:pt>
                <c:pt idx="25">
                  <c:v>16.709264075184812</c:v>
                </c:pt>
                <c:pt idx="26">
                  <c:v>16.663040364701413</c:v>
                </c:pt>
                <c:pt idx="27">
                  <c:v>16.612969611641727</c:v>
                </c:pt>
                <c:pt idx="28">
                  <c:v>16.559220484725426</c:v>
                </c:pt>
                <c:pt idx="29">
                  <c:v>16.501957245445372</c:v>
                </c:pt>
                <c:pt idx="30">
                  <c:v>16.441339878807337</c:v>
                </c:pt>
                <c:pt idx="31">
                  <c:v>16.37752420997732</c:v>
                </c:pt>
                <c:pt idx="32">
                  <c:v>16.310662008668714</c:v>
                </c:pt>
                <c:pt idx="33">
                  <c:v>16.240901082922832</c:v>
                </c:pt>
                <c:pt idx="34">
                  <c:v>16.168385363773801</c:v>
                </c:pt>
                <c:pt idx="35">
                  <c:v>16.093254982128915</c:v>
                </c:pt>
                <c:pt idx="36">
                  <c:v>16.015646339062378</c:v>
                </c:pt>
                <c:pt idx="37">
                  <c:v>15.93569217058146</c:v>
                </c:pt>
                <c:pt idx="38">
                  <c:v>15.853521607810661</c:v>
                </c:pt>
                <c:pt idx="39">
                  <c:v>15.769260233423358</c:v>
                </c:pt>
                <c:pt idx="40">
                  <c:v>15.68303013505518</c:v>
                </c:pt>
                <c:pt idx="41">
                  <c:v>15.594949956336631</c:v>
                </c:pt>
                <c:pt idx="42">
                  <c:v>15.50513494610442</c:v>
                </c:pt>
                <c:pt idx="43">
                  <c:v>15.413697006267899</c:v>
                </c:pt>
                <c:pt idx="44">
                  <c:v>15.320744738746658</c:v>
                </c:pt>
                <c:pt idx="45">
                  <c:v>15.226383491824285</c:v>
                </c:pt>
                <c:pt idx="46">
                  <c:v>15.130715406219572</c:v>
                </c:pt>
                <c:pt idx="47">
                  <c:v>15.033839461112004</c:v>
                </c:pt>
                <c:pt idx="48">
                  <c:v>14.935851520326372</c:v>
                </c:pt>
                <c:pt idx="49">
                  <c:v>14.83684437883249</c:v>
                </c:pt>
                <c:pt idx="50">
                  <c:v>14.736907809689647</c:v>
                </c:pt>
                <c:pt idx="51">
                  <c:v>14.636128611523228</c:v>
                </c:pt>
                <c:pt idx="52">
                  <c:v>14.534590656602752</c:v>
                </c:pt>
                <c:pt idx="53">
                  <c:v>14.432374939561489</c:v>
                </c:pt>
                <c:pt idx="54">
                  <c:v>14.329559626780288</c:v>
                </c:pt>
                <c:pt idx="55">
                  <c:v>14.226220106435727</c:v>
                </c:pt>
                <c:pt idx="56">
                  <c:v>14.122429039201553</c:v>
                </c:pt>
                <c:pt idx="57">
                  <c:v>14.01825640957664</c:v>
                </c:pt>
                <c:pt idx="58">
                  <c:v>13.913769577802416</c:v>
                </c:pt>
                <c:pt idx="59">
                  <c:v>13.809033332323633</c:v>
                </c:pt>
                <c:pt idx="60">
                  <c:v>13.704109942737697</c:v>
                </c:pt>
                <c:pt idx="61">
                  <c:v>13.599059213175007</c:v>
                </c:pt>
                <c:pt idx="62">
                  <c:v>13.493938536042272</c:v>
                </c:pt>
                <c:pt idx="63">
                  <c:v>13.388802946065679</c:v>
                </c:pt>
                <c:pt idx="64">
                  <c:v>13.283705174559536</c:v>
                </c:pt>
                <c:pt idx="65">
                  <c:v>13.178695703850448</c:v>
                </c:pt>
                <c:pt idx="66">
                  <c:v>13.073822821785583</c:v>
                </c:pt>
                <c:pt idx="67">
                  <c:v>12.969132676253729</c:v>
                </c:pt>
                <c:pt idx="68">
                  <c:v>12.864669329642961</c:v>
                </c:pt>
                <c:pt idx="69">
                  <c:v>12.760474813173744</c:v>
                </c:pt>
                <c:pt idx="70">
                  <c:v>12.656589181028895</c:v>
                </c:pt>
                <c:pt idx="71">
                  <c:v>12.553050564224559</c:v>
                </c:pt>
                <c:pt idx="72">
                  <c:v>12.449895224150849</c:v>
                </c:pt>
                <c:pt idx="73">
                  <c:v>12.347157605724256</c:v>
                </c:pt>
                <c:pt idx="74">
                  <c:v>12.244870390095183</c:v>
                </c:pt>
                <c:pt idx="75">
                  <c:v>12.143064546853072</c:v>
                </c:pt>
                <c:pt idx="76">
                  <c:v>12.041769385678815</c:v>
                </c:pt>
                <c:pt idx="77">
                  <c:v>11.941012607395713</c:v>
                </c:pt>
                <c:pt idx="78">
                  <c:v>11.84082035437384</c:v>
                </c:pt>
                <c:pt idx="79">
                  <c:v>11.741217260245632</c:v>
                </c:pt>
                <c:pt idx="80">
                  <c:v>11.642226498894654</c:v>
                </c:pt>
                <c:pt idx="81">
                  <c:v>11.543869832682095</c:v>
                </c:pt>
                <c:pt idx="82">
                  <c:v>11.446167659877855</c:v>
                </c:pt>
                <c:pt idx="83">
                  <c:v>11.349139061271281</c:v>
                </c:pt>
                <c:pt idx="84">
                  <c:v>11.252801845929184</c:v>
                </c:pt>
                <c:pt idx="85">
                  <c:v>11.15717259608528</c:v>
                </c:pt>
                <c:pt idx="86">
                  <c:v>11.0622667111372</c:v>
                </c:pt>
                <c:pt idx="87">
                  <c:v>10.96809845073456</c:v>
                </c:pt>
                <c:pt idx="88">
                  <c:v>10.874680976945136</c:v>
                </c:pt>
                <c:pt idx="89">
                  <c:v>10.782026395486433</c:v>
                </c:pt>
                <c:pt idx="90">
                  <c:v>10.690145796013489</c:v>
                </c:pt>
                <c:pt idx="91">
                  <c:v>10.599049291454751</c:v>
                </c:pt>
                <c:pt idx="92">
                  <c:v>10.5087460563952</c:v>
                </c:pt>
                <c:pt idx="93">
                  <c:v>10.419244364499056</c:v>
                </c:pt>
                <c:pt idx="94">
                  <c:v>10.330551624974799</c:v>
                </c:pt>
                <c:pt idx="95">
                  <c:v>10.242674418082625</c:v>
                </c:pt>
                <c:pt idx="96">
                  <c:v>10.155618529686624</c:v>
                </c:pt>
                <c:pt idx="97">
                  <c:v>10.069388984857632</c:v>
                </c:pt>
                <c:pt idx="98">
                  <c:v>9.9839900805315835</c:v>
                </c:pt>
                <c:pt idx="99">
                  <c:v>9.8994254172298888</c:v>
                </c:pt>
                <c:pt idx="100">
                  <c:v>9.8156979298536164</c:v>
                </c:pt>
                <c:pt idx="101">
                  <c:v>9.7328099175580007</c:v>
                </c:pt>
                <c:pt idx="102">
                  <c:v>9.6507630727190872</c:v>
                </c:pt>
                <c:pt idx="103">
                  <c:v>9.5695585090061446</c:v>
                </c:pt>
                <c:pt idx="104">
                  <c:v>9.4891967885687674</c:v>
                </c:pt>
                <c:pt idx="105">
                  <c:v>9.4096779483573751</c:v>
                </c:pt>
                <c:pt idx="106">
                  <c:v>9.3310015255859522</c:v>
                </c:pt>
                <c:pt idx="107">
                  <c:v>9.2531665823552967</c:v>
                </c:pt>
                <c:pt idx="108">
                  <c:v>9.1761717294509761</c:v>
                </c:pt>
                <c:pt idx="109">
                  <c:v>9.1000151493324637</c:v>
                </c:pt>
                <c:pt idx="110">
                  <c:v>9.0246946183291517</c:v>
                </c:pt>
                <c:pt idx="111">
                  <c:v>8.950207528058943</c:v>
                </c:pt>
                <c:pt idx="112">
                  <c:v>8.8765509060881751</c:v>
                </c:pt>
                <c:pt idx="113">
                  <c:v>8.803721435849809</c:v>
                </c:pt>
                <c:pt idx="114">
                  <c:v>8.7317154758350704</c:v>
                </c:pt>
                <c:pt idx="115">
                  <c:v>8.6605290780774702</c:v>
                </c:pt>
                <c:pt idx="116">
                  <c:v>8.5901580059477123</c:v>
                </c:pt>
                <c:pt idx="117">
                  <c:v>8.5205977512749271</c:v>
                </c:pt>
                <c:pt idx="118">
                  <c:v>8.4518435508121925</c:v>
                </c:pt>
                <c:pt idx="119">
                  <c:v>8.3838904020652318</c:v>
                </c:pt>
                <c:pt idx="120">
                  <c:v>8.3167330785007678</c:v>
                </c:pt>
                <c:pt idx="121">
                  <c:v>8.2503661441496003</c:v>
                </c:pt>
                <c:pt idx="122">
                  <c:v>8.1847839676273111</c:v>
                </c:pt>
                <c:pt idx="123">
                  <c:v>8.1199807355825921</c:v>
                </c:pt>
                <c:pt idx="124">
                  <c:v>8.055950465594961</c:v>
                </c:pt>
                <c:pt idx="125">
                  <c:v>7.9926870185373442</c:v>
                </c:pt>
                <c:pt idx="126">
                  <c:v>7.9301841104176169</c:v>
                </c:pt>
                <c:pt idx="127">
                  <c:v>7.8684353237191367</c:v>
                </c:pt>
                <c:pt idx="128">
                  <c:v>7.8074341182528961</c:v>
                </c:pt>
                <c:pt idx="129">
                  <c:v>7.7471738415378084</c:v>
                </c:pt>
                <c:pt idx="130">
                  <c:v>7.6876477387262714</c:v>
                </c:pt>
                <c:pt idx="131">
                  <c:v>7.6288489620864954</c:v>
                </c:pt>
                <c:pt idx="132">
                  <c:v>7.5707705800603513</c:v>
                </c:pt>
                <c:pt idx="133">
                  <c:v>7.513405585907968</c:v>
                </c:pt>
                <c:pt idx="134">
                  <c:v>7.4567469059544162</c:v>
                </c:pt>
                <c:pt idx="135">
                  <c:v>7.400787407453441</c:v>
                </c:pt>
                <c:pt idx="136">
                  <c:v>7.3455199060799359</c:v>
                </c:pt>
                <c:pt idx="137">
                  <c:v>7.2909371730643038</c:v>
                </c:pt>
                <c:pt idx="138">
                  <c:v>7.2370319419840641</c:v>
                </c:pt>
                <c:pt idx="139">
                  <c:v>7.1837969152221763</c:v>
                </c:pt>
                <c:pt idx="140">
                  <c:v>7.1312247701053266</c:v>
                </c:pt>
                <c:pt idx="141">
                  <c:v>7.0793081647360481</c:v>
                </c:pt>
                <c:pt idx="142">
                  <c:v>7.0280397435265769</c:v>
                </c:pt>
                <c:pt idx="143">
                  <c:v>6.9774121424482569</c:v>
                </c:pt>
                <c:pt idx="144">
                  <c:v>6.9274179940078717</c:v>
                </c:pt>
                <c:pt idx="145">
                  <c:v>6.8780499319582074</c:v>
                </c:pt>
                <c:pt idx="146">
                  <c:v>6.8293005957578234</c:v>
                </c:pt>
                <c:pt idx="147">
                  <c:v>6.7811626347854563</c:v>
                </c:pt>
                <c:pt idx="148">
                  <c:v>6.7336287123219201</c:v>
                </c:pt>
                <c:pt idx="149">
                  <c:v>6.6866915093077441</c:v>
                </c:pt>
                <c:pt idx="150">
                  <c:v>6.640343727885103</c:v>
                </c:pt>
                <c:pt idx="151">
                  <c:v>6.5945780947342403</c:v>
                </c:pt>
                <c:pt idx="152">
                  <c:v>6.549387364211313</c:v>
                </c:pt>
                <c:pt idx="153">
                  <c:v>6.5047643212975359</c:v>
                </c:pt>
                <c:pt idx="154">
                  <c:v>6.4607017843654724</c:v>
                </c:pt>
                <c:pt idx="155">
                  <c:v>6.4171926077731367</c:v>
                </c:pt>
                <c:pt idx="156">
                  <c:v>6.3742296842903041</c:v>
                </c:pt>
                <c:pt idx="157">
                  <c:v>6.3318059473661279</c:v>
                </c:pt>
                <c:pt idx="158">
                  <c:v>6.2899143732440645</c:v>
                </c:pt>
                <c:pt idx="159">
                  <c:v>6.2485479829325925</c:v>
                </c:pt>
                <c:pt idx="160">
                  <c:v>6.2076998440341278</c:v>
                </c:pt>
                <c:pt idx="161">
                  <c:v>6.1673630724439832</c:v>
                </c:pt>
                <c:pt idx="162">
                  <c:v>6.1275308339206394</c:v>
                </c:pt>
                <c:pt idx="163">
                  <c:v>6.0881963455352643</c:v>
                </c:pt>
                <c:pt idx="164">
                  <c:v>6.049352877006017</c:v>
                </c:pt>
                <c:pt idx="165">
                  <c:v>6.0109937519215997</c:v>
                </c:pt>
                <c:pt idx="166">
                  <c:v>5.9731123488609121</c:v>
                </c:pt>
                <c:pt idx="167">
                  <c:v>5.9357021024116161</c:v>
                </c:pt>
                <c:pt idx="168">
                  <c:v>5.8987565040939529</c:v>
                </c:pt>
                <c:pt idx="169">
                  <c:v>5.8622691031938068</c:v>
                </c:pt>
                <c:pt idx="170">
                  <c:v>5.8262335075098068</c:v>
                </c:pt>
                <c:pt idx="171">
                  <c:v>5.7906433840183187</c:v>
                </c:pt>
                <c:pt idx="172">
                  <c:v>5.7554924594609425</c:v>
                </c:pt>
                <c:pt idx="173">
                  <c:v>5.7207745208574554</c:v>
                </c:pt>
                <c:pt idx="174">
                  <c:v>5.6864834159488797</c:v>
                </c:pt>
                <c:pt idx="175">
                  <c:v>5.6526130535748003</c:v>
                </c:pt>
                <c:pt idx="176">
                  <c:v>5.6191574039864332</c:v>
                </c:pt>
                <c:pt idx="177">
                  <c:v>5.5861104991003057</c:v>
                </c:pt>
                <c:pt idx="178">
                  <c:v>5.5534664326964958</c:v>
                </c:pt>
                <c:pt idx="179">
                  <c:v>5.5212193605618243</c:v>
                </c:pt>
                <c:pt idx="180">
                  <c:v>5.4893635005836003</c:v>
                </c:pt>
                <c:pt idx="181">
                  <c:v>5.4578931327957907</c:v>
                </c:pt>
                <c:pt idx="182">
                  <c:v>5.4268025993782096</c:v>
                </c:pt>
                <c:pt idx="183">
                  <c:v>5.3960863046172154</c:v>
                </c:pt>
                <c:pt idx="184">
                  <c:v>5.3657387148224647</c:v>
                </c:pt>
                <c:pt idx="185">
                  <c:v>5.3357543582076001</c:v>
                </c:pt>
                <c:pt idx="186">
                  <c:v>5.3061278247372154</c:v>
                </c:pt>
                <c:pt idx="187">
                  <c:v>5.2768537659375347</c:v>
                </c:pt>
                <c:pt idx="188">
                  <c:v>5.2479268946791038</c:v>
                </c:pt>
                <c:pt idx="189">
                  <c:v>5.2193419849279366</c:v>
                </c:pt>
                <c:pt idx="190">
                  <c:v>5.1910938714711055</c:v>
                </c:pt>
                <c:pt idx="191">
                  <c:v>5.1631774496158709</c:v>
                </c:pt>
                <c:pt idx="192">
                  <c:v>5.1355876748662723</c:v>
                </c:pt>
                <c:pt idx="193">
                  <c:v>5.1083195625762237</c:v>
                </c:pt>
                <c:pt idx="194">
                  <c:v>5.0813681875834895</c:v>
                </c:pt>
                <c:pt idx="195">
                  <c:v>5.0547286838237433</c:v>
                </c:pt>
                <c:pt idx="196">
                  <c:v>5.0283962439276646</c:v>
                </c:pt>
                <c:pt idx="197">
                  <c:v>5.0023661188012962</c:v>
                </c:pt>
                <c:pt idx="198">
                  <c:v>4.9766336171930234</c:v>
                </c:pt>
                <c:pt idx="199">
                  <c:v>4.9511941052439834</c:v>
                </c:pt>
                <c:pt idx="200">
                  <c:v>4.9260430060292464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75072"/>
        <c:axId val="65475648"/>
      </c:scatterChart>
      <c:valAx>
        <c:axId val="65475072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DC Bias (V)</a:t>
                </a:r>
              </a:p>
            </c:rich>
          </c:tx>
          <c:layout>
            <c:manualLayout>
              <c:xMode val="edge"/>
              <c:yMode val="edge"/>
              <c:x val="0.44261184018664335"/>
              <c:y val="0.917452566385604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5475648"/>
        <c:crosses val="autoZero"/>
        <c:crossBetween val="midCat"/>
        <c:majorUnit val="1"/>
        <c:minorUnit val="1"/>
      </c:valAx>
      <c:valAx>
        <c:axId val="65475648"/>
        <c:scaling>
          <c:orientation val="minMax"/>
          <c:max val="17"/>
          <c:min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Capacitance</a:t>
                </a:r>
              </a:p>
            </c:rich>
          </c:tx>
          <c:layout>
            <c:manualLayout>
              <c:xMode val="edge"/>
              <c:yMode val="edge"/>
              <c:x val="1.1942840478273547E-2"/>
              <c:y val="0.3641299605941634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654750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405144356955528"/>
          <c:y val="0.14972044025831921"/>
          <c:w val="0.28121598133566639"/>
          <c:h val="0.1313926494882962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3718035245594304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384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Efficiency!$B$2</c:f>
              <c:strCache>
                <c:ptCount val="1"/>
                <c:pt idx="0">
                  <c:v>Vin = 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Efficiency!$B$19:$B$32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Efficiency!$U$19:$U$32</c:f>
              <c:numCache>
                <c:formatCode>0.0</c:formatCode>
                <c:ptCount val="14"/>
                <c:pt idx="0">
                  <c:v>90.720858374266498</c:v>
                </c:pt>
                <c:pt idx="1">
                  <c:v>91.297228108476801</c:v>
                </c:pt>
                <c:pt idx="2">
                  <c:v>90.837692084797283</c:v>
                </c:pt>
                <c:pt idx="3">
                  <c:v>90.112296148158649</c:v>
                </c:pt>
                <c:pt idx="4">
                  <c:v>89.27527891539593</c:v>
                </c:pt>
                <c:pt idx="5">
                  <c:v>88.37488055221975</c:v>
                </c:pt>
                <c:pt idx="6">
                  <c:v>87.428201603979261</c:v>
                </c:pt>
                <c:pt idx="7">
                  <c:v>86.439983706661565</c:v>
                </c:pt>
                <c:pt idx="8">
                  <c:v>85.556613036307539</c:v>
                </c:pt>
                <c:pt idx="9">
                  <c:v>84.615727970830108</c:v>
                </c:pt>
                <c:pt idx="10">
                  <c:v>83.608226671173497</c:v>
                </c:pt>
                <c:pt idx="11">
                  <c:v>82.521142508403159</c:v>
                </c:pt>
                <c:pt idx="12">
                  <c:v>81.336582725164746</c:v>
                </c:pt>
                <c:pt idx="13">
                  <c:v>80.029672698111241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Efficiency!$V$2</c:f>
              <c:strCache>
                <c:ptCount val="1"/>
                <c:pt idx="0">
                  <c:v>Vin = 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Efficiency!$V$19:$V$32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Efficiency!$AO$19:$AO$32</c:f>
              <c:numCache>
                <c:formatCode>0.0</c:formatCode>
                <c:ptCount val="14"/>
                <c:pt idx="0">
                  <c:v>86.998272311061626</c:v>
                </c:pt>
                <c:pt idx="1">
                  <c:v>88.572260716971911</c:v>
                </c:pt>
                <c:pt idx="2">
                  <c:v>88.577318273384449</c:v>
                </c:pt>
                <c:pt idx="3">
                  <c:v>88.177549195315706</c:v>
                </c:pt>
                <c:pt idx="4">
                  <c:v>87.614091581254485</c:v>
                </c:pt>
                <c:pt idx="5">
                  <c:v>86.966985111453283</c:v>
                </c:pt>
                <c:pt idx="6">
                  <c:v>86.269190662546322</c:v>
                </c:pt>
                <c:pt idx="7">
                  <c:v>85.535649465672421</c:v>
                </c:pt>
                <c:pt idx="8">
                  <c:v>84.958115226511751</c:v>
                </c:pt>
                <c:pt idx="9">
                  <c:v>84.345409424046068</c:v>
                </c:pt>
                <c:pt idx="10">
                  <c:v>83.697318944601292</c:v>
                </c:pt>
                <c:pt idx="11">
                  <c:v>83.011735690841846</c:v>
                </c:pt>
                <c:pt idx="12">
                  <c:v>82.284940663794174</c:v>
                </c:pt>
                <c:pt idx="13">
                  <c:v>81.511614989059012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Efficiency!$AP$2</c:f>
              <c:strCache>
                <c:ptCount val="1"/>
                <c:pt idx="0">
                  <c:v>Vin = 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Efficiency!$AP$19:$AP$32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Efficiency!$BI$19:$BI$32</c:f>
              <c:numCache>
                <c:formatCode>0.0</c:formatCode>
                <c:ptCount val="14"/>
                <c:pt idx="0">
                  <c:v>83.191803128888992</c:v>
                </c:pt>
                <c:pt idx="1">
                  <c:v>85.702486848076305</c:v>
                </c:pt>
                <c:pt idx="2">
                  <c:v>86.111941165794079</c:v>
                </c:pt>
                <c:pt idx="3">
                  <c:v>85.969339940143982</c:v>
                </c:pt>
                <c:pt idx="4">
                  <c:v>85.602789595901882</c:v>
                </c:pt>
                <c:pt idx="5">
                  <c:v>85.12336824019016</c:v>
                </c:pt>
                <c:pt idx="6">
                  <c:v>84.57832974712025</c:v>
                </c:pt>
                <c:pt idx="7">
                  <c:v>83.990530847273988</c:v>
                </c:pt>
                <c:pt idx="8">
                  <c:v>83.568898432229886</c:v>
                </c:pt>
                <c:pt idx="9">
                  <c:v>83.114427398970349</c:v>
                </c:pt>
                <c:pt idx="10">
                  <c:v>82.630181332008064</c:v>
                </c:pt>
                <c:pt idx="11">
                  <c:v>82.11725966889621</c:v>
                </c:pt>
                <c:pt idx="12">
                  <c:v>81.575386900864899</c:v>
                </c:pt>
                <c:pt idx="13">
                  <c:v>81.003208200032631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11552"/>
        <c:axId val="62912128"/>
      </c:scatterChart>
      <c:valAx>
        <c:axId val="62911552"/>
        <c:scaling>
          <c:orientation val="minMax"/>
          <c:max val="3.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02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912128"/>
        <c:crosses val="autoZero"/>
        <c:crossBetween val="midCat"/>
        <c:majorUnit val="0.5"/>
        <c:minorUnit val="0.25"/>
      </c:valAx>
      <c:valAx>
        <c:axId val="62912128"/>
        <c:scaling>
          <c:orientation val="minMax"/>
          <c:max val="95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0709E-2"/>
              <c:y val="0.279266409690420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911552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109267591551061"/>
          <c:y val="0.68932428425526249"/>
          <c:w val="0.12461751371987591"/>
          <c:h val="0.1578844644419475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44" r="0.750000000000009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the A8586</a:t>
            </a:r>
            <a:r>
              <a:rPr lang="en-US"/>
              <a:t> </a:t>
            </a:r>
            <a:r>
              <a:rPr lang="en-US" baseline="0"/>
              <a:t>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25305336832895892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384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Efficiency!$B$2</c:f>
              <c:strCache>
                <c:ptCount val="1"/>
                <c:pt idx="0">
                  <c:v>Vin = 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Efficiency!$B$4:$B$17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Efficiency!$O$4:$O$17</c:f>
              <c:numCache>
                <c:formatCode>0.0</c:formatCode>
                <c:ptCount val="14"/>
                <c:pt idx="0">
                  <c:v>26.219664537230187</c:v>
                </c:pt>
                <c:pt idx="1">
                  <c:v>26.971485129832626</c:v>
                </c:pt>
                <c:pt idx="2">
                  <c:v>28.025850943272804</c:v>
                </c:pt>
                <c:pt idx="3">
                  <c:v>29.400863873766177</c:v>
                </c:pt>
                <c:pt idx="4">
                  <c:v>31.119443974937866</c:v>
                </c:pt>
                <c:pt idx="5">
                  <c:v>33.210314668198563</c:v>
                </c:pt>
                <c:pt idx="6">
                  <c:v>35.709315050793961</c:v>
                </c:pt>
                <c:pt idx="7">
                  <c:v>38.661168605122448</c:v>
                </c:pt>
                <c:pt idx="8">
                  <c:v>42.095919168305464</c:v>
                </c:pt>
                <c:pt idx="9">
                  <c:v>46.095885294624964</c:v>
                </c:pt>
                <c:pt idx="10">
                  <c:v>50.746815422109819</c:v>
                </c:pt>
                <c:pt idx="11">
                  <c:v>56.159474725719029</c:v>
                </c:pt>
                <c:pt idx="12">
                  <c:v>62.479459165894632</c:v>
                </c:pt>
                <c:pt idx="13">
                  <c:v>69.902479731048089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Efficiency!$V$2</c:f>
              <c:strCache>
                <c:ptCount val="1"/>
                <c:pt idx="0">
                  <c:v>Vin = 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Efficiency!$V$4:$V$17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Efficiency!$AI$4:$AI$17</c:f>
              <c:numCache>
                <c:formatCode>0.0</c:formatCode>
                <c:ptCount val="14"/>
                <c:pt idx="0">
                  <c:v>26.924400433004191</c:v>
                </c:pt>
                <c:pt idx="1">
                  <c:v>27.939608908925553</c:v>
                </c:pt>
                <c:pt idx="2">
                  <c:v>29.159823686316546</c:v>
                </c:pt>
                <c:pt idx="3">
                  <c:v>30.59621054014189</c:v>
                </c:pt>
                <c:pt idx="4">
                  <c:v>32.2620697102478</c:v>
                </c:pt>
                <c:pt idx="5">
                  <c:v>34.173187198119862</c:v>
                </c:pt>
                <c:pt idx="6">
                  <c:v>36.348273526777817</c:v>
                </c:pt>
                <c:pt idx="7">
                  <c:v>38.809516154149854</c:v>
                </c:pt>
                <c:pt idx="8">
                  <c:v>41.56170882500335</c:v>
                </c:pt>
                <c:pt idx="9">
                  <c:v>44.646757022915708</c:v>
                </c:pt>
                <c:pt idx="10">
                  <c:v>48.099549140193901</c:v>
                </c:pt>
                <c:pt idx="11">
                  <c:v>51.962152624157227</c:v>
                </c:pt>
                <c:pt idx="12">
                  <c:v>56.285655575051663</c:v>
                </c:pt>
                <c:pt idx="13">
                  <c:v>61.132661979478236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Efficiency!$AP$2</c:f>
              <c:strCache>
                <c:ptCount val="1"/>
                <c:pt idx="0">
                  <c:v>Vin = 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Efficiency!$AP$4:$AP$17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Efficiency!$BC$4:$BC$17</c:f>
              <c:numCache>
                <c:formatCode>0.0</c:formatCode>
                <c:ptCount val="14"/>
                <c:pt idx="0">
                  <c:v>27.802472986772145</c:v>
                </c:pt>
                <c:pt idx="1">
                  <c:v>29.310142235237628</c:v>
                </c:pt>
                <c:pt idx="2">
                  <c:v>30.974987354669889</c:v>
                </c:pt>
                <c:pt idx="3">
                  <c:v>32.806120189252596</c:v>
                </c:pt>
                <c:pt idx="4">
                  <c:v>34.813930261365314</c:v>
                </c:pt>
                <c:pt idx="5">
                  <c:v>37.010275777818819</c:v>
                </c:pt>
                <c:pt idx="6">
                  <c:v>39.408713431387859</c:v>
                </c:pt>
                <c:pt idx="7">
                  <c:v>42.024776851828911</c:v>
                </c:pt>
                <c:pt idx="8">
                  <c:v>44.858245855095433</c:v>
                </c:pt>
                <c:pt idx="9">
                  <c:v>47.938736299509138</c:v>
                </c:pt>
                <c:pt idx="10">
                  <c:v>51.288005731467614</c:v>
                </c:pt>
                <c:pt idx="11">
                  <c:v>54.931367976214403</c:v>
                </c:pt>
                <c:pt idx="12">
                  <c:v>58.898414501058021</c:v>
                </c:pt>
                <c:pt idx="13">
                  <c:v>63.223935207288093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Efficiency!$H$84:$H$85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Efficiency!$I$84:$I$85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2640"/>
        <c:axId val="62833216"/>
      </c:scatterChart>
      <c:valAx>
        <c:axId val="62832640"/>
        <c:scaling>
          <c:orientation val="minMax"/>
          <c:max val="3.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02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3216"/>
        <c:crosses val="autoZero"/>
        <c:crossBetween val="midCat"/>
        <c:majorUnit val="0.5"/>
        <c:minorUnit val="0.25"/>
      </c:valAx>
      <c:valAx>
        <c:axId val="62833216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6905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2640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267997750281216"/>
          <c:y val="0.15375943069877779"/>
          <c:w val="0.20033745781777273"/>
          <c:h val="0.1594616677099463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44" r="0.750000000000009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the A8586</a:t>
            </a:r>
            <a:r>
              <a:rPr lang="en-US"/>
              <a:t>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19352955880514935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4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Efficiency!$B$2</c:f>
              <c:strCache>
                <c:ptCount val="1"/>
                <c:pt idx="0">
                  <c:v>Vin = 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Efficiency!$B$19:$B$32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Efficiency!$O$19:$O$32</c:f>
              <c:numCache>
                <c:formatCode>0.0</c:formatCode>
                <c:ptCount val="14"/>
                <c:pt idx="0">
                  <c:v>86.295814728260837</c:v>
                </c:pt>
                <c:pt idx="1">
                  <c:v>87.209498186505343</c:v>
                </c:pt>
                <c:pt idx="2">
                  <c:v>88.541694050774126</c:v>
                </c:pt>
                <c:pt idx="3">
                  <c:v>90.31978973603843</c:v>
                </c:pt>
                <c:pt idx="4">
                  <c:v>92.578367266503051</c:v>
                </c:pt>
                <c:pt idx="5">
                  <c:v>95.360859209166435</c:v>
                </c:pt>
                <c:pt idx="6">
                  <c:v>98.721782767847444</c:v>
                </c:pt>
                <c:pt idx="7">
                  <c:v>102.72980538859122</c:v>
                </c:pt>
                <c:pt idx="8">
                  <c:v>107.43564314611824</c:v>
                </c:pt>
                <c:pt idx="9">
                  <c:v>112.96713232739589</c:v>
                </c:pt>
                <c:pt idx="10">
                  <c:v>119.46317045265036</c:v>
                </c:pt>
                <c:pt idx="11">
                  <c:v>127.10775421949864</c:v>
                </c:pt>
                <c:pt idx="12">
                  <c:v>136.15049299099198</c:v>
                </c:pt>
                <c:pt idx="13">
                  <c:v>146.94063385077871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Efficiency!$V$2</c:f>
              <c:strCache>
                <c:ptCount val="1"/>
                <c:pt idx="0">
                  <c:v>Vin = 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Efficiency!$V$19:$V$32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Efficiency!$AI$19:$AI$32</c:f>
              <c:numCache>
                <c:formatCode>0.0</c:formatCode>
                <c:ptCount val="14"/>
                <c:pt idx="0">
                  <c:v>86.983539460208107</c:v>
                </c:pt>
                <c:pt idx="1">
                  <c:v>88.106351347721969</c:v>
                </c:pt>
                <c:pt idx="2">
                  <c:v>89.509820310100281</c:v>
                </c:pt>
                <c:pt idx="3">
                  <c:v>91.209691393855081</c:v>
                </c:pt>
                <c:pt idx="4">
                  <c:v>93.22476345013925</c:v>
                </c:pt>
                <c:pt idx="5">
                  <c:v>95.577439105915403</c:v>
                </c:pt>
                <c:pt idx="6">
                  <c:v>98.294416898001174</c:v>
                </c:pt>
                <c:pt idx="7">
                  <c:v>101.40757178309798</c:v>
                </c:pt>
                <c:pt idx="8">
                  <c:v>104.92515524030495</c:v>
                </c:pt>
                <c:pt idx="9">
                  <c:v>108.9076328226821</c:v>
                </c:pt>
                <c:pt idx="10">
                  <c:v>113.40676337460911</c:v>
                </c:pt>
                <c:pt idx="11">
                  <c:v>118.48576013354725</c:v>
                </c:pt>
                <c:pt idx="12">
                  <c:v>124.22253872462707</c:v>
                </c:pt>
                <c:pt idx="13">
                  <c:v>130.71424513274741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Efficiency!$AP$2</c:f>
              <c:strCache>
                <c:ptCount val="1"/>
                <c:pt idx="0">
                  <c:v>Vin = 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Efficiency!$AP$19:$AP$32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Efficiency!$BC$19:$BC$32</c:f>
              <c:numCache>
                <c:formatCode>0.0</c:formatCode>
                <c:ptCount val="14"/>
                <c:pt idx="0">
                  <c:v>87.850431580519611</c:v>
                </c:pt>
                <c:pt idx="1">
                  <c:v>89.438627239486181</c:v>
                </c:pt>
                <c:pt idx="2">
                  <c:v>91.240087484017664</c:v>
                </c:pt>
                <c:pt idx="3">
                  <c:v>93.266781179005662</c:v>
                </c:pt>
                <c:pt idx="4">
                  <c:v>95.532443836862683</c:v>
                </c:pt>
                <c:pt idx="5">
                  <c:v>98.052858369238535</c:v>
                </c:pt>
                <c:pt idx="6">
                  <c:v>100.846195043736</c:v>
                </c:pt>
                <c:pt idx="7">
                  <c:v>103.93342673403791</c:v>
                </c:pt>
                <c:pt idx="8">
                  <c:v>107.31406605381417</c:v>
                </c:pt>
                <c:pt idx="9">
                  <c:v>111.02878899911053</c:v>
                </c:pt>
                <c:pt idx="10">
                  <c:v>115.10775022156217</c:v>
                </c:pt>
                <c:pt idx="11">
                  <c:v>119.58638093836463</c:v>
                </c:pt>
                <c:pt idx="12">
                  <c:v>124.50654318869655</c:v>
                </c:pt>
                <c:pt idx="13">
                  <c:v>129.91802998305445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Efficiency!$H$84:$H$85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Efficiency!$I$84:$I$85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5520"/>
        <c:axId val="62836096"/>
      </c:scatterChart>
      <c:valAx>
        <c:axId val="62835520"/>
        <c:scaling>
          <c:orientation val="minMax"/>
          <c:max val="3.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04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6096"/>
        <c:crosses val="autoZero"/>
        <c:crossBetween val="midCat"/>
        <c:majorUnit val="0.5"/>
        <c:minorUnit val="0.25"/>
      </c:valAx>
      <c:valAx>
        <c:axId val="62836096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6991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5520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863235845519323"/>
          <c:y val="0.15375943069877779"/>
          <c:w val="0.14875015623047128"/>
          <c:h val="0.1594616677099463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66" r="0.7500000000000096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D1 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30860892388451505"/>
          <c:y val="2.08453859585543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4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Efficiency!$B$2</c:f>
              <c:strCache>
                <c:ptCount val="1"/>
                <c:pt idx="0">
                  <c:v>Vin = 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Efficiency!$B$4:$B$17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Efficiency!$N$4:$N$17</c:f>
              <c:numCache>
                <c:formatCode>0.0</c:formatCode>
                <c:ptCount val="14"/>
                <c:pt idx="0">
                  <c:v>27.577509437311132</c:v>
                </c:pt>
                <c:pt idx="1">
                  <c:v>30.385677670190567</c:v>
                </c:pt>
                <c:pt idx="2">
                  <c:v>33.413306811469802</c:v>
                </c:pt>
                <c:pt idx="3">
                  <c:v>36.649208856513184</c:v>
                </c:pt>
                <c:pt idx="4">
                  <c:v>40.082063069165791</c:v>
                </c:pt>
                <c:pt idx="5">
                  <c:v>43.700247257218429</c:v>
                </c:pt>
                <c:pt idx="6">
                  <c:v>47.491630991292212</c:v>
                </c:pt>
                <c:pt idx="7">
                  <c:v>51.443313595287428</c:v>
                </c:pt>
                <c:pt idx="8">
                  <c:v>54.74373491270164</c:v>
                </c:pt>
                <c:pt idx="9">
                  <c:v>58.025613840075351</c:v>
                </c:pt>
                <c:pt idx="10">
                  <c:v>61.280298431146029</c:v>
                </c:pt>
                <c:pt idx="11">
                  <c:v>64.496836177766767</c:v>
                </c:pt>
                <c:pt idx="12">
                  <c:v>67.6610570819511</c:v>
                </c:pt>
                <c:pt idx="13">
                  <c:v>70.754143504343702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Efficiency!$V$2</c:f>
              <c:strCache>
                <c:ptCount val="1"/>
                <c:pt idx="0">
                  <c:v>Vin = 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Efficiency!$V$4:$V$17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Efficiency!$AH$4:$AH$17</c:f>
              <c:numCache>
                <c:formatCode>0.0</c:formatCode>
                <c:ptCount val="14"/>
                <c:pt idx="0">
                  <c:v>28.222832272243821</c:v>
                </c:pt>
                <c:pt idx="1">
                  <c:v>31.744107918774798</c:v>
                </c:pt>
                <c:pt idx="2">
                  <c:v>35.551995680848769</c:v>
                </c:pt>
                <c:pt idx="3">
                  <c:v>39.635069132621709</c:v>
                </c:pt>
                <c:pt idx="4">
                  <c:v>43.982241593275546</c:v>
                </c:pt>
                <c:pt idx="5">
                  <c:v>48.582698595849052</c:v>
                </c:pt>
                <c:pt idx="6">
                  <c:v>53.42582585092245</c:v>
                </c:pt>
                <c:pt idx="7">
                  <c:v>58.501130097793499</c:v>
                </c:pt>
                <c:pt idx="8">
                  <c:v>62.765471548867644</c:v>
                </c:pt>
                <c:pt idx="9">
                  <c:v>67.03978603221411</c:v>
                </c:pt>
                <c:pt idx="10">
                  <c:v>71.321288105612325</c:v>
                </c:pt>
                <c:pt idx="11">
                  <c:v>75.606798378448445</c:v>
                </c:pt>
                <c:pt idx="12">
                  <c:v>79.892634898714334</c:v>
                </c:pt>
                <c:pt idx="13">
                  <c:v>84.174466259901592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Efficiency!$AP$2</c:f>
              <c:strCache>
                <c:ptCount val="1"/>
                <c:pt idx="0">
                  <c:v>Vin = 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Efficiency!$AP$4:$AP$17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Efficiency!$BB$4:$BB$17</c:f>
              <c:numCache>
                <c:formatCode>0.0</c:formatCode>
                <c:ptCount val="14"/>
                <c:pt idx="0">
                  <c:v>28.550078580408389</c:v>
                </c:pt>
                <c:pt idx="1">
                  <c:v>32.429909721634637</c:v>
                </c:pt>
                <c:pt idx="2">
                  <c:v>36.626798907223559</c:v>
                </c:pt>
                <c:pt idx="3">
                  <c:v>41.128591645176293</c:v>
                </c:pt>
                <c:pt idx="4">
                  <c:v>45.923621587194802</c:v>
                </c:pt>
                <c:pt idx="5">
                  <c:v>51.000659930066618</c:v>
                </c:pt>
                <c:pt idx="6">
                  <c:v>56.348865263043336</c:v>
                </c:pt>
                <c:pt idx="7">
                  <c:v>61.957732914507467</c:v>
                </c:pt>
                <c:pt idx="8">
                  <c:v>66.667209337532668</c:v>
                </c:pt>
                <c:pt idx="9">
                  <c:v>71.391782626024764</c:v>
                </c:pt>
                <c:pt idx="10">
                  <c:v>76.129795206213046</c:v>
                </c:pt>
                <c:pt idx="11">
                  <c:v>80.879465574378088</c:v>
                </c:pt>
                <c:pt idx="12">
                  <c:v>85.638856387697786</c:v>
                </c:pt>
                <c:pt idx="13">
                  <c:v>90.405834135811091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8400"/>
        <c:axId val="62838976"/>
      </c:scatterChart>
      <c:valAx>
        <c:axId val="62838400"/>
        <c:scaling>
          <c:orientation val="minMax"/>
          <c:max val="3.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04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8976"/>
        <c:crosses val="autoZero"/>
        <c:crossBetween val="midCat"/>
        <c:majorUnit val="0.5"/>
        <c:minorUnit val="0.25"/>
      </c:valAx>
      <c:valAx>
        <c:axId val="62838976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6991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8400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672759655043142"/>
          <c:y val="0.10912902623573729"/>
          <c:w val="0.18810961129858772"/>
          <c:h val="0.157884464441947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66" r="0.75000000000000966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D1</a:t>
            </a:r>
            <a:r>
              <a:rPr lang="en-US"/>
              <a:t>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5305336832895892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4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Efficiency!$B$2</c:f>
              <c:strCache>
                <c:ptCount val="1"/>
                <c:pt idx="0">
                  <c:v>Vin = 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Efficiency!$B$19:$B$32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Efficiency!$N$19:$N$32</c:f>
              <c:numCache>
                <c:formatCode>0.0</c:formatCode>
                <c:ptCount val="14"/>
                <c:pt idx="0">
                  <c:v>87.111763520089653</c:v>
                </c:pt>
                <c:pt idx="1">
                  <c:v>89.461642255957486</c:v>
                </c:pt>
                <c:pt idx="2">
                  <c:v>92.036420374062473</c:v>
                </c:pt>
                <c:pt idx="3">
                  <c:v>94.82282525857444</c:v>
                </c:pt>
                <c:pt idx="4">
                  <c:v>97.807322784238067</c:v>
                </c:pt>
                <c:pt idx="5">
                  <c:v>100.97587004066591</c:v>
                </c:pt>
                <c:pt idx="6">
                  <c:v>104.31360512290426</c:v>
                </c:pt>
                <c:pt idx="7">
                  <c:v>107.80444365431055</c:v>
                </c:pt>
                <c:pt idx="8">
                  <c:v>110.63718188533096</c:v>
                </c:pt>
                <c:pt idx="9">
                  <c:v>113.44171012863328</c:v>
                </c:pt>
                <c:pt idx="10">
                  <c:v>116.20554384227201</c:v>
                </c:pt>
                <c:pt idx="11">
                  <c:v>118.91246017907204</c:v>
                </c:pt>
                <c:pt idx="12">
                  <c:v>121.54077047247952</c:v>
                </c:pt>
                <c:pt idx="13">
                  <c:v>124.06044976867639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Efficiency!$V$2</c:f>
              <c:strCache>
                <c:ptCount val="1"/>
                <c:pt idx="0">
                  <c:v>Vin = 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Efficiency!$V$19:$V$32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Efficiency!$AH$19:$AH$32</c:f>
              <c:numCache>
                <c:formatCode>0.0</c:formatCode>
                <c:ptCount val="14"/>
                <c:pt idx="0">
                  <c:v>87.63681871349533</c:v>
                </c:pt>
                <c:pt idx="1">
                  <c:v>90.58492389916033</c:v>
                </c:pt>
                <c:pt idx="2">
                  <c:v>93.831208108052877</c:v>
                </c:pt>
                <c:pt idx="3">
                  <c:v>97.362998320137137</c:v>
                </c:pt>
                <c:pt idx="4">
                  <c:v>101.16797252985813</c:v>
                </c:pt>
                <c:pt idx="5">
                  <c:v>105.23407183839289</c:v>
                </c:pt>
                <c:pt idx="6">
                  <c:v>109.54940490783942</c:v>
                </c:pt>
                <c:pt idx="7">
                  <c:v>114.10214068233071</c:v>
                </c:pt>
                <c:pt idx="8">
                  <c:v>117.84562051875243</c:v>
                </c:pt>
                <c:pt idx="9">
                  <c:v>121.60313823333119</c:v>
                </c:pt>
                <c:pt idx="10">
                  <c:v>125.37094340984419</c:v>
                </c:pt>
                <c:pt idx="11">
                  <c:v>129.14471881609103</c:v>
                </c:pt>
                <c:pt idx="12">
                  <c:v>132.91940722845692</c:v>
                </c:pt>
                <c:pt idx="13">
                  <c:v>136.68897059072501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Efficiency!$AP$2</c:f>
              <c:strCache>
                <c:ptCount val="1"/>
                <c:pt idx="0">
                  <c:v>Vin = 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Efficiency!$AP$19:$AP$32</c:f>
              <c:numCache>
                <c:formatCode>0.00</c:formatCode>
                <c:ptCount val="1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</c:numCache>
            </c:numRef>
          </c:xVal>
          <c:yVal>
            <c:numRef>
              <c:f>Efficiency!$BB$19:$BB$32</c:f>
              <c:numCache>
                <c:formatCode>0.0</c:formatCode>
                <c:ptCount val="14"/>
                <c:pt idx="0">
                  <c:v>87.90191130447613</c:v>
                </c:pt>
                <c:pt idx="1">
                  <c:v>91.1490419168626</c:v>
                </c:pt>
                <c:pt idx="2">
                  <c:v>94.727636799119111</c:v>
                </c:pt>
                <c:pt idx="3">
                  <c:v>98.624527243520674</c:v>
                </c:pt>
                <c:pt idx="4">
                  <c:v>102.82706922877185</c:v>
                </c:pt>
                <c:pt idx="5">
                  <c:v>107.32308281844183</c:v>
                </c:pt>
                <c:pt idx="6">
                  <c:v>112.10079145318369</c:v>
                </c:pt>
                <c:pt idx="7">
                  <c:v>117.14875980056338</c:v>
                </c:pt>
                <c:pt idx="8">
                  <c:v>121.3027186854481</c:v>
                </c:pt>
                <c:pt idx="9">
                  <c:v>125.48016507662585</c:v>
                </c:pt>
                <c:pt idx="10">
                  <c:v>129.67887286264713</c:v>
                </c:pt>
                <c:pt idx="11">
                  <c:v>133.896454021072</c:v>
                </c:pt>
                <c:pt idx="12">
                  <c:v>138.13031217268482</c:v>
                </c:pt>
                <c:pt idx="13">
                  <c:v>142.37758293955159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75008"/>
        <c:axId val="64275584"/>
      </c:scatterChart>
      <c:valAx>
        <c:axId val="64275008"/>
        <c:scaling>
          <c:orientation val="minMax"/>
          <c:max val="3.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04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75584"/>
        <c:crosses val="autoZero"/>
        <c:crossBetween val="midCat"/>
        <c:majorUnit val="0.5"/>
        <c:minorUnit val="0.25"/>
      </c:valAx>
      <c:valAx>
        <c:axId val="64275584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6991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75008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672759655043142"/>
          <c:y val="0.10912902623573729"/>
          <c:w val="0.12461751371987591"/>
          <c:h val="0.157884464441947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66" r="0.75000000000000966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Typical Vout </a:t>
            </a:r>
            <a:r>
              <a:rPr lang="en-US" sz="1200" baseline="0"/>
              <a:t>vs Vin at 100%, 66%, and 33% Load at High Ambient</a:t>
            </a:r>
            <a:endParaRPr lang="en-US" sz="1200"/>
          </a:p>
        </c:rich>
      </c:tx>
      <c:layout>
        <c:manualLayout>
          <c:xMode val="edge"/>
          <c:yMode val="edge"/>
          <c:x val="0.16268841394825637"/>
          <c:y val="2.08453859585544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384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Dropout!$C$117</c:f>
              <c:strCache>
                <c:ptCount val="1"/>
                <c:pt idx="0">
                  <c:v>IOUT=3.50A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Dropout!$Q$4:$Q$44</c:f>
              <c:numCache>
                <c:formatCode>0.000</c:formatCode>
                <c:ptCount val="41"/>
                <c:pt idx="0">
                  <c:v>3.2940895522388054</c:v>
                </c:pt>
                <c:pt idx="1">
                  <c:v>3.2940895522388054</c:v>
                </c:pt>
                <c:pt idx="2">
                  <c:v>3.2940895522388054</c:v>
                </c:pt>
                <c:pt idx="3">
                  <c:v>3.2940895522388054</c:v>
                </c:pt>
                <c:pt idx="4">
                  <c:v>3.2940895522388054</c:v>
                </c:pt>
                <c:pt idx="5">
                  <c:v>3.2940895522388054</c:v>
                </c:pt>
                <c:pt idx="6">
                  <c:v>3.2940895522388054</c:v>
                </c:pt>
                <c:pt idx="7">
                  <c:v>3.2940895522388054</c:v>
                </c:pt>
                <c:pt idx="8">
                  <c:v>3.2940895522388054</c:v>
                </c:pt>
                <c:pt idx="9">
                  <c:v>3.2940895522388054</c:v>
                </c:pt>
                <c:pt idx="10">
                  <c:v>3.2940895522388054</c:v>
                </c:pt>
                <c:pt idx="11">
                  <c:v>3.2940895522388054</c:v>
                </c:pt>
                <c:pt idx="12">
                  <c:v>3.2940895522388054</c:v>
                </c:pt>
                <c:pt idx="13">
                  <c:v>3.2940895522388054</c:v>
                </c:pt>
                <c:pt idx="14">
                  <c:v>3.2940895522388054</c:v>
                </c:pt>
                <c:pt idx="15">
                  <c:v>3.2940895522388054</c:v>
                </c:pt>
                <c:pt idx="16">
                  <c:v>3.2940895522388054</c:v>
                </c:pt>
                <c:pt idx="17">
                  <c:v>3.2940895522388054</c:v>
                </c:pt>
                <c:pt idx="18">
                  <c:v>3.2940895522388054</c:v>
                </c:pt>
                <c:pt idx="19">
                  <c:v>3.2940895522388054</c:v>
                </c:pt>
                <c:pt idx="20">
                  <c:v>3.2940895522388054</c:v>
                </c:pt>
                <c:pt idx="21">
                  <c:v>3.2940895522388054</c:v>
                </c:pt>
                <c:pt idx="22">
                  <c:v>3.2940895522388054</c:v>
                </c:pt>
                <c:pt idx="23">
                  <c:v>3.2940895522388054</c:v>
                </c:pt>
                <c:pt idx="24">
                  <c:v>3.2940895522388054</c:v>
                </c:pt>
                <c:pt idx="25">
                  <c:v>3.2940895522388054</c:v>
                </c:pt>
                <c:pt idx="26">
                  <c:v>3.2940895522388054</c:v>
                </c:pt>
                <c:pt idx="27">
                  <c:v>3.2940895522388054</c:v>
                </c:pt>
                <c:pt idx="28">
                  <c:v>3.2940895522388054</c:v>
                </c:pt>
                <c:pt idx="29">
                  <c:v>3.2940895522388054</c:v>
                </c:pt>
                <c:pt idx="30">
                  <c:v>3.2940895522388054</c:v>
                </c:pt>
                <c:pt idx="31">
                  <c:v>3.2471492205058397</c:v>
                </c:pt>
                <c:pt idx="32">
                  <c:v>3.024884932401291</c:v>
                </c:pt>
                <c:pt idx="33">
                  <c:v>2.8025400596474479</c:v>
                </c:pt>
                <c:pt idx="34">
                  <c:v>2.5801147310696164</c:v>
                </c:pt>
                <c:pt idx="35">
                  <c:v>2.3576090581146003</c:v>
                </c:pt>
                <c:pt idx="36">
                  <c:v>2.1350231348962754</c:v>
                </c:pt>
                <c:pt idx="37">
                  <c:v>1.912361651500484</c:v>
                </c:pt>
                <c:pt idx="38">
                  <c:v>1.6896547788179683</c:v>
                </c:pt>
                <c:pt idx="39">
                  <c:v>1.4669079729597287</c:v>
                </c:pt>
                <c:pt idx="40">
                  <c:v>1.2441212339257643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Dropout!$C$118</c:f>
              <c:strCache>
                <c:ptCount val="1"/>
                <c:pt idx="0">
                  <c:v>IOUT=2.33A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Dropout!$AF$4:$AF$44</c:f>
              <c:numCache>
                <c:formatCode>0.000</c:formatCode>
                <c:ptCount val="41"/>
                <c:pt idx="0">
                  <c:v>3.2940895522388054</c:v>
                </c:pt>
                <c:pt idx="1">
                  <c:v>3.2940895522388054</c:v>
                </c:pt>
                <c:pt idx="2">
                  <c:v>3.2940895522388054</c:v>
                </c:pt>
                <c:pt idx="3">
                  <c:v>3.2940895522388054</c:v>
                </c:pt>
                <c:pt idx="4">
                  <c:v>3.2940895522388054</c:v>
                </c:pt>
                <c:pt idx="5">
                  <c:v>3.2940895522388054</c:v>
                </c:pt>
                <c:pt idx="6">
                  <c:v>3.2940895522388054</c:v>
                </c:pt>
                <c:pt idx="7">
                  <c:v>3.2940895522388054</c:v>
                </c:pt>
                <c:pt idx="8">
                  <c:v>3.2940895522388054</c:v>
                </c:pt>
                <c:pt idx="9">
                  <c:v>3.2940895522388054</c:v>
                </c:pt>
                <c:pt idx="10">
                  <c:v>3.2940895522388054</c:v>
                </c:pt>
                <c:pt idx="11">
                  <c:v>3.2940895522388054</c:v>
                </c:pt>
                <c:pt idx="12">
                  <c:v>3.2940895522388054</c:v>
                </c:pt>
                <c:pt idx="13">
                  <c:v>3.2940895522388054</c:v>
                </c:pt>
                <c:pt idx="14">
                  <c:v>3.2940895522388054</c:v>
                </c:pt>
                <c:pt idx="15">
                  <c:v>3.2940895522388054</c:v>
                </c:pt>
                <c:pt idx="16">
                  <c:v>3.2940895522388054</c:v>
                </c:pt>
                <c:pt idx="17">
                  <c:v>3.2940895522388054</c:v>
                </c:pt>
                <c:pt idx="18">
                  <c:v>3.2940895522388054</c:v>
                </c:pt>
                <c:pt idx="19">
                  <c:v>3.2940895522388054</c:v>
                </c:pt>
                <c:pt idx="20">
                  <c:v>3.2940895522388054</c:v>
                </c:pt>
                <c:pt idx="21">
                  <c:v>3.2940895522388054</c:v>
                </c:pt>
                <c:pt idx="22">
                  <c:v>3.2940895522388054</c:v>
                </c:pt>
                <c:pt idx="23">
                  <c:v>3.2940895522388054</c:v>
                </c:pt>
                <c:pt idx="24">
                  <c:v>3.2940895522388054</c:v>
                </c:pt>
                <c:pt idx="25">
                  <c:v>3.2940895522388054</c:v>
                </c:pt>
                <c:pt idx="26">
                  <c:v>3.2940895522388054</c:v>
                </c:pt>
                <c:pt idx="27">
                  <c:v>3.2940895522388054</c:v>
                </c:pt>
                <c:pt idx="28">
                  <c:v>3.2940895522388054</c:v>
                </c:pt>
                <c:pt idx="29">
                  <c:v>3.2940895522388054</c:v>
                </c:pt>
                <c:pt idx="30">
                  <c:v>3.2940895522388054</c:v>
                </c:pt>
                <c:pt idx="31">
                  <c:v>3.2940895522388054</c:v>
                </c:pt>
                <c:pt idx="32">
                  <c:v>3.2940895522388054</c:v>
                </c:pt>
                <c:pt idx="33">
                  <c:v>3.2940895522388054</c:v>
                </c:pt>
                <c:pt idx="34">
                  <c:v>3.1748144225545922</c:v>
                </c:pt>
                <c:pt idx="35">
                  <c:v>2.9518183192673368</c:v>
                </c:pt>
                <c:pt idx="36">
                  <c:v>2.7287940348646802</c:v>
                </c:pt>
                <c:pt idx="37">
                  <c:v>2.5057419985014366</c:v>
                </c:pt>
                <c:pt idx="38">
                  <c:v>2.282672347780871</c:v>
                </c:pt>
                <c:pt idx="39">
                  <c:v>2.0595894550143155</c:v>
                </c:pt>
                <c:pt idx="40">
                  <c:v>1.8364933202017708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Dropout!$C$119</c:f>
              <c:strCache>
                <c:ptCount val="1"/>
                <c:pt idx="0">
                  <c:v>IOUT=1.17A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Dropout!$AU$4:$AU$44</c:f>
              <c:numCache>
                <c:formatCode>0.000</c:formatCode>
                <c:ptCount val="41"/>
                <c:pt idx="0">
                  <c:v>3.2940895522388054</c:v>
                </c:pt>
                <c:pt idx="1">
                  <c:v>3.2940895522388054</c:v>
                </c:pt>
                <c:pt idx="2">
                  <c:v>3.2940895522388054</c:v>
                </c:pt>
                <c:pt idx="3">
                  <c:v>3.2940895522388054</c:v>
                </c:pt>
                <c:pt idx="4">
                  <c:v>3.2940895522388054</c:v>
                </c:pt>
                <c:pt idx="5">
                  <c:v>3.2940895522388054</c:v>
                </c:pt>
                <c:pt idx="6">
                  <c:v>3.2940895522388054</c:v>
                </c:pt>
                <c:pt idx="7">
                  <c:v>3.2940895522388054</c:v>
                </c:pt>
                <c:pt idx="8">
                  <c:v>3.2940895522388054</c:v>
                </c:pt>
                <c:pt idx="9">
                  <c:v>3.2940895522388054</c:v>
                </c:pt>
                <c:pt idx="10">
                  <c:v>3.2940895522388054</c:v>
                </c:pt>
                <c:pt idx="11">
                  <c:v>3.2940895522388054</c:v>
                </c:pt>
                <c:pt idx="12">
                  <c:v>3.2940895522388054</c:v>
                </c:pt>
                <c:pt idx="13">
                  <c:v>3.2940895522388054</c:v>
                </c:pt>
                <c:pt idx="14">
                  <c:v>3.2940895522388054</c:v>
                </c:pt>
                <c:pt idx="15">
                  <c:v>3.2940895522388054</c:v>
                </c:pt>
                <c:pt idx="16">
                  <c:v>3.2940895522388054</c:v>
                </c:pt>
                <c:pt idx="17">
                  <c:v>3.2940895522388054</c:v>
                </c:pt>
                <c:pt idx="18">
                  <c:v>3.2940895522388054</c:v>
                </c:pt>
                <c:pt idx="19">
                  <c:v>3.2940895522388054</c:v>
                </c:pt>
                <c:pt idx="20">
                  <c:v>3.2940895522388054</c:v>
                </c:pt>
                <c:pt idx="21">
                  <c:v>3.2940895522388054</c:v>
                </c:pt>
                <c:pt idx="22">
                  <c:v>3.2940895522388054</c:v>
                </c:pt>
                <c:pt idx="23">
                  <c:v>3.2940895522388054</c:v>
                </c:pt>
                <c:pt idx="24">
                  <c:v>3.2940895522388054</c:v>
                </c:pt>
                <c:pt idx="25">
                  <c:v>3.2940895522388054</c:v>
                </c:pt>
                <c:pt idx="26">
                  <c:v>3.2940895522388054</c:v>
                </c:pt>
                <c:pt idx="27">
                  <c:v>3.2940895522388054</c:v>
                </c:pt>
                <c:pt idx="28">
                  <c:v>3.2940895522388054</c:v>
                </c:pt>
                <c:pt idx="29">
                  <c:v>3.2940895522388054</c:v>
                </c:pt>
                <c:pt idx="30">
                  <c:v>3.2940895522388054</c:v>
                </c:pt>
                <c:pt idx="31">
                  <c:v>3.2940895522388054</c:v>
                </c:pt>
                <c:pt idx="32">
                  <c:v>3.2940895522388054</c:v>
                </c:pt>
                <c:pt idx="33">
                  <c:v>3.2940895522388054</c:v>
                </c:pt>
                <c:pt idx="34">
                  <c:v>3.2940895522388054</c:v>
                </c:pt>
                <c:pt idx="35">
                  <c:v>3.2940895522388054</c:v>
                </c:pt>
                <c:pt idx="36">
                  <c:v>3.0764267383205164</c:v>
                </c:pt>
                <c:pt idx="37">
                  <c:v>2.8532212694662435</c:v>
                </c:pt>
                <c:pt idx="38">
                  <c:v>2.6300105562196503</c:v>
                </c:pt>
                <c:pt idx="39">
                  <c:v>2.4067969700957823</c:v>
                </c:pt>
                <c:pt idx="40">
                  <c:v>2.1835805110946378</c:v>
                </c:pt>
              </c:numCache>
            </c:numRef>
          </c:yVal>
          <c:smooth val="1"/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Dropout!$H$113:$H$114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Dropout!$I$113:$I$114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79040"/>
        <c:axId val="64279616"/>
      </c:scatterChart>
      <c:valAx>
        <c:axId val="64279040"/>
        <c:scaling>
          <c:orientation val="minMax"/>
          <c:max val="11.8"/>
          <c:min val="3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02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79616"/>
        <c:crosses val="autoZero"/>
        <c:crossBetween val="midCat"/>
        <c:majorUnit val="0.8"/>
        <c:minorUnit val="0.4"/>
      </c:valAx>
      <c:valAx>
        <c:axId val="64279616"/>
        <c:scaling>
          <c:orientation val="minMax"/>
          <c:max val="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1.5705224346956679E-2"/>
              <c:y val="0.307160412479821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7904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7156886639170108"/>
          <c:y val="0.10633962595679725"/>
          <c:w val="0.18054383827021622"/>
          <c:h val="0.2152496732887468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44" r="0.750000000000009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Worst Case Vout vs Vin at 100%, 66%, and 33% Load at High Ambient</a:t>
            </a:r>
            <a:endParaRPr lang="en-US" sz="1200"/>
          </a:p>
        </c:rich>
      </c:tx>
      <c:layout>
        <c:manualLayout>
          <c:xMode val="edge"/>
          <c:yMode val="edge"/>
          <c:x val="0.1388788901387327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4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Dropout!$C$117</c:f>
              <c:strCache>
                <c:ptCount val="1"/>
                <c:pt idx="0">
                  <c:v>IOUT=3.50A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Dropout!$Q$47:$Q$87</c:f>
              <c:numCache>
                <c:formatCode>0.000</c:formatCode>
                <c:ptCount val="41"/>
                <c:pt idx="0">
                  <c:v>3.2940895522388054</c:v>
                </c:pt>
                <c:pt idx="1">
                  <c:v>3.2940895522388054</c:v>
                </c:pt>
                <c:pt idx="2">
                  <c:v>3.2940895522388054</c:v>
                </c:pt>
                <c:pt idx="3">
                  <c:v>3.2940895522388054</c:v>
                </c:pt>
                <c:pt idx="4">
                  <c:v>3.2940895522388054</c:v>
                </c:pt>
                <c:pt idx="5">
                  <c:v>3.2940895522388054</c:v>
                </c:pt>
                <c:pt idx="6">
                  <c:v>3.2940895522388054</c:v>
                </c:pt>
                <c:pt idx="7">
                  <c:v>3.2940895522388054</c:v>
                </c:pt>
                <c:pt idx="8">
                  <c:v>3.2940895522388054</c:v>
                </c:pt>
                <c:pt idx="9">
                  <c:v>3.2940895522388054</c:v>
                </c:pt>
                <c:pt idx="10">
                  <c:v>3.2940895522388054</c:v>
                </c:pt>
                <c:pt idx="11">
                  <c:v>3.2940895522388054</c:v>
                </c:pt>
                <c:pt idx="12">
                  <c:v>3.2940895522388054</c:v>
                </c:pt>
                <c:pt idx="13">
                  <c:v>3.2940895522388054</c:v>
                </c:pt>
                <c:pt idx="14">
                  <c:v>3.2940895522388054</c:v>
                </c:pt>
                <c:pt idx="15">
                  <c:v>3.2940895522388054</c:v>
                </c:pt>
                <c:pt idx="16">
                  <c:v>3.2940895522388054</c:v>
                </c:pt>
                <c:pt idx="17">
                  <c:v>3.2940895522388054</c:v>
                </c:pt>
                <c:pt idx="18">
                  <c:v>3.2940895522388054</c:v>
                </c:pt>
                <c:pt idx="19">
                  <c:v>3.2940895522388054</c:v>
                </c:pt>
                <c:pt idx="20">
                  <c:v>3.2940895522388054</c:v>
                </c:pt>
                <c:pt idx="21">
                  <c:v>3.2940895522388054</c:v>
                </c:pt>
                <c:pt idx="22">
                  <c:v>3.2940895522388054</c:v>
                </c:pt>
                <c:pt idx="23">
                  <c:v>3.2940895522388054</c:v>
                </c:pt>
                <c:pt idx="24">
                  <c:v>3.2940895522388054</c:v>
                </c:pt>
                <c:pt idx="25">
                  <c:v>3.2940895522388054</c:v>
                </c:pt>
                <c:pt idx="26">
                  <c:v>3.2940895522388054</c:v>
                </c:pt>
                <c:pt idx="27">
                  <c:v>3.2940895522388054</c:v>
                </c:pt>
                <c:pt idx="28">
                  <c:v>3.2940895522388054</c:v>
                </c:pt>
                <c:pt idx="29">
                  <c:v>3.2940895522388054</c:v>
                </c:pt>
                <c:pt idx="30">
                  <c:v>3.2940895522388054</c:v>
                </c:pt>
                <c:pt idx="31">
                  <c:v>3.1281965596766517</c:v>
                </c:pt>
                <c:pt idx="32">
                  <c:v>2.9129511438280362</c:v>
                </c:pt>
                <c:pt idx="33">
                  <c:v>2.6976276881085246</c:v>
                </c:pt>
                <c:pt idx="34">
                  <c:v>2.4822263172752561</c:v>
                </c:pt>
                <c:pt idx="35">
                  <c:v>2.2667471392556622</c:v>
                </c:pt>
                <c:pt idx="36">
                  <c:v>2.0511902451915995</c:v>
                </c:pt>
                <c:pt idx="37">
                  <c:v>1.8355601770609389</c:v>
                </c:pt>
                <c:pt idx="38">
                  <c:v>1.6198861529894497</c:v>
                </c:pt>
                <c:pt idx="39">
                  <c:v>1.4041734567898914</c:v>
                </c:pt>
                <c:pt idx="40">
                  <c:v>1.1884220884622629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Dropout!$C$118</c:f>
              <c:strCache>
                <c:ptCount val="1"/>
                <c:pt idx="0">
                  <c:v>IOUT=2.33A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Dropout!$AF$47:$AF$87</c:f>
              <c:numCache>
                <c:formatCode>0.000</c:formatCode>
                <c:ptCount val="41"/>
                <c:pt idx="0">
                  <c:v>3.2940895522388054</c:v>
                </c:pt>
                <c:pt idx="1">
                  <c:v>3.2940895522388054</c:v>
                </c:pt>
                <c:pt idx="2">
                  <c:v>3.2940895522388054</c:v>
                </c:pt>
                <c:pt idx="3">
                  <c:v>3.2940895522388054</c:v>
                </c:pt>
                <c:pt idx="4">
                  <c:v>3.2940895522388054</c:v>
                </c:pt>
                <c:pt idx="5">
                  <c:v>3.2940895522388054</c:v>
                </c:pt>
                <c:pt idx="6">
                  <c:v>3.2940895522388054</c:v>
                </c:pt>
                <c:pt idx="7">
                  <c:v>3.2940895522388054</c:v>
                </c:pt>
                <c:pt idx="8">
                  <c:v>3.2940895522388054</c:v>
                </c:pt>
                <c:pt idx="9">
                  <c:v>3.2940895522388054</c:v>
                </c:pt>
                <c:pt idx="10">
                  <c:v>3.2940895522388054</c:v>
                </c:pt>
                <c:pt idx="11">
                  <c:v>3.2940895522388054</c:v>
                </c:pt>
                <c:pt idx="12">
                  <c:v>3.2940895522388054</c:v>
                </c:pt>
                <c:pt idx="13">
                  <c:v>3.2940895522388054</c:v>
                </c:pt>
                <c:pt idx="14">
                  <c:v>3.2940895522388054</c:v>
                </c:pt>
                <c:pt idx="15">
                  <c:v>3.2940895522388054</c:v>
                </c:pt>
                <c:pt idx="16">
                  <c:v>3.2940895522388054</c:v>
                </c:pt>
                <c:pt idx="17">
                  <c:v>3.2940895522388054</c:v>
                </c:pt>
                <c:pt idx="18">
                  <c:v>3.2940895522388054</c:v>
                </c:pt>
                <c:pt idx="19">
                  <c:v>3.2940895522388054</c:v>
                </c:pt>
                <c:pt idx="20">
                  <c:v>3.2940895522388054</c:v>
                </c:pt>
                <c:pt idx="21">
                  <c:v>3.2940895522388054</c:v>
                </c:pt>
                <c:pt idx="22">
                  <c:v>3.2940895522388054</c:v>
                </c:pt>
                <c:pt idx="23">
                  <c:v>3.2940895522388054</c:v>
                </c:pt>
                <c:pt idx="24">
                  <c:v>3.2940895522388054</c:v>
                </c:pt>
                <c:pt idx="25">
                  <c:v>3.2940895522388054</c:v>
                </c:pt>
                <c:pt idx="26">
                  <c:v>3.2940895522388054</c:v>
                </c:pt>
                <c:pt idx="27">
                  <c:v>3.2940895522388054</c:v>
                </c:pt>
                <c:pt idx="28">
                  <c:v>3.2940895522388054</c:v>
                </c:pt>
                <c:pt idx="29">
                  <c:v>3.2940895522388054</c:v>
                </c:pt>
                <c:pt idx="30">
                  <c:v>3.2940895522388054</c:v>
                </c:pt>
                <c:pt idx="31">
                  <c:v>3.2940895522388054</c:v>
                </c:pt>
                <c:pt idx="32">
                  <c:v>3.2940895522388054</c:v>
                </c:pt>
                <c:pt idx="33">
                  <c:v>3.2787453934141215</c:v>
                </c:pt>
                <c:pt idx="34">
                  <c:v>3.0599263927402922</c:v>
                </c:pt>
                <c:pt idx="35">
                  <c:v>2.8439722716621079</c:v>
                </c:pt>
                <c:pt idx="36">
                  <c:v>2.6279908593984822</c:v>
                </c:pt>
                <c:pt idx="37">
                  <c:v>2.4119825715519729</c:v>
                </c:pt>
                <c:pt idx="38">
                  <c:v>2.195957225591004</c:v>
                </c:pt>
                <c:pt idx="39">
                  <c:v>1.9799190557539186</c:v>
                </c:pt>
                <c:pt idx="40">
                  <c:v>1.7638680620407174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Dropout!$C$119</c:f>
              <c:strCache>
                <c:ptCount val="1"/>
                <c:pt idx="0">
                  <c:v>IOUT=1.17A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Dropout!$AU$47:$AU$87</c:f>
              <c:numCache>
                <c:formatCode>0.000</c:formatCode>
                <c:ptCount val="41"/>
                <c:pt idx="0">
                  <c:v>3.2940895522388054</c:v>
                </c:pt>
                <c:pt idx="1">
                  <c:v>3.2940895522388054</c:v>
                </c:pt>
                <c:pt idx="2">
                  <c:v>3.2940895522388054</c:v>
                </c:pt>
                <c:pt idx="3">
                  <c:v>3.2940895522388054</c:v>
                </c:pt>
                <c:pt idx="4">
                  <c:v>3.2940895522388054</c:v>
                </c:pt>
                <c:pt idx="5">
                  <c:v>3.2940895522388054</c:v>
                </c:pt>
                <c:pt idx="6">
                  <c:v>3.2940895522388054</c:v>
                </c:pt>
                <c:pt idx="7">
                  <c:v>3.2940895522388054</c:v>
                </c:pt>
                <c:pt idx="8">
                  <c:v>3.2940895522388054</c:v>
                </c:pt>
                <c:pt idx="9">
                  <c:v>3.2940895522388054</c:v>
                </c:pt>
                <c:pt idx="10">
                  <c:v>3.2940895522388054</c:v>
                </c:pt>
                <c:pt idx="11">
                  <c:v>3.2940895522388054</c:v>
                </c:pt>
                <c:pt idx="12">
                  <c:v>3.2940895522388054</c:v>
                </c:pt>
                <c:pt idx="13">
                  <c:v>3.2940895522388054</c:v>
                </c:pt>
                <c:pt idx="14">
                  <c:v>3.2940895522388054</c:v>
                </c:pt>
                <c:pt idx="15">
                  <c:v>3.2940895522388054</c:v>
                </c:pt>
                <c:pt idx="16">
                  <c:v>3.2940895522388054</c:v>
                </c:pt>
                <c:pt idx="17">
                  <c:v>3.2940895522388054</c:v>
                </c:pt>
                <c:pt idx="18">
                  <c:v>3.2940895522388054</c:v>
                </c:pt>
                <c:pt idx="19">
                  <c:v>3.2940895522388054</c:v>
                </c:pt>
                <c:pt idx="20">
                  <c:v>3.2940895522388054</c:v>
                </c:pt>
                <c:pt idx="21">
                  <c:v>3.2940895522388054</c:v>
                </c:pt>
                <c:pt idx="22">
                  <c:v>3.2940895522388054</c:v>
                </c:pt>
                <c:pt idx="23">
                  <c:v>3.2940895522388054</c:v>
                </c:pt>
                <c:pt idx="24">
                  <c:v>3.2940895522388054</c:v>
                </c:pt>
                <c:pt idx="25">
                  <c:v>3.2940895522388054</c:v>
                </c:pt>
                <c:pt idx="26">
                  <c:v>3.2940895522388054</c:v>
                </c:pt>
                <c:pt idx="27">
                  <c:v>3.2940895522388054</c:v>
                </c:pt>
                <c:pt idx="28">
                  <c:v>3.2940895522388054</c:v>
                </c:pt>
                <c:pt idx="29">
                  <c:v>3.2940895522388054</c:v>
                </c:pt>
                <c:pt idx="30">
                  <c:v>3.2940895522388054</c:v>
                </c:pt>
                <c:pt idx="31">
                  <c:v>3.2940895522388054</c:v>
                </c:pt>
                <c:pt idx="32">
                  <c:v>3.2940895522388054</c:v>
                </c:pt>
                <c:pt idx="33">
                  <c:v>3.2940895522388054</c:v>
                </c:pt>
                <c:pt idx="34">
                  <c:v>3.2940895522388054</c:v>
                </c:pt>
                <c:pt idx="35">
                  <c:v>3.1839798712195875</c:v>
                </c:pt>
                <c:pt idx="36">
                  <c:v>2.9678161132836922</c:v>
                </c:pt>
                <c:pt idx="37">
                  <c:v>2.7516592381827123</c:v>
                </c:pt>
                <c:pt idx="38">
                  <c:v>2.5354972843018007</c:v>
                </c:pt>
                <c:pt idx="39">
                  <c:v>2.3193325482660545</c:v>
                </c:pt>
                <c:pt idx="40">
                  <c:v>2.1031650300754725</c:v>
                </c:pt>
              </c:numCache>
            </c:numRef>
          </c:yVal>
          <c:smooth val="1"/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Dropout!$H$113:$H$114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Dropout!$I$113:$I$114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81920"/>
        <c:axId val="65470464"/>
      </c:scatterChart>
      <c:valAx>
        <c:axId val="64281920"/>
        <c:scaling>
          <c:orientation val="minMax"/>
          <c:max val="11.8"/>
          <c:min val="3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04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70464"/>
        <c:crosses val="autoZero"/>
        <c:crossBetween val="midCat"/>
        <c:majorUnit val="0.8"/>
        <c:minorUnit val="0.4"/>
      </c:valAx>
      <c:valAx>
        <c:axId val="65470464"/>
        <c:scaling>
          <c:orientation val="minMax"/>
          <c:max val="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1.5705224346956686E-2"/>
              <c:y val="0.307160412479821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8192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5966410448693911"/>
          <c:y val="0.10912902623573725"/>
          <c:w val="0.19244860017497814"/>
          <c:h val="0.19572387133616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66" r="0.75000000000000966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Minimum Current Limit</a:t>
            </a:r>
          </a:p>
        </c:rich>
      </c:tx>
      <c:layout>
        <c:manualLayout>
          <c:xMode val="edge"/>
          <c:yMode val="edge"/>
          <c:x val="0.2609016999260903"/>
          <c:y val="1.0899182561307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25832358538547"/>
          <c:y val="0.10866027305170003"/>
          <c:w val="0.81528175940313463"/>
          <c:h val="0.72752930406860039"/>
        </c:manualLayout>
      </c:layout>
      <c:scatterChart>
        <c:scatterStyle val="lineMarker"/>
        <c:varyColors val="0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1"/>
            <c:trendlineLbl>
              <c:layout>
                <c:manualLayout>
                  <c:x val="-0.49847885422304472"/>
                  <c:y val="0.1914408519098600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="1" baseline="0">
                        <a:solidFill>
                          <a:srgbClr val="FF0000"/>
                        </a:solidFill>
                      </a:rPr>
                      <a:t>y = -0.0106x + 4.9529</a:t>
                    </a:r>
                    <a:endParaRPr lang="en-US" sz="1200" b="1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solidFill>
                  <a:sysClr val="window" lastClr="FFFFFF"/>
                </a:solidFill>
              </c:spPr>
            </c:trendlineLbl>
          </c:trendline>
          <c:xVal>
            <c:numRef>
              <c:f>Constants!$A$25:$A$26</c:f>
              <c:numCache>
                <c:formatCode>General</c:formatCode>
                <c:ptCount val="2"/>
                <c:pt idx="0">
                  <c:v>5</c:v>
                </c:pt>
                <c:pt idx="1">
                  <c:v>90</c:v>
                </c:pt>
              </c:numCache>
            </c:numRef>
          </c:xVal>
          <c:yVal>
            <c:numRef>
              <c:f>Constants!$B$25:$B$26</c:f>
              <c:numCache>
                <c:formatCode>0.00</c:formatCode>
                <c:ptCount val="2"/>
                <c:pt idx="0">
                  <c:v>4</c:v>
                </c:pt>
                <c:pt idx="1">
                  <c:v>2.8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72768"/>
        <c:axId val="65473344"/>
      </c:scatterChart>
      <c:valAx>
        <c:axId val="65472768"/>
        <c:scaling>
          <c:orientation val="minMax"/>
          <c:max val="9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Duty Cycle</a:t>
                </a:r>
                <a:r>
                  <a:rPr lang="en-US" sz="1100" baseline="0"/>
                  <a:t> (%)</a:t>
                </a:r>
              </a:p>
            </c:rich>
          </c:tx>
          <c:layout>
            <c:manualLayout>
              <c:xMode val="edge"/>
              <c:yMode val="edge"/>
              <c:x val="0.41820509686843466"/>
              <c:y val="0.917452566385604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5473344"/>
        <c:crosses val="autoZero"/>
        <c:crossBetween val="midCat"/>
        <c:majorUnit val="10"/>
        <c:minorUnit val="10"/>
      </c:valAx>
      <c:valAx>
        <c:axId val="65473344"/>
        <c:scaling>
          <c:orientation val="minMax"/>
          <c:max val="5"/>
          <c:min val="2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ILIM_min</a:t>
                </a:r>
              </a:p>
            </c:rich>
          </c:tx>
          <c:layout>
            <c:manualLayout>
              <c:xMode val="edge"/>
              <c:yMode val="edge"/>
              <c:x val="9.0060582781920067E-3"/>
              <c:y val="0.364130133600673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65472768"/>
        <c:crosses val="autoZero"/>
        <c:crossBetween val="midCat"/>
        <c:majorUnit val="0.25"/>
        <c:minorUnit val="0.25"/>
      </c:valAx>
    </c:plotArea>
    <c:legend>
      <c:legendPos val="r"/>
      <c:layout>
        <c:manualLayout>
          <c:xMode val="edge"/>
          <c:yMode val="edge"/>
          <c:x val="0.6700253155716972"/>
          <c:y val="0.13924063306800549"/>
          <c:w val="0.2491294117647059"/>
          <c:h val="0.14876996187284308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314326</xdr:colOff>
      <xdr:row>4</xdr:row>
      <xdr:rowOff>66675</xdr:rowOff>
    </xdr:from>
    <xdr:to>
      <xdr:col>16</xdr:col>
      <xdr:colOff>276226</xdr:colOff>
      <xdr:row>18</xdr:row>
      <xdr:rowOff>19970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72526" y="1104900"/>
          <a:ext cx="3657600" cy="296319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400050</xdr:colOff>
      <xdr:row>19</xdr:row>
      <xdr:rowOff>257175</xdr:rowOff>
    </xdr:from>
    <xdr:to>
      <xdr:col>21</xdr:col>
      <xdr:colOff>504825</xdr:colOff>
      <xdr:row>39</xdr:row>
      <xdr:rowOff>160877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4543425"/>
          <a:ext cx="7458075" cy="428520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17</xdr:row>
      <xdr:rowOff>171450</xdr:rowOff>
    </xdr:from>
    <xdr:to>
      <xdr:col>5</xdr:col>
      <xdr:colOff>473075</xdr:colOff>
      <xdr:row>31</xdr:row>
      <xdr:rowOff>95250</xdr:rowOff>
    </xdr:to>
    <xdr:pic>
      <xdr:nvPicPr>
        <xdr:cNvPr id="1025" name="Picture 0" descr="A8600SAA19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0725" y="3857625"/>
          <a:ext cx="345440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2</xdr:row>
      <xdr:rowOff>228601</xdr:rowOff>
    </xdr:from>
    <xdr:to>
      <xdr:col>15</xdr:col>
      <xdr:colOff>28575</xdr:colOff>
      <xdr:row>15</xdr:row>
      <xdr:rowOff>6645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77175" y="809626"/>
          <a:ext cx="3657600" cy="294986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32</xdr:row>
      <xdr:rowOff>76200</xdr:rowOff>
    </xdr:from>
    <xdr:to>
      <xdr:col>14</xdr:col>
      <xdr:colOff>219075</xdr:colOff>
      <xdr:row>56</xdr:row>
      <xdr:rowOff>57150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56</xdr:row>
      <xdr:rowOff>133350</xdr:rowOff>
    </xdr:from>
    <xdr:to>
      <xdr:col>14</xdr:col>
      <xdr:colOff>219075</xdr:colOff>
      <xdr:row>80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285750</xdr:colOff>
      <xdr:row>32</xdr:row>
      <xdr:rowOff>80963</xdr:rowOff>
    </xdr:from>
    <xdr:to>
      <xdr:col>28</xdr:col>
      <xdr:colOff>419100</xdr:colOff>
      <xdr:row>56</xdr:row>
      <xdr:rowOff>61913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285750</xdr:colOff>
      <xdr:row>56</xdr:row>
      <xdr:rowOff>142875</xdr:rowOff>
    </xdr:from>
    <xdr:to>
      <xdr:col>28</xdr:col>
      <xdr:colOff>419100</xdr:colOff>
      <xdr:row>80</xdr:row>
      <xdr:rowOff>123825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38100</xdr:colOff>
      <xdr:row>32</xdr:row>
      <xdr:rowOff>85725</xdr:rowOff>
    </xdr:from>
    <xdr:to>
      <xdr:col>43</xdr:col>
      <xdr:colOff>171450</xdr:colOff>
      <xdr:row>56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38100</xdr:colOff>
      <xdr:row>56</xdr:row>
      <xdr:rowOff>152400</xdr:rowOff>
    </xdr:from>
    <xdr:to>
      <xdr:col>43</xdr:col>
      <xdr:colOff>171450</xdr:colOff>
      <xdr:row>80</xdr:row>
      <xdr:rowOff>133350</xdr:rowOff>
    </xdr:to>
    <xdr:graphicFrame macro="">
      <xdr:nvGraphicFramePr>
        <xdr:cNvPr id="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87</xdr:row>
      <xdr:rowOff>66675</xdr:rowOff>
    </xdr:from>
    <xdr:to>
      <xdr:col>14</xdr:col>
      <xdr:colOff>247649</xdr:colOff>
      <xdr:row>111</xdr:row>
      <xdr:rowOff>47625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87</xdr:row>
      <xdr:rowOff>66675</xdr:rowOff>
    </xdr:from>
    <xdr:to>
      <xdr:col>29</xdr:col>
      <xdr:colOff>19050</xdr:colOff>
      <xdr:row>111</xdr:row>
      <xdr:rowOff>47625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295275</xdr:colOff>
      <xdr:row>12</xdr:row>
      <xdr:rowOff>66675</xdr:rowOff>
    </xdr:from>
    <xdr:to>
      <xdr:col>14</xdr:col>
      <xdr:colOff>201930</xdr:colOff>
      <xdr:row>23</xdr:row>
      <xdr:rowOff>30480</xdr:rowOff>
    </xdr:to>
    <xdr:pic>
      <xdr:nvPicPr>
        <xdr:cNvPr id="18" name="Picture 17" descr="tran 1.75-3.5A 14Vin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91375" y="2543175"/>
          <a:ext cx="2954655" cy="2173605"/>
        </a:xfrm>
        <a:prstGeom prst="rect">
          <a:avLst/>
        </a:prstGeom>
      </xdr:spPr>
    </xdr:pic>
    <xdr:clientData/>
  </xdr:twoCellAnchor>
  <xdr:twoCellAnchor editAs="oneCell">
    <xdr:from>
      <xdr:col>14</xdr:col>
      <xdr:colOff>438150</xdr:colOff>
      <xdr:row>12</xdr:row>
      <xdr:rowOff>38100</xdr:rowOff>
    </xdr:from>
    <xdr:to>
      <xdr:col>19</xdr:col>
      <xdr:colOff>344805</xdr:colOff>
      <xdr:row>23</xdr:row>
      <xdr:rowOff>19050</xdr:rowOff>
    </xdr:to>
    <xdr:pic>
      <xdr:nvPicPr>
        <xdr:cNvPr id="17" name="Picture 16" descr="tran 1.75-3.5A 14Vin r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82250" y="2514600"/>
          <a:ext cx="2954655" cy="2190750"/>
        </a:xfrm>
        <a:prstGeom prst="rect">
          <a:avLst/>
        </a:prstGeom>
      </xdr:spPr>
    </xdr:pic>
    <xdr:clientData/>
  </xdr:twoCellAnchor>
  <xdr:twoCellAnchor editAs="oneCell">
    <xdr:from>
      <xdr:col>14</xdr:col>
      <xdr:colOff>390525</xdr:colOff>
      <xdr:row>0</xdr:row>
      <xdr:rowOff>295275</xdr:rowOff>
    </xdr:from>
    <xdr:to>
      <xdr:col>19</xdr:col>
      <xdr:colOff>303530</xdr:colOff>
      <xdr:row>11</xdr:row>
      <xdr:rowOff>71755</xdr:rowOff>
    </xdr:to>
    <xdr:pic>
      <xdr:nvPicPr>
        <xdr:cNvPr id="16" name="Picture 15" descr="SW f 14Vin 1 Ohm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334625" y="295275"/>
          <a:ext cx="2961005" cy="2062480"/>
        </a:xfrm>
        <a:prstGeom prst="rect">
          <a:avLst/>
        </a:prstGeom>
      </xdr:spPr>
    </xdr:pic>
    <xdr:clientData/>
  </xdr:twoCellAnchor>
  <xdr:twoCellAnchor editAs="oneCell">
    <xdr:from>
      <xdr:col>9</xdr:col>
      <xdr:colOff>247650</xdr:colOff>
      <xdr:row>0</xdr:row>
      <xdr:rowOff>285750</xdr:rowOff>
    </xdr:from>
    <xdr:to>
      <xdr:col>14</xdr:col>
      <xdr:colOff>157480</xdr:colOff>
      <xdr:row>11</xdr:row>
      <xdr:rowOff>94615</xdr:rowOff>
    </xdr:to>
    <xdr:pic>
      <xdr:nvPicPr>
        <xdr:cNvPr id="15" name="Picture 14" descr="SW r 14Vin 1 Ohm.jp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143750" y="285750"/>
          <a:ext cx="2957830" cy="2094865"/>
        </a:xfrm>
        <a:prstGeom prst="rect">
          <a:avLst/>
        </a:prstGeom>
      </xdr:spPr>
    </xdr:pic>
    <xdr:clientData/>
  </xdr:twoCellAnchor>
  <xdr:twoCellAnchor>
    <xdr:from>
      <xdr:col>9</xdr:col>
      <xdr:colOff>209550</xdr:colOff>
      <xdr:row>24</xdr:row>
      <xdr:rowOff>19050</xdr:rowOff>
    </xdr:from>
    <xdr:to>
      <xdr:col>16</xdr:col>
      <xdr:colOff>238125</xdr:colOff>
      <xdr:row>41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238125</xdr:colOff>
      <xdr:row>0</xdr:row>
      <xdr:rowOff>85726</xdr:rowOff>
    </xdr:from>
    <xdr:to>
      <xdr:col>14</xdr:col>
      <xdr:colOff>190500</xdr:colOff>
      <xdr:row>1</xdr:row>
      <xdr:rowOff>47626</xdr:rowOff>
    </xdr:to>
    <xdr:sp macro="" textlink="">
      <xdr:nvSpPr>
        <xdr:cNvPr id="10" name="TextBox 9"/>
        <xdr:cNvSpPr txBox="1"/>
      </xdr:nvSpPr>
      <xdr:spPr>
        <a:xfrm>
          <a:off x="7134225" y="85726"/>
          <a:ext cx="30003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SW Rising</a:t>
          </a:r>
          <a:r>
            <a:rPr lang="en-US" sz="1200" b="1" baseline="0"/>
            <a:t> Slew Rate</a:t>
          </a:r>
          <a:endParaRPr lang="en-US" sz="1200" b="1"/>
        </a:p>
      </xdr:txBody>
    </xdr:sp>
    <xdr:clientData/>
  </xdr:twoCellAnchor>
  <xdr:twoCellAnchor>
    <xdr:from>
      <xdr:col>14</xdr:col>
      <xdr:colOff>438150</xdr:colOff>
      <xdr:row>0</xdr:row>
      <xdr:rowOff>85725</xdr:rowOff>
    </xdr:from>
    <xdr:to>
      <xdr:col>19</xdr:col>
      <xdr:colOff>390525</xdr:colOff>
      <xdr:row>1</xdr:row>
      <xdr:rowOff>47625</xdr:rowOff>
    </xdr:to>
    <xdr:sp macro="" textlink="">
      <xdr:nvSpPr>
        <xdr:cNvPr id="12" name="TextBox 11"/>
        <xdr:cNvSpPr txBox="1"/>
      </xdr:nvSpPr>
      <xdr:spPr>
        <a:xfrm>
          <a:off x="10382250" y="85725"/>
          <a:ext cx="30003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SW Falling</a:t>
          </a:r>
          <a:r>
            <a:rPr lang="en-US" sz="1200" b="1" baseline="0"/>
            <a:t> Slew Rate</a:t>
          </a:r>
          <a:endParaRPr lang="en-US" sz="1200" b="1"/>
        </a:p>
      </xdr:txBody>
    </xdr:sp>
    <xdr:clientData/>
  </xdr:twoCellAnchor>
  <xdr:twoCellAnchor>
    <xdr:from>
      <xdr:col>9</xdr:col>
      <xdr:colOff>285751</xdr:colOff>
      <xdr:row>12</xdr:row>
      <xdr:rowOff>57150</xdr:rowOff>
    </xdr:from>
    <xdr:to>
      <xdr:col>14</xdr:col>
      <xdr:colOff>171451</xdr:colOff>
      <xdr:row>13</xdr:row>
      <xdr:rowOff>133350</xdr:rowOff>
    </xdr:to>
    <xdr:sp macro="" textlink="">
      <xdr:nvSpPr>
        <xdr:cNvPr id="13" name="TextBox 12"/>
        <xdr:cNvSpPr txBox="1"/>
      </xdr:nvSpPr>
      <xdr:spPr>
        <a:xfrm>
          <a:off x="7181851" y="2533650"/>
          <a:ext cx="2933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1.75A</a:t>
          </a:r>
          <a:r>
            <a:rPr lang="en-US" sz="1200" b="1" baseline="0"/>
            <a:t> Transient with 1x 22uF</a:t>
          </a:r>
          <a:endParaRPr lang="en-US" sz="1200" b="1"/>
        </a:p>
      </xdr:txBody>
    </xdr:sp>
    <xdr:clientData/>
  </xdr:twoCellAnchor>
  <xdr:twoCellAnchor>
    <xdr:from>
      <xdr:col>14</xdr:col>
      <xdr:colOff>514350</xdr:colOff>
      <xdr:row>12</xdr:row>
      <xdr:rowOff>28576</xdr:rowOff>
    </xdr:from>
    <xdr:to>
      <xdr:col>19</xdr:col>
      <xdr:colOff>276225</xdr:colOff>
      <xdr:row>13</xdr:row>
      <xdr:rowOff>104776</xdr:rowOff>
    </xdr:to>
    <xdr:sp macro="" textlink="">
      <xdr:nvSpPr>
        <xdr:cNvPr id="14" name="TextBox 13"/>
        <xdr:cNvSpPr txBox="1"/>
      </xdr:nvSpPr>
      <xdr:spPr>
        <a:xfrm>
          <a:off x="10458450" y="2505076"/>
          <a:ext cx="28098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1.75A</a:t>
          </a:r>
          <a:r>
            <a:rPr lang="en-US" sz="1200" b="1" baseline="0"/>
            <a:t> Transient with 1x 22uF</a:t>
          </a:r>
          <a:endParaRPr lang="en-US" sz="1200" b="1"/>
        </a:p>
      </xdr:txBody>
    </xdr:sp>
    <xdr:clientData/>
  </xdr:twoCellAnchor>
  <xdr:twoCellAnchor>
    <xdr:from>
      <xdr:col>9</xdr:col>
      <xdr:colOff>209550</xdr:colOff>
      <xdr:row>42</xdr:row>
      <xdr:rowOff>95250</xdr:rowOff>
    </xdr:from>
    <xdr:to>
      <xdr:col>16</xdr:col>
      <xdr:colOff>228600</xdr:colOff>
      <xdr:row>60</xdr:row>
      <xdr:rowOff>95250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86"/>
  <sheetViews>
    <sheetView tabSelected="1" workbookViewId="0">
      <selection activeCell="C4" sqref="C4"/>
    </sheetView>
  </sheetViews>
  <sheetFormatPr defaultRowHeight="15" x14ac:dyDescent="0.25"/>
  <cols>
    <col min="1" max="1" width="20.7109375" style="4" customWidth="1"/>
    <col min="2" max="4" width="12.7109375" style="6" customWidth="1"/>
    <col min="5" max="5" width="15.7109375" style="5" customWidth="1"/>
    <col min="6" max="6" width="15.7109375" style="6" customWidth="1"/>
    <col min="7" max="8" width="9.140625" style="6"/>
    <col min="9" max="10" width="9.140625" style="6" customWidth="1"/>
    <col min="11" max="11" width="9.140625" style="6"/>
    <col min="12" max="12" width="9.7109375" style="6" bestFit="1" customWidth="1"/>
    <col min="13" max="16" width="9.140625" style="6"/>
  </cols>
  <sheetData>
    <row r="1" spans="1:16" ht="24" customHeight="1" thickBot="1" x14ac:dyDescent="0.3">
      <c r="A1" s="373" t="s">
        <v>295</v>
      </c>
      <c r="B1" s="374"/>
      <c r="C1" s="374"/>
      <c r="D1" s="374"/>
      <c r="E1" s="374"/>
      <c r="F1" s="374"/>
      <c r="G1" s="374"/>
      <c r="H1" s="374"/>
      <c r="I1" s="375"/>
    </row>
    <row r="2" spans="1:16" ht="24" customHeight="1" thickBot="1" x14ac:dyDescent="0.3">
      <c r="A2" s="397" t="s">
        <v>161</v>
      </c>
      <c r="B2" s="398"/>
      <c r="C2" s="398"/>
      <c r="D2" s="398"/>
      <c r="E2" s="398"/>
      <c r="F2" s="398"/>
      <c r="G2" s="398"/>
      <c r="H2" s="398"/>
      <c r="I2" s="399"/>
    </row>
    <row r="3" spans="1:16" s="2" customFormat="1" ht="18" customHeight="1" thickBot="1" x14ac:dyDescent="0.35">
      <c r="A3" s="115" t="s">
        <v>132</v>
      </c>
      <c r="B3" s="62" t="s">
        <v>31</v>
      </c>
      <c r="C3" s="62" t="s">
        <v>32</v>
      </c>
      <c r="D3" s="62" t="s">
        <v>33</v>
      </c>
      <c r="E3" s="63" t="s">
        <v>34</v>
      </c>
      <c r="F3" s="402" t="s">
        <v>36</v>
      </c>
      <c r="G3" s="403"/>
      <c r="H3" s="403"/>
      <c r="I3" s="404"/>
      <c r="J3" s="3"/>
      <c r="K3" s="3"/>
      <c r="L3" s="3"/>
      <c r="M3" s="3"/>
      <c r="N3" s="3"/>
      <c r="O3" s="3"/>
      <c r="P3" s="3"/>
    </row>
    <row r="4" spans="1:16" ht="15.75" thickBot="1" x14ac:dyDescent="0.3">
      <c r="A4" s="64" t="s">
        <v>106</v>
      </c>
      <c r="B4" s="24">
        <v>8</v>
      </c>
      <c r="C4" s="24">
        <v>12</v>
      </c>
      <c r="D4" s="24">
        <v>16</v>
      </c>
      <c r="E4" s="25" t="s">
        <v>2</v>
      </c>
      <c r="F4" s="360" t="str">
        <f>IF(B4&lt;Constants!D7,"Vin_min is lower than UVLO Stop_max","Steady-state input operating voltages")</f>
        <v>Steady-state input operating voltages</v>
      </c>
      <c r="G4" s="361"/>
      <c r="H4" s="361"/>
      <c r="I4" s="362"/>
    </row>
    <row r="5" spans="1:16" ht="15.75" thickBot="1" x14ac:dyDescent="0.3">
      <c r="A5" s="65" t="s">
        <v>50</v>
      </c>
      <c r="B5" s="255" t="s">
        <v>22</v>
      </c>
      <c r="C5" s="259">
        <v>3.3</v>
      </c>
      <c r="D5" s="29" t="s">
        <v>22</v>
      </c>
      <c r="E5" s="13" t="s">
        <v>2</v>
      </c>
      <c r="F5" s="357" t="s">
        <v>87</v>
      </c>
      <c r="G5" s="358"/>
      <c r="H5" s="358"/>
      <c r="I5" s="359"/>
    </row>
    <row r="6" spans="1:16" ht="18.75" thickBot="1" x14ac:dyDescent="0.4">
      <c r="A6" s="65" t="s">
        <v>68</v>
      </c>
      <c r="B6" s="256" t="s">
        <v>22</v>
      </c>
      <c r="C6" s="258" t="s">
        <v>22</v>
      </c>
      <c r="D6" s="257">
        <v>3.5</v>
      </c>
      <c r="E6" s="25" t="s">
        <v>61</v>
      </c>
      <c r="F6" s="357" t="s">
        <v>88</v>
      </c>
      <c r="G6" s="358"/>
      <c r="H6" s="358"/>
      <c r="I6" s="359"/>
    </row>
    <row r="7" spans="1:16" ht="18.75" thickBot="1" x14ac:dyDescent="0.3">
      <c r="A7" s="82" t="s">
        <v>45</v>
      </c>
      <c r="B7" s="83" t="s">
        <v>22</v>
      </c>
      <c r="C7" s="84">
        <v>25</v>
      </c>
      <c r="D7" s="85" t="s">
        <v>22</v>
      </c>
      <c r="E7" s="86" t="s">
        <v>69</v>
      </c>
      <c r="F7" s="354" t="s">
        <v>49</v>
      </c>
      <c r="G7" s="355"/>
      <c r="H7" s="355"/>
      <c r="I7" s="356"/>
    </row>
    <row r="8" spans="1:16" ht="15.75" thickBot="1" x14ac:dyDescent="0.3">
      <c r="A8" s="65" t="s">
        <v>135</v>
      </c>
      <c r="B8" s="14" t="s">
        <v>22</v>
      </c>
      <c r="C8" s="26" t="s">
        <v>22</v>
      </c>
      <c r="D8" s="28">
        <v>1.6</v>
      </c>
      <c r="E8" s="25" t="s">
        <v>24</v>
      </c>
      <c r="F8" s="357" t="s">
        <v>155</v>
      </c>
      <c r="G8" s="358"/>
      <c r="H8" s="358"/>
      <c r="I8" s="359"/>
    </row>
    <row r="9" spans="1:16" ht="15.75" thickBot="1" x14ac:dyDescent="0.3">
      <c r="A9" s="65" t="s">
        <v>134</v>
      </c>
      <c r="B9" s="31" t="s">
        <v>22</v>
      </c>
      <c r="C9" s="30" t="s">
        <v>22</v>
      </c>
      <c r="D9" s="28">
        <v>1.6</v>
      </c>
      <c r="E9" s="25" t="s">
        <v>24</v>
      </c>
      <c r="F9" s="357" t="s">
        <v>155</v>
      </c>
      <c r="G9" s="358"/>
      <c r="H9" s="358"/>
      <c r="I9" s="359"/>
    </row>
    <row r="10" spans="1:16" ht="15.75" thickBot="1" x14ac:dyDescent="0.3">
      <c r="A10" s="64" t="s">
        <v>133</v>
      </c>
      <c r="B10" s="28">
        <v>-20</v>
      </c>
      <c r="C10" s="32" t="s">
        <v>22</v>
      </c>
      <c r="D10" s="28">
        <v>20</v>
      </c>
      <c r="E10" s="25" t="s">
        <v>24</v>
      </c>
      <c r="F10" s="357" t="s">
        <v>58</v>
      </c>
      <c r="G10" s="358"/>
      <c r="H10" s="358"/>
      <c r="I10" s="359"/>
    </row>
    <row r="11" spans="1:16" ht="15.75" thickBot="1" x14ac:dyDescent="0.3">
      <c r="A11" s="66" t="s">
        <v>64</v>
      </c>
      <c r="B11" s="27" t="s">
        <v>22</v>
      </c>
      <c r="C11" s="57">
        <v>0.75</v>
      </c>
      <c r="D11" s="29" t="s">
        <v>22</v>
      </c>
      <c r="E11" s="58" t="s">
        <v>37</v>
      </c>
      <c r="F11" s="379" t="s">
        <v>60</v>
      </c>
      <c r="G11" s="380"/>
      <c r="H11" s="380"/>
      <c r="I11" s="381"/>
    </row>
    <row r="12" spans="1:16" ht="18.75" thickBot="1" x14ac:dyDescent="0.3">
      <c r="A12" s="59" t="s">
        <v>143</v>
      </c>
      <c r="B12" s="60" t="s">
        <v>22</v>
      </c>
      <c r="C12" s="56">
        <v>34</v>
      </c>
      <c r="D12" s="76" t="s">
        <v>22</v>
      </c>
      <c r="E12" s="61" t="s">
        <v>23</v>
      </c>
      <c r="F12" s="391" t="s">
        <v>258</v>
      </c>
      <c r="G12" s="392"/>
      <c r="H12" s="392"/>
      <c r="I12" s="393"/>
    </row>
    <row r="13" spans="1:16" ht="18.75" thickBot="1" x14ac:dyDescent="0.3">
      <c r="A13" s="77" t="s">
        <v>101</v>
      </c>
      <c r="B13" s="78" t="s">
        <v>22</v>
      </c>
      <c r="C13" s="79" t="s">
        <v>22</v>
      </c>
      <c r="D13" s="80">
        <v>85</v>
      </c>
      <c r="E13" s="81" t="s">
        <v>100</v>
      </c>
      <c r="F13" s="382" t="s">
        <v>165</v>
      </c>
      <c r="G13" s="383"/>
      <c r="H13" s="383"/>
      <c r="I13" s="384"/>
    </row>
    <row r="14" spans="1:16" ht="18" customHeight="1" thickBot="1" x14ac:dyDescent="0.3">
      <c r="A14" s="364" t="s">
        <v>251</v>
      </c>
      <c r="B14" s="365"/>
      <c r="C14" s="366"/>
      <c r="D14" s="283" t="s">
        <v>34</v>
      </c>
      <c r="E14" s="365" t="s">
        <v>36</v>
      </c>
      <c r="F14" s="365"/>
      <c r="G14" s="365"/>
      <c r="H14" s="365"/>
      <c r="I14" s="367"/>
    </row>
    <row r="15" spans="1:16" ht="16.5" thickBot="1" x14ac:dyDescent="0.3">
      <c r="A15" s="317" t="s">
        <v>242</v>
      </c>
      <c r="B15" s="278">
        <v>0.2</v>
      </c>
      <c r="C15" s="279">
        <v>0.32</v>
      </c>
      <c r="D15" s="280" t="s">
        <v>239</v>
      </c>
      <c r="E15" s="368" t="s">
        <v>260</v>
      </c>
      <c r="F15" s="369"/>
      <c r="G15" s="369"/>
      <c r="H15" s="369"/>
      <c r="I15" s="370"/>
      <c r="M15" s="310"/>
    </row>
    <row r="16" spans="1:16" ht="15.75" thickBot="1" x14ac:dyDescent="0.3">
      <c r="A16" s="177" t="s">
        <v>243</v>
      </c>
      <c r="B16" s="278">
        <v>2</v>
      </c>
      <c r="C16" s="279">
        <v>0.46</v>
      </c>
      <c r="D16" s="281" t="s">
        <v>239</v>
      </c>
      <c r="E16" s="354" t="s">
        <v>261</v>
      </c>
      <c r="F16" s="355"/>
      <c r="G16" s="355"/>
      <c r="H16" s="355"/>
      <c r="I16" s="356"/>
    </row>
    <row r="17" spans="1:16" ht="16.5" thickBot="1" x14ac:dyDescent="0.3">
      <c r="A17" s="177" t="s">
        <v>244</v>
      </c>
      <c r="B17" s="278">
        <v>4</v>
      </c>
      <c r="C17" s="279">
        <v>0.51</v>
      </c>
      <c r="D17" s="281" t="s">
        <v>239</v>
      </c>
      <c r="E17" s="354" t="s">
        <v>262</v>
      </c>
      <c r="F17" s="355"/>
      <c r="G17" s="355"/>
      <c r="H17" s="355"/>
      <c r="I17" s="356"/>
      <c r="K17" s="308"/>
      <c r="L17" s="309"/>
      <c r="M17" s="309"/>
      <c r="N17" s="309"/>
      <c r="O17" s="309"/>
      <c r="P17" s="309"/>
    </row>
    <row r="18" spans="1:16" ht="16.5" thickBot="1" x14ac:dyDescent="0.3">
      <c r="A18" s="177" t="s">
        <v>287</v>
      </c>
      <c r="B18" s="400">
        <v>-1</v>
      </c>
      <c r="C18" s="401"/>
      <c r="D18" s="281" t="s">
        <v>240</v>
      </c>
      <c r="E18" s="355" t="s">
        <v>286</v>
      </c>
      <c r="F18" s="355"/>
      <c r="G18" s="355"/>
      <c r="H18" s="355"/>
      <c r="I18" s="356"/>
      <c r="K18" s="321"/>
      <c r="L18" s="309"/>
      <c r="M18" s="309"/>
      <c r="N18" s="309"/>
      <c r="O18" s="309"/>
      <c r="P18" s="309"/>
    </row>
    <row r="19" spans="1:16" ht="18.75" thickBot="1" x14ac:dyDescent="0.3">
      <c r="A19" s="324" t="s">
        <v>288</v>
      </c>
      <c r="B19" s="371">
        <v>57</v>
      </c>
      <c r="C19" s="372"/>
      <c r="D19" s="61" t="s">
        <v>23</v>
      </c>
      <c r="E19" s="320" t="s">
        <v>289</v>
      </c>
      <c r="F19" s="322"/>
      <c r="G19" s="322"/>
      <c r="H19" s="322"/>
      <c r="I19" s="323"/>
      <c r="L19" s="311" t="s">
        <v>290</v>
      </c>
    </row>
    <row r="20" spans="1:16" ht="32.1" customHeight="1" thickBot="1" x14ac:dyDescent="0.3">
      <c r="A20" s="394" t="s">
        <v>191</v>
      </c>
      <c r="B20" s="395"/>
      <c r="C20" s="395"/>
      <c r="D20" s="395"/>
      <c r="E20" s="395"/>
      <c r="F20" s="395"/>
      <c r="G20" s="395"/>
      <c r="H20" s="395"/>
      <c r="I20" s="396"/>
    </row>
    <row r="21" spans="1:16" s="2" customFormat="1" ht="18" customHeight="1" x14ac:dyDescent="0.3">
      <c r="A21" s="174" t="s">
        <v>30</v>
      </c>
      <c r="B21" s="307" t="s">
        <v>29</v>
      </c>
      <c r="C21" s="307" t="s">
        <v>34</v>
      </c>
      <c r="D21" s="388" t="s">
        <v>36</v>
      </c>
      <c r="E21" s="389"/>
      <c r="F21" s="389"/>
      <c r="G21" s="389"/>
      <c r="H21" s="389"/>
      <c r="I21" s="390"/>
      <c r="J21" s="3"/>
      <c r="K21" s="3"/>
      <c r="L21" s="3"/>
      <c r="M21" s="3"/>
      <c r="N21" s="3"/>
      <c r="O21" s="3"/>
      <c r="P21" s="3"/>
    </row>
    <row r="22" spans="1:16" s="2" customFormat="1" ht="18" customHeight="1" x14ac:dyDescent="0.3">
      <c r="A22" s="385" t="s">
        <v>270</v>
      </c>
      <c r="B22" s="386"/>
      <c r="C22" s="386"/>
      <c r="D22" s="386"/>
      <c r="E22" s="386"/>
      <c r="F22" s="386"/>
      <c r="G22" s="386"/>
      <c r="H22" s="386"/>
      <c r="I22" s="387"/>
      <c r="J22" s="3"/>
      <c r="K22" s="3"/>
      <c r="L22" s="3"/>
      <c r="M22" s="3"/>
      <c r="N22" s="3"/>
      <c r="O22" s="3"/>
      <c r="P22" s="3"/>
    </row>
    <row r="23" spans="1:16" ht="15.75" thickBot="1" x14ac:dyDescent="0.3">
      <c r="A23" s="67" t="s">
        <v>51</v>
      </c>
      <c r="B23" s="17">
        <f>Design!B26/Constants!C3*(Design!C5-Constants!C3)</f>
        <v>127.3</v>
      </c>
      <c r="C23" s="16" t="s">
        <v>59</v>
      </c>
      <c r="D23" s="21" t="s">
        <v>83</v>
      </c>
      <c r="E23" s="16"/>
      <c r="F23" s="18"/>
      <c r="G23" s="18"/>
      <c r="H23" s="18"/>
      <c r="I23" s="68"/>
    </row>
    <row r="24" spans="1:16" ht="15.75" thickBot="1" x14ac:dyDescent="0.3">
      <c r="A24" s="126" t="s">
        <v>53</v>
      </c>
      <c r="B24" s="332">
        <v>127</v>
      </c>
      <c r="C24" s="128" t="s">
        <v>192</v>
      </c>
      <c r="D24" s="21" t="s">
        <v>91</v>
      </c>
      <c r="E24" s="16"/>
      <c r="F24" s="18"/>
      <c r="G24" s="18"/>
      <c r="H24" s="18"/>
      <c r="I24" s="68"/>
    </row>
    <row r="25" spans="1:16" ht="15.75" thickBot="1" x14ac:dyDescent="0.3">
      <c r="A25" s="67" t="s">
        <v>52</v>
      </c>
      <c r="B25" s="17">
        <f>Constants!C3*Design!B24/(Design!C5-Constants!C3)</f>
        <v>40.10526315789474</v>
      </c>
      <c r="C25" s="16" t="s">
        <v>59</v>
      </c>
      <c r="D25" s="21" t="s">
        <v>84</v>
      </c>
      <c r="E25" s="16"/>
      <c r="F25" s="18"/>
      <c r="G25" s="18"/>
      <c r="H25" s="18"/>
      <c r="I25" s="68"/>
    </row>
    <row r="26" spans="1:16" ht="15.75" thickBot="1" x14ac:dyDescent="0.3">
      <c r="A26" s="130" t="s">
        <v>54</v>
      </c>
      <c r="B26" s="332">
        <v>40.200000000000003</v>
      </c>
      <c r="C26" s="131" t="s">
        <v>192</v>
      </c>
      <c r="D26" s="107" t="s">
        <v>91</v>
      </c>
      <c r="E26" s="72"/>
      <c r="F26" s="74"/>
      <c r="G26" s="74"/>
      <c r="H26" s="74"/>
      <c r="I26" s="75"/>
    </row>
    <row r="27" spans="1:16" ht="15.75" x14ac:dyDescent="0.25">
      <c r="A27" s="376" t="s">
        <v>178</v>
      </c>
      <c r="B27" s="377"/>
      <c r="C27" s="377"/>
      <c r="D27" s="377"/>
      <c r="E27" s="377"/>
      <c r="F27" s="377"/>
      <c r="G27" s="377"/>
      <c r="H27" s="377"/>
      <c r="I27" s="378"/>
    </row>
    <row r="28" spans="1:16" ht="15.75" x14ac:dyDescent="0.25">
      <c r="A28" s="67" t="s">
        <v>153</v>
      </c>
      <c r="B28" s="306">
        <f>Constants!B3*(1+(1-D8/100)*IF(ISBLANK(B24),B23,B24)/((1+D9/100)*IF(ISBLANK(B26),B25,B26)))</f>
        <v>3.1909253731343279</v>
      </c>
      <c r="C28" s="306">
        <f>Constants!C3*(1+IF(ISBLANK(B24),B23,B24)/IF(ISBLANK(B26),B25,B26))</f>
        <v>3.2940895522388054</v>
      </c>
      <c r="D28" s="306">
        <f>Constants!D3*(1+(1+D8/100)*IF(ISBLANK(B24),B23,B24)/((1-D9/100)*IF(ISBLANK(B26),B25,B26)))</f>
        <v>3.4223396836953448</v>
      </c>
      <c r="E28" s="21" t="s">
        <v>152</v>
      </c>
      <c r="F28" s="18"/>
      <c r="G28" s="18"/>
      <c r="H28" s="18"/>
      <c r="I28" s="68"/>
    </row>
    <row r="29" spans="1:16" ht="15.75" thickBot="1" x14ac:dyDescent="0.3">
      <c r="A29" s="67" t="s">
        <v>249</v>
      </c>
      <c r="B29" s="19">
        <f ca="1">MIN(Efficiency!AR4:AR17,Efficiency!AR19:AR32)</f>
        <v>21.972007781935009</v>
      </c>
      <c r="C29" s="19">
        <f ca="1">AVERAGE(Efficiency!X4:X17,Efficiency!X19:X32)</f>
        <v>30.954534268257628</v>
      </c>
      <c r="D29" s="19">
        <f ca="1">MAX(Efficiency!D4:D17,Efficiency!D19:D32)</f>
        <v>50.860368141134622</v>
      </c>
      <c r="E29" s="21" t="s">
        <v>250</v>
      </c>
      <c r="F29" s="249"/>
      <c r="G29" s="18"/>
      <c r="H29" s="18"/>
      <c r="I29" s="68"/>
    </row>
    <row r="30" spans="1:16" ht="15.75" customHeight="1" x14ac:dyDescent="0.25">
      <c r="A30" s="376" t="s">
        <v>136</v>
      </c>
      <c r="B30" s="377"/>
      <c r="C30" s="377"/>
      <c r="D30" s="377"/>
      <c r="E30" s="377"/>
      <c r="F30" s="377"/>
      <c r="G30" s="377"/>
      <c r="H30" s="377"/>
      <c r="I30" s="378"/>
      <c r="L30" s="5"/>
    </row>
    <row r="31" spans="1:16" ht="15.75" customHeight="1" thickBot="1" x14ac:dyDescent="0.3">
      <c r="A31" s="67" t="s">
        <v>41</v>
      </c>
      <c r="B31" s="122">
        <f ca="1">MIN($B$29/100/Constants!D$16/0.000000001/1000000, Constants!D14)</f>
        <v>1.3732504863709381</v>
      </c>
      <c r="C31" s="16" t="s">
        <v>15</v>
      </c>
      <c r="D31" s="22" t="s">
        <v>201</v>
      </c>
      <c r="E31" s="16"/>
      <c r="F31" s="18"/>
      <c r="G31" s="18"/>
      <c r="H31" s="18"/>
      <c r="I31" s="68"/>
      <c r="M31" s="5"/>
    </row>
    <row r="32" spans="1:16" ht="15.75" thickBot="1" x14ac:dyDescent="0.3">
      <c r="A32" s="67" t="s">
        <v>39</v>
      </c>
      <c r="B32" s="121">
        <v>0.5</v>
      </c>
      <c r="C32" s="16" t="s">
        <v>15</v>
      </c>
      <c r="D32" s="112" t="s">
        <v>199</v>
      </c>
      <c r="E32" s="173" t="str">
        <f ca="1">IF(D29&gt;B35," See the DROPOUT tab for operation approaching Vin_min "," ")</f>
        <v xml:space="preserve"> </v>
      </c>
      <c r="F32" s="152"/>
      <c r="G32" s="153"/>
      <c r="H32" s="144"/>
      <c r="I32" s="68"/>
      <c r="M32" s="5"/>
      <c r="N32" s="143"/>
    </row>
    <row r="33" spans="1:14" ht="18" x14ac:dyDescent="0.35">
      <c r="A33" s="126" t="s">
        <v>305</v>
      </c>
      <c r="B33" s="127">
        <f>IF(ISBLANK(B32),IF(B31&lt;1.5,107.54*B31^-1.093,IF(B31&gt;2.9,196.12*B31^-1.831,122.32*B31^-1.423)),IF(B32&lt;1.5,107.54*B32^-1.093,IF(B32&gt;2.9,196.12*B32^-1.831,122.32*B32^-1.423)))</f>
        <v>229.40126974129592</v>
      </c>
      <c r="C33" s="128" t="s">
        <v>192</v>
      </c>
      <c r="D33" s="22" t="s">
        <v>79</v>
      </c>
      <c r="E33" s="16"/>
      <c r="F33" s="18"/>
      <c r="G33" s="18"/>
      <c r="H33" s="18"/>
      <c r="I33" s="68"/>
      <c r="L33" s="5"/>
    </row>
    <row r="34" spans="1:14" ht="18" x14ac:dyDescent="0.35">
      <c r="A34" s="67" t="s">
        <v>248</v>
      </c>
      <c r="B34" s="139">
        <f>100*IF(ISBLANK(B32),B31,B32)*1000000*Constants!C16/1000000000</f>
        <v>4</v>
      </c>
      <c r="C34" s="139">
        <f>100*IF(ISBLANK(B32),B31,B32)*1000000*Constants!D16/1000000000</f>
        <v>8</v>
      </c>
      <c r="D34" s="21" t="s">
        <v>291</v>
      </c>
      <c r="E34" s="251"/>
      <c r="F34" s="18"/>
      <c r="G34" s="18"/>
      <c r="H34" s="18"/>
      <c r="I34" s="68"/>
      <c r="K34" s="142"/>
      <c r="L34" s="5"/>
      <c r="M34" s="5"/>
      <c r="N34" s="143"/>
    </row>
    <row r="35" spans="1:14" ht="18" x14ac:dyDescent="0.35">
      <c r="A35" s="67" t="s">
        <v>247</v>
      </c>
      <c r="B35" s="252">
        <f>100*(1-IF(ISBLANK(B32),B31,B32)*1000000*Constants!D17/1000000000)</f>
        <v>92</v>
      </c>
      <c r="C35" s="253">
        <f>100*(1-IF(ISBLANK(B32),B31,B32)*1000000*Constants!C17/1000000000)</f>
        <v>95</v>
      </c>
      <c r="D35" s="21" t="s">
        <v>292</v>
      </c>
      <c r="E35" s="251"/>
      <c r="F35" s="250"/>
      <c r="G35" s="250"/>
      <c r="H35" s="250"/>
      <c r="I35" s="68"/>
      <c r="K35" s="142"/>
      <c r="L35" s="5"/>
      <c r="M35" s="5"/>
      <c r="N35" s="143"/>
    </row>
    <row r="36" spans="1:14" ht="18.75" thickBot="1" x14ac:dyDescent="0.4">
      <c r="A36" s="70" t="s">
        <v>203</v>
      </c>
      <c r="B36" s="122">
        <f ca="1">MIN(1.5*B31, 1.5*IF(ISBLANK(B32),B31,B32), C29/100/(Constants!C16/1000000000)/1000000)</f>
        <v>0.75</v>
      </c>
      <c r="C36" s="72" t="s">
        <v>15</v>
      </c>
      <c r="D36" s="107" t="s">
        <v>269</v>
      </c>
      <c r="E36" s="72"/>
      <c r="F36" s="74"/>
      <c r="G36" s="74"/>
      <c r="H36" s="74"/>
      <c r="I36" s="75"/>
    </row>
    <row r="37" spans="1:14" ht="15.75" customHeight="1" x14ac:dyDescent="0.25">
      <c r="A37" s="376" t="s">
        <v>141</v>
      </c>
      <c r="B37" s="377"/>
      <c r="C37" s="377"/>
      <c r="D37" s="377"/>
      <c r="E37" s="377"/>
      <c r="F37" s="377"/>
      <c r="G37" s="377"/>
      <c r="H37" s="377"/>
      <c r="I37" s="378"/>
      <c r="K37" s="142"/>
      <c r="L37" s="5"/>
      <c r="M37" s="5"/>
      <c r="N37" s="143"/>
    </row>
    <row r="38" spans="1:14" ht="15.75" thickBot="1" x14ac:dyDescent="0.3">
      <c r="A38" s="67" t="s">
        <v>173</v>
      </c>
      <c r="B38" s="17">
        <f ca="1">MAX(1000000*(1+Constants!D4/100)*C5/((1+Constants!B15/100)*IF(ISBLANK(B32),B31,B32)*1000000)*(1-(1+Constants!D4/100)*C5/C4),1000000*0.77*(((1+Constants!D4/100)*C5+MAX(Efficiency!C4:C17))/((1+Constants!B15/100)*IF(ISBLANK(B32),B31,B32)*1000000)*(1-0.18/(D29/100))))/(1+B10/100)</f>
        <v>6.7026387281378597</v>
      </c>
      <c r="C38" s="16" t="s">
        <v>65</v>
      </c>
      <c r="D38" s="22" t="s">
        <v>174</v>
      </c>
      <c r="E38" s="16"/>
      <c r="F38" s="18"/>
      <c r="G38" s="18"/>
      <c r="H38" s="18"/>
      <c r="I38" s="69"/>
      <c r="J38" s="9"/>
      <c r="L38" s="5"/>
    </row>
    <row r="39" spans="1:14" ht="15.75" thickBot="1" x14ac:dyDescent="0.3">
      <c r="A39" s="126" t="s">
        <v>40</v>
      </c>
      <c r="B39" s="129">
        <v>6.8</v>
      </c>
      <c r="C39" s="128" t="s">
        <v>193</v>
      </c>
      <c r="D39" s="22" t="s">
        <v>180</v>
      </c>
      <c r="E39" s="16"/>
      <c r="F39" s="18"/>
      <c r="G39" s="18"/>
      <c r="H39" s="18"/>
      <c r="I39" s="68"/>
    </row>
    <row r="40" spans="1:14" ht="18.75" thickBot="1" x14ac:dyDescent="0.4">
      <c r="A40" s="145" t="s">
        <v>205</v>
      </c>
      <c r="B40" s="151">
        <v>20</v>
      </c>
      <c r="C40" s="146" t="s">
        <v>204</v>
      </c>
      <c r="D40" s="147" t="s">
        <v>206</v>
      </c>
      <c r="E40" s="148"/>
      <c r="F40" s="149"/>
      <c r="G40" s="149"/>
      <c r="H40" s="149"/>
      <c r="I40" s="150"/>
    </row>
    <row r="41" spans="1:14" ht="18" x14ac:dyDescent="0.35">
      <c r="A41" s="67" t="s">
        <v>47</v>
      </c>
      <c r="B41" s="17">
        <f ca="1">(C4-C5)/(IF(ISBLANK(B39),B38,B39)*0.000001)*(C29/100)/(IF(ISBLANK(B32),B31,B32)*1000000)</f>
        <v>0.79207190627600399</v>
      </c>
      <c r="C41" s="16" t="s">
        <v>62</v>
      </c>
      <c r="D41" s="22" t="s">
        <v>175</v>
      </c>
      <c r="E41" s="16"/>
      <c r="F41" s="18"/>
      <c r="G41" s="18"/>
      <c r="H41" s="18"/>
      <c r="I41" s="68"/>
      <c r="L41" s="5"/>
      <c r="M41" s="5"/>
      <c r="N41" s="5"/>
    </row>
    <row r="42" spans="1:14" ht="18" x14ac:dyDescent="0.35">
      <c r="A42" s="67" t="s">
        <v>46</v>
      </c>
      <c r="B42" s="17">
        <f ca="1">(D4-(1+Constants!B4/100)*C5)/((1+B10/100)*IF(ISBLANK(B39),B38,B39)*0.000001)*(B29/100)/((1+Constants!B15/100)*IF(ISBLANK(B32),B31,B32)*1000000)</f>
        <v>1.1421315319653715</v>
      </c>
      <c r="C42" s="16" t="s">
        <v>62</v>
      </c>
      <c r="D42" s="22" t="s">
        <v>142</v>
      </c>
      <c r="E42" s="16"/>
      <c r="F42" s="18"/>
      <c r="G42" s="18"/>
      <c r="H42" s="18"/>
      <c r="I42" s="68"/>
      <c r="L42" s="143"/>
    </row>
    <row r="43" spans="1:14" ht="18.75" thickBot="1" x14ac:dyDescent="0.4">
      <c r="A43" s="67" t="s">
        <v>187</v>
      </c>
      <c r="B43" s="17">
        <f ca="1">D6+B42/2</f>
        <v>4.0710657659826861</v>
      </c>
      <c r="C43" s="16" t="s">
        <v>63</v>
      </c>
      <c r="D43" s="22" t="s">
        <v>154</v>
      </c>
      <c r="E43" s="16"/>
      <c r="F43" s="18"/>
      <c r="G43" s="18"/>
      <c r="H43" s="18"/>
      <c r="I43" s="68"/>
    </row>
    <row r="44" spans="1:14" ht="18.75" thickBot="1" x14ac:dyDescent="0.3">
      <c r="A44" s="100" t="s">
        <v>147</v>
      </c>
      <c r="B44" s="102">
        <f ca="1">Constants!C28+Constants!C27*B29-B43</f>
        <v>0.64893095152880242</v>
      </c>
      <c r="C44" s="103" t="s">
        <v>11</v>
      </c>
      <c r="D44" s="104" t="s">
        <v>176</v>
      </c>
      <c r="E44" s="103"/>
      <c r="F44" s="105"/>
      <c r="G44" s="105"/>
      <c r="H44" s="105"/>
      <c r="I44" s="106"/>
      <c r="K44" s="347" t="s">
        <v>278</v>
      </c>
      <c r="L44" s="348"/>
      <c r="M44" s="349"/>
      <c r="N44" s="5"/>
    </row>
    <row r="45" spans="1:14" ht="15.75" customHeight="1" thickBot="1" x14ac:dyDescent="0.3">
      <c r="A45" s="376" t="s">
        <v>137</v>
      </c>
      <c r="B45" s="377"/>
      <c r="C45" s="377"/>
      <c r="D45" s="377"/>
      <c r="E45" s="377"/>
      <c r="F45" s="377"/>
      <c r="G45" s="377"/>
      <c r="H45" s="377"/>
      <c r="I45" s="378"/>
      <c r="K45" s="344" t="s">
        <v>280</v>
      </c>
      <c r="L45" s="345"/>
      <c r="M45" s="346"/>
    </row>
    <row r="46" spans="1:14" ht="15.75" customHeight="1" thickBot="1" x14ac:dyDescent="0.3">
      <c r="A46" s="110" t="s">
        <v>162</v>
      </c>
      <c r="B46" s="113">
        <v>50</v>
      </c>
      <c r="C46" s="111" t="s">
        <v>24</v>
      </c>
      <c r="D46" s="112" t="s">
        <v>171</v>
      </c>
      <c r="E46" s="108"/>
      <c r="F46" s="108"/>
      <c r="G46" s="108"/>
      <c r="H46" s="108"/>
      <c r="I46" s="109"/>
      <c r="K46" s="350" t="s">
        <v>279</v>
      </c>
      <c r="L46" s="351"/>
      <c r="M46" s="352"/>
    </row>
    <row r="47" spans="1:14" ht="15.75" thickBot="1" x14ac:dyDescent="0.3">
      <c r="A47" s="67" t="s">
        <v>140</v>
      </c>
      <c r="B47" s="139">
        <f>(IF(ISBLANK(B46),Constants!B35,B46))/Constants!B35*Constants!B36*Constants!B32/C5*Constants!B37/(IF(ISBLANK(B32),B31,B32))*D6/Constants!B33</f>
        <v>1</v>
      </c>
      <c r="C47" s="20" t="s">
        <v>131</v>
      </c>
      <c r="D47" s="135" t="s">
        <v>301</v>
      </c>
      <c r="E47" s="136"/>
      <c r="F47" s="137"/>
      <c r="G47" s="137"/>
      <c r="H47" s="137"/>
      <c r="I47" s="138"/>
      <c r="K47" s="353"/>
      <c r="L47" s="351"/>
      <c r="M47" s="352"/>
    </row>
    <row r="48" spans="1:14" ht="15.75" thickBot="1" x14ac:dyDescent="0.3">
      <c r="A48" s="126" t="s">
        <v>122</v>
      </c>
      <c r="B48" s="140">
        <v>1</v>
      </c>
      <c r="C48" s="132" t="s">
        <v>131</v>
      </c>
      <c r="D48" s="22" t="s">
        <v>302</v>
      </c>
      <c r="E48" s="16"/>
      <c r="F48" s="18"/>
      <c r="G48" s="18"/>
      <c r="H48" s="18"/>
      <c r="I48" s="68"/>
      <c r="K48" s="313" t="s">
        <v>271</v>
      </c>
      <c r="L48" s="314">
        <v>22</v>
      </c>
      <c r="M48" s="315" t="s">
        <v>274</v>
      </c>
    </row>
    <row r="49" spans="1:13" ht="15.75" thickBot="1" x14ac:dyDescent="0.3">
      <c r="A49" s="67" t="s">
        <v>124</v>
      </c>
      <c r="B49" s="15">
        <f>IF(ISBLANK(L48), IF(ISBLANK(B48),B47,B48)*(1-Constants!B39/100)*(Constants!C42*$C$5^4+Constants!C43*$C$5^3+Constants!C44*$C$5^2+Constants!C45*$C$5+Constants!C46), L48*IF(ISBLANK(L51),1,L51))</f>
        <v>22</v>
      </c>
      <c r="C49" s="16" t="s">
        <v>66</v>
      </c>
      <c r="D49" s="22" t="s">
        <v>172</v>
      </c>
      <c r="E49" s="16"/>
      <c r="F49" s="18"/>
      <c r="G49" s="18"/>
      <c r="H49" s="18"/>
      <c r="I49" s="68"/>
      <c r="K49" s="313" t="s">
        <v>272</v>
      </c>
      <c r="L49" s="314"/>
      <c r="M49" s="315" t="s">
        <v>275</v>
      </c>
    </row>
    <row r="50" spans="1:13" ht="18.75" thickBot="1" x14ac:dyDescent="0.4">
      <c r="A50" s="100" t="s">
        <v>121</v>
      </c>
      <c r="B50" s="101">
        <f ca="1">IF(ISBLANK(L48), 1000*(B41*Constants!B40/1000/IF(ISBLANK(B48),B47,B48)+B41/(8*(IF(ISBLANK(B32),B31,B32))*1000000*B49/1000000)+(C4-C5)/(IF(ISBLANK(B39),B38,B39)/1000000)*Constants!B41/1000000000),
1000*(B41*L49/1000/IF(ISBLANK(L51),1,L51)+B41/(8*(IF(ISBLANK(B32),B31,B32))*1000000*L48*IF(ISBLANK(L51),1,L51)/1000000)+(C4-C5)/(IF(ISBLANK(B39),B38,B39)/1000000)*L50/1000000000/IF(ISBLANK(L51),1,L51)) )</f>
        <v>9.0008171167727724</v>
      </c>
      <c r="C50" s="72" t="s">
        <v>129</v>
      </c>
      <c r="D50" s="73" t="s">
        <v>130</v>
      </c>
      <c r="E50" s="72"/>
      <c r="F50" s="74"/>
      <c r="G50" s="74"/>
      <c r="H50" s="74"/>
      <c r="I50" s="75"/>
      <c r="K50" s="313" t="s">
        <v>273</v>
      </c>
      <c r="L50" s="314"/>
      <c r="M50" s="315" t="s">
        <v>28</v>
      </c>
    </row>
    <row r="51" spans="1:13" ht="16.5" thickBot="1" x14ac:dyDescent="0.3">
      <c r="A51" s="125" t="s">
        <v>190</v>
      </c>
      <c r="B51" s="123"/>
      <c r="C51" s="16"/>
      <c r="D51" s="124"/>
      <c r="E51" s="16"/>
      <c r="F51" s="18"/>
      <c r="G51" s="18"/>
      <c r="H51" s="18"/>
      <c r="I51" s="68"/>
      <c r="K51" s="100" t="s">
        <v>281</v>
      </c>
      <c r="L51" s="84"/>
      <c r="M51" s="316" t="s">
        <v>131</v>
      </c>
    </row>
    <row r="52" spans="1:13" ht="18.75" thickBot="1" x14ac:dyDescent="0.4">
      <c r="A52" s="133" t="s">
        <v>194</v>
      </c>
      <c r="B52" s="134">
        <f ca="1">MAX(MAX(D6*SQRT(B29/100*(1-B29/100)),D6*SQRT(C29/100*(1-C29/100)), D6*SQRT(D29/100*(1-D29/100))),IF((B29&lt;50)*AND(D29&gt;50),D6*SQRT(0.5*(1-0.5)),0))</f>
        <v>1.75</v>
      </c>
      <c r="C52" s="128" t="s">
        <v>195</v>
      </c>
      <c r="D52" s="107" t="s">
        <v>188</v>
      </c>
      <c r="E52" s="16"/>
      <c r="F52" s="18"/>
      <c r="G52" s="18"/>
      <c r="H52" s="18"/>
      <c r="I52" s="68"/>
    </row>
    <row r="53" spans="1:13" ht="15.75" customHeight="1" x14ac:dyDescent="0.25">
      <c r="A53" s="376" t="s">
        <v>138</v>
      </c>
      <c r="B53" s="377"/>
      <c r="C53" s="377"/>
      <c r="D53" s="377"/>
      <c r="E53" s="377"/>
      <c r="F53" s="377"/>
      <c r="G53" s="377"/>
      <c r="H53" s="377"/>
      <c r="I53" s="378"/>
    </row>
    <row r="54" spans="1:13" x14ac:dyDescent="0.25">
      <c r="A54" s="126" t="s">
        <v>42</v>
      </c>
      <c r="B54" s="127">
        <f ca="1">IF(AND(B29&lt;50, D29&gt;50), 1000000*D6*0.5*(1-0.5)/((1+Constants!B15/100)*IF(ISBLANK(B32),B31,B32)*1000000*Constants!C9*Constants!B8/1000), MAX(1000000*D6*D29/100*(1-D29/100)/((1+Constants!B15/100)*IF(ISBLANK(B32),B31,B32)*1000000*Constants!C9*Constants!B8/1000), 1000000*D6*C29/100*(1-C29/100)/((1+Constants!B15/100)*IF(ISBLANK(B32),B31,B32)*1000000*Constants!C9*Constants!B8/1000), 1000000*D6*B29/100*(1-B29/100)/((1+Constants!B15/100)*IF(ISBLANK(B32),B31,B32)*1000000*Constants!C9*Constants!B8/1000)))</f>
        <v>9.7222222222222214</v>
      </c>
      <c r="C54" s="128" t="s">
        <v>196</v>
      </c>
      <c r="D54" s="22" t="s">
        <v>72</v>
      </c>
      <c r="E54" s="16"/>
      <c r="F54" s="18"/>
      <c r="G54" s="18"/>
      <c r="H54" s="18"/>
      <c r="I54" s="68"/>
    </row>
    <row r="55" spans="1:13" ht="18.75" thickBot="1" x14ac:dyDescent="0.4">
      <c r="A55" s="70" t="s">
        <v>189</v>
      </c>
      <c r="B55" s="71">
        <f ca="1">D6*SQRT(D29/100*(1-D29/100))</f>
        <v>1.7497408991506735</v>
      </c>
      <c r="C55" s="72" t="s">
        <v>67</v>
      </c>
      <c r="D55" s="73" t="s">
        <v>44</v>
      </c>
      <c r="E55" s="72"/>
      <c r="F55" s="74"/>
      <c r="G55" s="74"/>
      <c r="H55" s="74"/>
      <c r="I55" s="75"/>
    </row>
    <row r="56" spans="1:13" ht="15.75" customHeight="1" x14ac:dyDescent="0.25">
      <c r="A56" s="376" t="s">
        <v>139</v>
      </c>
      <c r="B56" s="377"/>
      <c r="C56" s="377"/>
      <c r="D56" s="377"/>
      <c r="E56" s="377"/>
      <c r="F56" s="377"/>
      <c r="G56" s="377"/>
      <c r="H56" s="377"/>
      <c r="I56" s="378"/>
    </row>
    <row r="57" spans="1:13" ht="18.75" thickBot="1" x14ac:dyDescent="0.4">
      <c r="A57" s="67" t="s">
        <v>70</v>
      </c>
      <c r="B57" s="87">
        <f>1000*IF(ISBLANK(B32),B31,B32)/11</f>
        <v>45.454545454545453</v>
      </c>
      <c r="C57" s="16" t="s">
        <v>18</v>
      </c>
      <c r="D57" s="22" t="s">
        <v>81</v>
      </c>
      <c r="E57" s="16"/>
      <c r="F57" s="18"/>
      <c r="G57" s="18"/>
      <c r="H57" s="18"/>
      <c r="I57" s="68"/>
    </row>
    <row r="58" spans="1:13" ht="18.75" thickBot="1" x14ac:dyDescent="0.4">
      <c r="A58" s="67" t="s">
        <v>43</v>
      </c>
      <c r="B58" s="23">
        <v>55</v>
      </c>
      <c r="C58" s="16" t="s">
        <v>18</v>
      </c>
      <c r="D58" s="22" t="s">
        <v>259</v>
      </c>
      <c r="E58" s="16"/>
      <c r="F58" s="18"/>
      <c r="G58" s="18"/>
      <c r="H58" s="18"/>
      <c r="I58" s="68"/>
    </row>
    <row r="59" spans="1:13" ht="18" x14ac:dyDescent="0.35">
      <c r="A59" s="67" t="s">
        <v>80</v>
      </c>
      <c r="B59" s="19">
        <f ca="1">C5/AVERAGE(B41/2, D6)</f>
        <v>1.6940295416637856</v>
      </c>
      <c r="C59" s="20" t="s">
        <v>73</v>
      </c>
      <c r="D59" s="22" t="s">
        <v>85</v>
      </c>
      <c r="E59" s="16"/>
      <c r="F59" s="18"/>
      <c r="G59" s="18"/>
      <c r="H59" s="18"/>
      <c r="I59" s="68"/>
    </row>
    <row r="60" spans="1:13" ht="18" x14ac:dyDescent="0.35">
      <c r="A60" s="67" t="s">
        <v>74</v>
      </c>
      <c r="B60" s="17">
        <f ca="1">1/(6.28*B59*B49/1000000)/1000</f>
        <v>4.2726438748420836</v>
      </c>
      <c r="C60" s="20" t="s">
        <v>18</v>
      </c>
      <c r="D60" s="22" t="s">
        <v>276</v>
      </c>
      <c r="E60" s="16"/>
      <c r="F60" s="18"/>
      <c r="G60" s="18"/>
      <c r="H60" s="18"/>
      <c r="I60" s="68"/>
    </row>
    <row r="61" spans="1:13" ht="18" x14ac:dyDescent="0.35">
      <c r="A61" s="67" t="s">
        <v>75</v>
      </c>
      <c r="B61" s="19">
        <f>IF(ISBLANK(L48), 1/(6.28*Constants!B40/(IF(ISBLANK(B48),B47,B48))/1000*B49/1000000)/1000, 1/(6.28*IF(ISBLANK(L49),Constants!B40,L49)/(IF(ISBLANK(L51),1,L51))/1000*B49/1000000)/1000)</f>
        <v>1206.3308241652192</v>
      </c>
      <c r="C61" s="20" t="s">
        <v>18</v>
      </c>
      <c r="D61" s="22" t="s">
        <v>82</v>
      </c>
      <c r="E61" s="16"/>
      <c r="F61" s="18"/>
      <c r="G61" s="18"/>
      <c r="H61" s="18"/>
      <c r="I61" s="68"/>
    </row>
    <row r="62" spans="1:13" ht="15.75" thickBot="1" x14ac:dyDescent="0.3">
      <c r="A62" s="67" t="s">
        <v>12</v>
      </c>
      <c r="B62" s="19">
        <f>IF(ISBLANK(B58),B57,B58)*1000*(C5/Constants!C3)*((2*PI()*B49/1000000)/(Constants!C13*Constants!C11/1000000))/1000</f>
        <v>58.662455414253841</v>
      </c>
      <c r="C62" s="16" t="s">
        <v>59</v>
      </c>
      <c r="D62" s="22" t="s">
        <v>277</v>
      </c>
      <c r="E62" s="16"/>
      <c r="F62" s="18"/>
      <c r="G62" s="18"/>
      <c r="H62" s="18"/>
      <c r="I62" s="68"/>
    </row>
    <row r="63" spans="1:13" ht="15.75" thickBot="1" x14ac:dyDescent="0.3">
      <c r="A63" s="126" t="s">
        <v>78</v>
      </c>
      <c r="B63" s="129">
        <v>100</v>
      </c>
      <c r="C63" s="128" t="s">
        <v>192</v>
      </c>
      <c r="D63" s="22" t="s">
        <v>86</v>
      </c>
      <c r="E63" s="16"/>
      <c r="F63" s="18"/>
      <c r="G63" s="18"/>
      <c r="H63" s="18"/>
      <c r="I63" s="68"/>
    </row>
    <row r="64" spans="1:13" x14ac:dyDescent="0.25">
      <c r="A64" s="126" t="s">
        <v>13</v>
      </c>
      <c r="B64" s="127">
        <f ca="1">1000000000/(6.28*IF(ISBLANK(B63),B62,B63)*1000*1.5*B60*1000)</f>
        <v>0.24845766611068848</v>
      </c>
      <c r="C64" s="128" t="s">
        <v>16</v>
      </c>
      <c r="D64" s="22" t="s">
        <v>89</v>
      </c>
      <c r="E64" s="16"/>
      <c r="F64" s="18"/>
      <c r="G64" s="18"/>
      <c r="H64" s="18"/>
      <c r="I64" s="68"/>
    </row>
    <row r="65" spans="1:9" ht="15.75" thickBot="1" x14ac:dyDescent="0.3">
      <c r="A65" s="130" t="s">
        <v>14</v>
      </c>
      <c r="B65" s="312">
        <f>IF(B61&gt;10*IF(ISBLANK(B58),B57,B58), MIN(1000000000000/(6.28*IF(ISBLANK(B63),B62,B63)*1000*7.5*IF(ISBLANK(B58),B57,B58)*1000),1000000000000/(6.28*IF(ISBLANK(B63),B62,B63)*1000*IF(ISBLANK(B32),B31,B32)*1000000/2)),
1000000000000/(6.28*IF(ISBLANK(B63),B62,B63)*1000*B61*1000))</f>
        <v>3.8602586373287009</v>
      </c>
      <c r="C65" s="131" t="s">
        <v>17</v>
      </c>
      <c r="D65" s="73" t="s">
        <v>90</v>
      </c>
      <c r="E65" s="72"/>
      <c r="F65" s="74"/>
      <c r="G65" s="74"/>
      <c r="H65" s="74"/>
      <c r="I65" s="75"/>
    </row>
    <row r="66" spans="1:9" x14ac:dyDescent="0.25">
      <c r="C66" s="7"/>
    </row>
    <row r="67" spans="1:9" x14ac:dyDescent="0.25">
      <c r="C67" s="10"/>
    </row>
    <row r="68" spans="1:9" x14ac:dyDescent="0.25">
      <c r="B68" s="8"/>
    </row>
    <row r="69" spans="1:9" x14ac:dyDescent="0.25">
      <c r="B69" s="8"/>
    </row>
    <row r="70" spans="1:9" x14ac:dyDescent="0.25">
      <c r="B70" s="333"/>
    </row>
    <row r="71" spans="1:9" x14ac:dyDescent="0.25">
      <c r="B71" s="8"/>
    </row>
    <row r="72" spans="1:9" x14ac:dyDescent="0.25">
      <c r="B72" s="5"/>
    </row>
    <row r="86" spans="1:9" x14ac:dyDescent="0.25">
      <c r="A86" s="363"/>
      <c r="B86" s="363"/>
      <c r="C86" s="363"/>
      <c r="D86" s="363"/>
      <c r="E86" s="363"/>
      <c r="F86" s="363"/>
      <c r="G86" s="363"/>
      <c r="H86" s="363"/>
      <c r="I86" s="363"/>
    </row>
  </sheetData>
  <sheetProtection password="CA84" sheet="1" objects="1" scenarios="1" selectLockedCells="1"/>
  <mergeCells count="34">
    <mergeCell ref="A1:I1"/>
    <mergeCell ref="A53:I53"/>
    <mergeCell ref="A56:I56"/>
    <mergeCell ref="A27:I27"/>
    <mergeCell ref="F11:I11"/>
    <mergeCell ref="F13:I13"/>
    <mergeCell ref="A22:I22"/>
    <mergeCell ref="A30:I30"/>
    <mergeCell ref="A37:I37"/>
    <mergeCell ref="A45:I45"/>
    <mergeCell ref="D21:I21"/>
    <mergeCell ref="F12:I12"/>
    <mergeCell ref="A20:I20"/>
    <mergeCell ref="A2:I2"/>
    <mergeCell ref="B18:C18"/>
    <mergeCell ref="F3:I3"/>
    <mergeCell ref="F4:I4"/>
    <mergeCell ref="F5:I5"/>
    <mergeCell ref="F6:I6"/>
    <mergeCell ref="A86:I86"/>
    <mergeCell ref="A14:C14"/>
    <mergeCell ref="E14:I14"/>
    <mergeCell ref="E18:I18"/>
    <mergeCell ref="E17:I17"/>
    <mergeCell ref="E16:I16"/>
    <mergeCell ref="E15:I15"/>
    <mergeCell ref="B19:C19"/>
    <mergeCell ref="K45:M45"/>
    <mergeCell ref="K44:M44"/>
    <mergeCell ref="K46:M47"/>
    <mergeCell ref="F7:I7"/>
    <mergeCell ref="F8:I8"/>
    <mergeCell ref="F9:I9"/>
    <mergeCell ref="F10:I10"/>
  </mergeCells>
  <conditionalFormatting sqref="B44">
    <cfRule type="cellIs" dxfId="8" priority="1" operator="lessThan">
      <formula>0</formula>
    </cfRule>
    <cfRule type="cellIs" dxfId="7" priority="2" operator="lessThan">
      <formula>0</formula>
    </cfRule>
    <cfRule type="cellIs" dxfId="6" priority="3" operator="lessThan">
      <formula>0</formula>
    </cfRule>
  </conditionalFormatting>
  <printOptions horizontalCentered="1"/>
  <pageMargins left="0.7" right="0.7" top="0.75" bottom="0.75" header="0.3" footer="0.3"/>
  <pageSetup scale="76" fitToHeight="2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C4" sqref="C4"/>
    </sheetView>
  </sheetViews>
  <sheetFormatPr defaultRowHeight="15" x14ac:dyDescent="0.25"/>
  <cols>
    <col min="1" max="1" width="20.7109375" customWidth="1"/>
    <col min="2" max="4" width="12.7109375" customWidth="1"/>
    <col min="5" max="6" width="15.7109375" customWidth="1"/>
  </cols>
  <sheetData>
    <row r="1" spans="1:11" ht="21.75" thickBot="1" x14ac:dyDescent="0.3">
      <c r="A1" s="373" t="s">
        <v>296</v>
      </c>
      <c r="B1" s="374"/>
      <c r="C1" s="374"/>
      <c r="D1" s="374"/>
      <c r="E1" s="374"/>
      <c r="F1" s="374"/>
      <c r="G1" s="374"/>
      <c r="H1" s="374"/>
      <c r="I1" s="375"/>
    </row>
    <row r="2" spans="1:11" ht="24" customHeight="1" thickBot="1" x14ac:dyDescent="0.3">
      <c r="A2" s="397" t="s">
        <v>161</v>
      </c>
      <c r="B2" s="398"/>
      <c r="C2" s="398"/>
      <c r="D2" s="398"/>
      <c r="E2" s="398"/>
      <c r="F2" s="398"/>
      <c r="G2" s="398"/>
      <c r="H2" s="398"/>
      <c r="I2" s="399"/>
    </row>
    <row r="3" spans="1:11" ht="19.5" thickBot="1" x14ac:dyDescent="0.35">
      <c r="A3" s="115" t="s">
        <v>132</v>
      </c>
      <c r="B3" s="63" t="s">
        <v>31</v>
      </c>
      <c r="C3" s="62" t="s">
        <v>32</v>
      </c>
      <c r="D3" s="63" t="s">
        <v>33</v>
      </c>
      <c r="E3" s="63" t="s">
        <v>34</v>
      </c>
      <c r="F3" s="402" t="s">
        <v>36</v>
      </c>
      <c r="G3" s="403"/>
      <c r="H3" s="403"/>
      <c r="I3" s="404"/>
    </row>
    <row r="4" spans="1:11" ht="18.75" thickBot="1" x14ac:dyDescent="0.4">
      <c r="A4" s="64" t="s">
        <v>218</v>
      </c>
      <c r="B4" s="30" t="s">
        <v>22</v>
      </c>
      <c r="C4" s="23">
        <v>147</v>
      </c>
      <c r="D4" s="289" t="s">
        <v>22</v>
      </c>
      <c r="E4" s="175" t="s">
        <v>15</v>
      </c>
      <c r="F4" s="408" t="s">
        <v>215</v>
      </c>
      <c r="G4" s="409"/>
      <c r="H4" s="409"/>
      <c r="I4" s="410"/>
    </row>
    <row r="5" spans="1:11" ht="18.75" thickBot="1" x14ac:dyDescent="0.4">
      <c r="A5" s="64" t="s">
        <v>221</v>
      </c>
      <c r="B5" s="14" t="s">
        <v>22</v>
      </c>
      <c r="C5" s="290">
        <f>1000000000/(C4*1000000)</f>
        <v>6.8027210884353737</v>
      </c>
      <c r="D5" s="14" t="s">
        <v>22</v>
      </c>
      <c r="E5" s="175" t="s">
        <v>4</v>
      </c>
      <c r="F5" s="183" t="s">
        <v>220</v>
      </c>
      <c r="G5" s="184"/>
      <c r="H5" s="184"/>
      <c r="I5" s="185"/>
    </row>
    <row r="6" spans="1:11" ht="18.75" thickBot="1" x14ac:dyDescent="0.3">
      <c r="A6" s="177" t="s">
        <v>214</v>
      </c>
      <c r="B6" s="83" t="s">
        <v>22</v>
      </c>
      <c r="C6" s="84">
        <v>120</v>
      </c>
      <c r="D6" s="281" t="s">
        <v>22</v>
      </c>
      <c r="E6" s="86" t="s">
        <v>17</v>
      </c>
      <c r="F6" s="354" t="s">
        <v>216</v>
      </c>
      <c r="G6" s="355"/>
      <c r="H6" s="355"/>
      <c r="I6" s="356"/>
    </row>
    <row r="7" spans="1:11" ht="15.75" thickBot="1" x14ac:dyDescent="0.3">
      <c r="A7" s="64" t="s">
        <v>229</v>
      </c>
      <c r="B7" s="30" t="s">
        <v>22</v>
      </c>
      <c r="C7" s="23">
        <v>50</v>
      </c>
      <c r="D7" s="289" t="s">
        <v>22</v>
      </c>
      <c r="E7" s="13" t="s">
        <v>17</v>
      </c>
      <c r="F7" s="357" t="s">
        <v>230</v>
      </c>
      <c r="G7" s="358"/>
      <c r="H7" s="358"/>
      <c r="I7" s="359"/>
    </row>
    <row r="8" spans="1:11" ht="18.75" thickBot="1" x14ac:dyDescent="0.3">
      <c r="A8" s="187" t="s">
        <v>227</v>
      </c>
      <c r="B8" s="188" t="s">
        <v>22</v>
      </c>
      <c r="C8" s="325">
        <v>2.5</v>
      </c>
      <c r="D8" s="282" t="s">
        <v>22</v>
      </c>
      <c r="E8" s="176" t="s">
        <v>237</v>
      </c>
      <c r="F8" s="382" t="s">
        <v>226</v>
      </c>
      <c r="G8" s="383"/>
      <c r="H8" s="383"/>
      <c r="I8" s="384"/>
    </row>
    <row r="9" spans="1:11" ht="32.1" customHeight="1" thickBot="1" x14ac:dyDescent="0.3">
      <c r="A9" s="405" t="s">
        <v>191</v>
      </c>
      <c r="B9" s="406"/>
      <c r="C9" s="406"/>
      <c r="D9" s="406"/>
      <c r="E9" s="406"/>
      <c r="F9" s="406"/>
      <c r="G9" s="406"/>
      <c r="H9" s="406"/>
      <c r="I9" s="407"/>
    </row>
    <row r="10" spans="1:11" ht="18" customHeight="1" x14ac:dyDescent="0.25">
      <c r="A10" s="174" t="s">
        <v>30</v>
      </c>
      <c r="B10" s="116" t="s">
        <v>29</v>
      </c>
      <c r="C10" s="116" t="s">
        <v>34</v>
      </c>
      <c r="D10" s="388" t="s">
        <v>36</v>
      </c>
      <c r="E10" s="389"/>
      <c r="F10" s="389"/>
      <c r="G10" s="389"/>
      <c r="H10" s="389"/>
      <c r="I10" s="390"/>
    </row>
    <row r="11" spans="1:11" ht="15.75" x14ac:dyDescent="0.25">
      <c r="A11" s="385" t="s">
        <v>213</v>
      </c>
      <c r="B11" s="386"/>
      <c r="C11" s="386"/>
      <c r="D11" s="386"/>
      <c r="E11" s="386"/>
      <c r="F11" s="386"/>
      <c r="G11" s="386"/>
      <c r="H11" s="386"/>
      <c r="I11" s="387"/>
    </row>
    <row r="12" spans="1:11" ht="18" x14ac:dyDescent="0.35">
      <c r="A12" s="67" t="s">
        <v>217</v>
      </c>
      <c r="B12" s="17">
        <f>1000000000*(C5/1000000000)^2/(4*3.14^2*(C6/1000000000000+C7/1000000000000))</f>
        <v>6.9023522919202289</v>
      </c>
      <c r="C12" s="16" t="s">
        <v>28</v>
      </c>
      <c r="D12" s="21" t="s">
        <v>225</v>
      </c>
      <c r="E12" s="16"/>
      <c r="F12" s="18"/>
      <c r="G12" s="18"/>
      <c r="H12" s="18"/>
      <c r="I12" s="68"/>
    </row>
    <row r="13" spans="1:11" ht="18.75" thickBot="1" x14ac:dyDescent="0.4">
      <c r="A13" s="67" t="s">
        <v>263</v>
      </c>
      <c r="B13" s="284">
        <f>SQRT(B12*0.000000001/(C6*0.000000000001+C7*0.000000000001))</f>
        <v>6.3719755418090793</v>
      </c>
      <c r="C13" s="285" t="s">
        <v>73</v>
      </c>
      <c r="D13" s="21" t="s">
        <v>223</v>
      </c>
      <c r="E13" s="136"/>
      <c r="F13" s="137"/>
      <c r="G13" s="137"/>
      <c r="H13" s="137"/>
      <c r="I13" s="138"/>
    </row>
    <row r="14" spans="1:11" ht="18.75" thickBot="1" x14ac:dyDescent="0.4">
      <c r="A14" s="126" t="s">
        <v>266</v>
      </c>
      <c r="B14" s="288">
        <v>6.34</v>
      </c>
      <c r="C14" s="132" t="s">
        <v>73</v>
      </c>
      <c r="D14" s="21" t="s">
        <v>265</v>
      </c>
      <c r="E14" s="136"/>
      <c r="F14" s="137"/>
      <c r="G14" s="137"/>
      <c r="H14" s="137"/>
      <c r="I14" s="138"/>
    </row>
    <row r="15" spans="1:11" ht="18.75" thickBot="1" x14ac:dyDescent="0.4">
      <c r="A15" s="67" t="s">
        <v>264</v>
      </c>
      <c r="B15" s="286">
        <f>1000000000000/C8*(C5/1000000000)/B14</f>
        <v>429.19375952273651</v>
      </c>
      <c r="C15" s="287" t="s">
        <v>17</v>
      </c>
      <c r="D15" s="21" t="s">
        <v>224</v>
      </c>
      <c r="E15" s="16"/>
      <c r="F15" s="18"/>
      <c r="G15" s="18"/>
      <c r="H15" s="18"/>
      <c r="I15" s="68"/>
    </row>
    <row r="16" spans="1:11" ht="18.75" thickBot="1" x14ac:dyDescent="0.4">
      <c r="A16" s="126" t="s">
        <v>267</v>
      </c>
      <c r="B16" s="326">
        <v>470</v>
      </c>
      <c r="C16" s="128" t="s">
        <v>17</v>
      </c>
      <c r="D16" s="21" t="s">
        <v>294</v>
      </c>
      <c r="E16" s="16"/>
      <c r="F16" s="18"/>
      <c r="G16" s="18"/>
      <c r="H16" s="18"/>
      <c r="I16" s="68"/>
      <c r="K16" s="12" t="s">
        <v>293</v>
      </c>
    </row>
    <row r="17" spans="1:9" ht="18.75" thickBot="1" x14ac:dyDescent="0.4">
      <c r="A17" s="180" t="s">
        <v>219</v>
      </c>
      <c r="B17" s="186">
        <f>1000*0.5*B16/1000000000000*Design!D4^2*IF(ISBLANK(Design!B32),Design!B31,Design!B32)*1000000</f>
        <v>30.08</v>
      </c>
      <c r="C17" s="181" t="s">
        <v>222</v>
      </c>
      <c r="D17" s="182" t="s">
        <v>228</v>
      </c>
      <c r="E17" s="178"/>
      <c r="F17" s="178"/>
      <c r="G17" s="178"/>
      <c r="H17" s="178"/>
      <c r="I17" s="179"/>
    </row>
    <row r="33" spans="3:3" x14ac:dyDescent="0.25">
      <c r="C33" s="12" t="s">
        <v>304</v>
      </c>
    </row>
  </sheetData>
  <sheetProtection password="CA84" sheet="1" objects="1" scenarios="1" selectLockedCells="1"/>
  <mergeCells count="10">
    <mergeCell ref="F8:I8"/>
    <mergeCell ref="A9:I9"/>
    <mergeCell ref="D10:I10"/>
    <mergeCell ref="A11:I11"/>
    <mergeCell ref="A1:I1"/>
    <mergeCell ref="A2:I2"/>
    <mergeCell ref="F3:I3"/>
    <mergeCell ref="F4:I4"/>
    <mergeCell ref="F6:I6"/>
    <mergeCell ref="F7:I7"/>
  </mergeCells>
  <printOptions horizontalCentered="1"/>
  <pageMargins left="0.7" right="0.7" top="0.75" bottom="0.75" header="0.3" footer="0.3"/>
  <pageSetup scale="76" fitToHeight="2" orientation="portrait" horizontalDpi="4294967293" verticalDpi="0" r:id="rId1"/>
  <ignoredErrors>
    <ignoredError sqref="C5 B1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6"/>
  <sheetViews>
    <sheetView topLeftCell="A17" zoomScaleNormal="100" workbookViewId="0">
      <selection activeCell="D86" sqref="D86"/>
    </sheetView>
  </sheetViews>
  <sheetFormatPr defaultRowHeight="15" x14ac:dyDescent="0.25"/>
  <cols>
    <col min="1" max="5" width="6.7109375" style="1" customWidth="1"/>
    <col min="6" max="20" width="6.7109375" style="197" customWidth="1"/>
    <col min="21" max="61" width="6.7109375" customWidth="1"/>
  </cols>
  <sheetData>
    <row r="1" spans="1:61" ht="24" customHeight="1" thickBot="1" x14ac:dyDescent="0.3">
      <c r="A1" s="411" t="s">
        <v>177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3"/>
    </row>
    <row r="2" spans="1:61" s="260" customFormat="1" ht="18" customHeight="1" x14ac:dyDescent="0.25">
      <c r="A2" s="276"/>
      <c r="B2" s="414">
        <f>Design!B4</f>
        <v>8</v>
      </c>
      <c r="C2" s="415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9"/>
      <c r="V2" s="414">
        <f>Design!C4</f>
        <v>12</v>
      </c>
      <c r="W2" s="415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9"/>
      <c r="AP2" s="414">
        <f>Design!D4</f>
        <v>16</v>
      </c>
      <c r="AQ2" s="415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318"/>
      <c r="BH2" s="318"/>
      <c r="BI2" s="319"/>
    </row>
    <row r="3" spans="1:61" s="200" customFormat="1" thickBot="1" x14ac:dyDescent="0.3">
      <c r="A3" s="277" t="s">
        <v>210</v>
      </c>
      <c r="B3" s="261" t="s">
        <v>92</v>
      </c>
      <c r="C3" s="254" t="s">
        <v>235</v>
      </c>
      <c r="D3" s="245" t="s">
        <v>233</v>
      </c>
      <c r="E3" s="245" t="s">
        <v>234</v>
      </c>
      <c r="F3" s="245" t="s">
        <v>93</v>
      </c>
      <c r="G3" s="245" t="s">
        <v>94</v>
      </c>
      <c r="H3" s="245" t="s">
        <v>95</v>
      </c>
      <c r="I3" s="245" t="s">
        <v>198</v>
      </c>
      <c r="J3" s="245" t="s">
        <v>252</v>
      </c>
      <c r="K3" s="245" t="s">
        <v>254</v>
      </c>
      <c r="L3" s="245" t="s">
        <v>255</v>
      </c>
      <c r="M3" s="245" t="s">
        <v>268</v>
      </c>
      <c r="N3" s="245" t="s">
        <v>284</v>
      </c>
      <c r="O3" s="245" t="s">
        <v>285</v>
      </c>
      <c r="P3" s="245" t="s">
        <v>110</v>
      </c>
      <c r="Q3" s="245" t="s">
        <v>246</v>
      </c>
      <c r="R3" s="245" t="s">
        <v>253</v>
      </c>
      <c r="S3" s="245" t="s">
        <v>256</v>
      </c>
      <c r="T3" s="245" t="s">
        <v>257</v>
      </c>
      <c r="U3" s="262" t="s">
        <v>241</v>
      </c>
      <c r="V3" s="261" t="s">
        <v>92</v>
      </c>
      <c r="W3" s="254" t="s">
        <v>235</v>
      </c>
      <c r="X3" s="245" t="s">
        <v>233</v>
      </c>
      <c r="Y3" s="245" t="s">
        <v>234</v>
      </c>
      <c r="Z3" s="245" t="s">
        <v>93</v>
      </c>
      <c r="AA3" s="245" t="s">
        <v>94</v>
      </c>
      <c r="AB3" s="245" t="s">
        <v>95</v>
      </c>
      <c r="AC3" s="245" t="s">
        <v>198</v>
      </c>
      <c r="AD3" s="245" t="s">
        <v>252</v>
      </c>
      <c r="AE3" s="245" t="s">
        <v>254</v>
      </c>
      <c r="AF3" s="245" t="s">
        <v>255</v>
      </c>
      <c r="AG3" s="245" t="s">
        <v>268</v>
      </c>
      <c r="AH3" s="245" t="s">
        <v>284</v>
      </c>
      <c r="AI3" s="245" t="s">
        <v>285</v>
      </c>
      <c r="AJ3" s="245" t="s">
        <v>110</v>
      </c>
      <c r="AK3" s="245" t="s">
        <v>246</v>
      </c>
      <c r="AL3" s="245" t="s">
        <v>253</v>
      </c>
      <c r="AM3" s="245" t="s">
        <v>256</v>
      </c>
      <c r="AN3" s="245" t="s">
        <v>257</v>
      </c>
      <c r="AO3" s="262" t="s">
        <v>241</v>
      </c>
      <c r="AP3" s="261" t="s">
        <v>92</v>
      </c>
      <c r="AQ3" s="254" t="s">
        <v>235</v>
      </c>
      <c r="AR3" s="245" t="s">
        <v>233</v>
      </c>
      <c r="AS3" s="245" t="s">
        <v>234</v>
      </c>
      <c r="AT3" s="245" t="s">
        <v>93</v>
      </c>
      <c r="AU3" s="245" t="s">
        <v>94</v>
      </c>
      <c r="AV3" s="245" t="s">
        <v>95</v>
      </c>
      <c r="AW3" s="245" t="s">
        <v>198</v>
      </c>
      <c r="AX3" s="245" t="s">
        <v>252</v>
      </c>
      <c r="AY3" s="245" t="s">
        <v>254</v>
      </c>
      <c r="AZ3" s="245" t="s">
        <v>255</v>
      </c>
      <c r="BA3" s="245" t="s">
        <v>268</v>
      </c>
      <c r="BB3" s="245" t="s">
        <v>284</v>
      </c>
      <c r="BC3" s="245" t="s">
        <v>285</v>
      </c>
      <c r="BD3" s="245" t="s">
        <v>110</v>
      </c>
      <c r="BE3" s="245" t="s">
        <v>246</v>
      </c>
      <c r="BF3" s="245" t="s">
        <v>253</v>
      </c>
      <c r="BG3" s="245" t="s">
        <v>256</v>
      </c>
      <c r="BH3" s="245" t="s">
        <v>257</v>
      </c>
      <c r="BI3" s="262" t="s">
        <v>241</v>
      </c>
    </row>
    <row r="4" spans="1:61" s="162" customFormat="1" ht="12.75" customHeight="1" x14ac:dyDescent="0.2">
      <c r="A4" s="201">
        <v>25</v>
      </c>
      <c r="B4" s="273">
        <v>0.25</v>
      </c>
      <c r="C4" s="203">
        <f ca="1">FORECAST(B4, OFFSET(Design!$C$15:$C$17,MATCH(B4,Design!$B$15:$B$17,1)-1,0,2), OFFSET(Design!$B$15:$B$17,MATCH(B4,Design!$B$15:$B$17,1)-1,0,2))+(N4-25)*Design!$B$18/1000</f>
        <v>0.32131137945157778</v>
      </c>
      <c r="D4" s="214">
        <f ca="1">IF(100*(Design!$C$28+C4+B4*IF(ISBLANK(Design!$B$40),Constants!$C$6,Design!$B$40)/1000*(1+Constants!$C$29/100*(O4-25)))/($B$2+C4-B4*P4/1000)&gt;Design!$C$35,Design!$C$35,100*(Design!$C$28+C4+B4*IF(ISBLANK(Design!$B$40),Constants!$C$6,Design!$B$40)/1000*(1+Constants!$C$29/100*(O4-25)))/($B$2+C4-B4*P4/1000))</f>
        <v>43.706364972622247</v>
      </c>
      <c r="E4" s="204">
        <f ca="1">IF(($B$2-B4*IF(ISBLANK(Design!$B$40),Constants!$C$6,Design!$B$40)/1000*(1+Constants!$C$29/100*(O4-25))-Design!$C$28) / (IF(ISBLANK(Design!$B$39),Design!$B$38,Design!$B$39)/1000000) * D4/100/(IF(ISBLANK(Design!$B$32),Design!$B$31,Design!$B$32)*1000000)&lt;0,0,($B$2-B4*IF(ISBLANK(Design!$B$40),Constants!$C$6,Design!$B$40)/1000*(1+Constants!$C$29/100*(O4-25))-Design!$C$28) / (IF(ISBLANK(Design!$B$39),Design!$B$38,Design!$B$39)/1000000) * D4/100/(IF(ISBLANK(Design!$B$32),Design!$B$31,Design!$B$32)*1000000))</f>
        <v>0.6042901772025937</v>
      </c>
      <c r="F4" s="205">
        <f>$B$2*Constants!$C$18/1000+IF(ISBLANK(Design!$B$32),Design!$B$31,Design!$B$32)*1000000*Constants!$D$22/1000000000*($B$2-Constants!$C$21)</f>
        <v>7.7879999999999998E-3</v>
      </c>
      <c r="G4" s="205">
        <f>$B$2*B4*($B$2/(Constants!$C$23*1000000000)*IF(ISBLANK(Design!$B$32),Design!$B$31,Design!$B$32)*1000000/2+$B$2/(Constants!$C$24*1000000000)*IF(ISBLANK(Design!$B$32),Design!$B$31,Design!$B$32)*1000000/2)</f>
        <v>9.4444444444444445E-3</v>
      </c>
      <c r="H4" s="205">
        <f t="shared" ref="H4:H17" ca="1" si="0">IF($D$86,1,D4/100*(B4^2+E4^2/12)*P4/1000)</f>
        <v>6.1400419446787594E-3</v>
      </c>
      <c r="I4" s="205">
        <f>Constants!$D$22/1000000000*Constants!$C$21*IF(ISBLANK(Design!$B$32),Design!$B$31,Design!$B$32)*1000000</f>
        <v>1.2499999999999999E-2</v>
      </c>
      <c r="J4" s="205">
        <f t="shared" ref="J4:J17" ca="1" si="1">SUM(F4:I4)</f>
        <v>3.5872486389123201E-2</v>
      </c>
      <c r="K4" s="205">
        <f t="shared" ref="K4:K17" ca="1" si="2">B4*C4*(1-D4/100)</f>
        <v>4.5219463812476011E-2</v>
      </c>
      <c r="L4" s="205">
        <f ca="1">B4^2*Design!$B$40/1000*(1+(O4-25)*(Constants!$C$29/100))</f>
        <v>1.2559916020391433E-3</v>
      </c>
      <c r="M4" s="205">
        <f>0.5*Snubber!$B$16/1000000000000*$B$2^2*Design!$B$32*1000000</f>
        <v>7.5200000000000006E-3</v>
      </c>
      <c r="N4" s="206">
        <f ca="1">$A4+K4*Design!$B$19</f>
        <v>27.577509437311132</v>
      </c>
      <c r="O4" s="206">
        <f ca="1">J4*Design!$C$12+A4</f>
        <v>26.219664537230187</v>
      </c>
      <c r="P4" s="206">
        <f ca="1">Constants!$D$19+Constants!$D$19*Constants!$C$20/100*(O4-25)</f>
        <v>151.17087795574099</v>
      </c>
      <c r="Q4" s="205">
        <f ca="1">(1-Constants!$C$17/1000000000*Design!$B$32*1000000) * ($B$2+C4-B4*P4/1000) - (C4+B4*Design!$B$40/1000)</f>
        <v>7.5430313475129314</v>
      </c>
      <c r="R4" s="205">
        <f ca="1">IF(Q4&gt;Design!$C$28,Design!$C$28,Q4)</f>
        <v>3.2940895522388054</v>
      </c>
      <c r="S4" s="205">
        <f t="shared" ref="S4:S17" ca="1" si="3">SUM(J4:M4)</f>
        <v>8.9867941803638343E-2</v>
      </c>
      <c r="T4" s="205">
        <f t="shared" ref="T4:T17" ca="1" si="4">R4*B4</f>
        <v>0.82352238805970135</v>
      </c>
      <c r="U4" s="263">
        <f t="shared" ref="U4:U17" ca="1" si="5">100*T4/(T4+S4)</f>
        <v>90.161058326828979</v>
      </c>
      <c r="V4" s="217">
        <v>0.25</v>
      </c>
      <c r="W4" s="218">
        <f ca="1">FORECAST(V4, OFFSET(Design!$C$15:$C$17,MATCH(V4,Design!$B$15:$B$17,1)-1,0,2), OFFSET(Design!$B$15:$B$17,MATCH(V4,Design!$B$15:$B$17,1)-1,0,2))+(AH4-25)*Design!$B$18/1000</f>
        <v>0.32066605661664505</v>
      </c>
      <c r="X4" s="219">
        <f ca="1">IF(100*(Design!$C$28+W4+V4*IF(ISBLANK(Design!$B$40),Constants!$C$6,Design!$B$40)/1000*(1+Constants!$C$29/100*(AI4-25)))/($V$2+W4-V4*AJ4/1000)&gt;Design!$C$35,Design!$C$35,100*(Design!$C$28+W4+V4*IF(ISBLANK(Design!$B$40),Constants!$C$6,Design!$B$40)/1000*(1+Constants!$C$29/100*(AI4-25)))/($V$2+W4-V4*AJ4/1000))</f>
        <v>29.470655355950488</v>
      </c>
      <c r="Y4" s="220">
        <f ca="1">($V$2-V4*IF(ISBLANK(Design!$B$40),Constants!$C$6,Design!$B$40)/1000*(1+Constants!$C$29/100*(AI4-25))-Design!$C$28) / (IF(ISBLANK(Design!$B$39),Design!$B$38,Design!$B$39)/1000000) * X4/100/(IF(ISBLANK(Design!$B$32),Design!$B$31,Design!$B$32)*1000000)</f>
        <v>0.75417770197585332</v>
      </c>
      <c r="Z4" s="221">
        <f>$V$2*Constants!$C$18/1000+IF(ISBLANK(Design!$B$32),Design!$B$31,Design!$B$32)*1000000*Constants!$D$22/1000000000*($V$2-Constants!$C$21)</f>
        <v>1.7932E-2</v>
      </c>
      <c r="AA4" s="221">
        <f>$V$2*V4*($V$2/(Constants!$C$23*1000000000)*IF(ISBLANK(Design!$B$32),Design!$B$31,Design!$B$32)*1000000/2+$V$2/(Constants!$C$24*1000000000)*IF(ISBLANK(Design!$B$32),Design!$B$31,Design!$B$32)*1000000/2)</f>
        <v>2.1250000000000002E-2</v>
      </c>
      <c r="AB4" s="221">
        <f t="shared" ref="AB4:AB17" ca="1" si="6">IF($D$86,1,X4/100*(V4^2+Y4^2/12)*AJ4/1000)</f>
        <v>4.9180127354174303E-3</v>
      </c>
      <c r="AC4" s="221">
        <f>Constants!$D$22/1000000000*Constants!$C$21*IF(ISBLANK(Design!$B$32),Design!$B$31,Design!$B$32)*1000000</f>
        <v>1.2499999999999999E-2</v>
      </c>
      <c r="AD4" s="221">
        <f t="shared" ref="AD4:AD17" ca="1" si="7">SUM(Z4:AC4)</f>
        <v>5.6600012735417427E-2</v>
      </c>
      <c r="AE4" s="221">
        <f t="shared" ref="AE4:AE17" ca="1" si="8">V4*W4*(1-X4/100)</f>
        <v>5.6540917056909133E-2</v>
      </c>
      <c r="AF4" s="221">
        <f ca="1">V4^2*Design!$B$40/1000*(1+(AI4-25)*(Constants!$C$29/100))</f>
        <v>1.259453617127133E-3</v>
      </c>
      <c r="AG4" s="221">
        <f>0.5*Snubber!$B$16/1000000000000*$V$2^2*Design!$B$32*1000000</f>
        <v>1.6920000000000001E-2</v>
      </c>
      <c r="AH4" s="222">
        <f ca="1">$A4+AE4*Design!$B$19</f>
        <v>28.222832272243821</v>
      </c>
      <c r="AI4" s="222">
        <f ca="1">AD4*Design!$C$12+$A4</f>
        <v>26.924400433004191</v>
      </c>
      <c r="AJ4" s="222">
        <f ca="1">Constants!$D$19+Constants!$D$19*Constants!$C$20/100*(AI4-25)</f>
        <v>151.84742441568403</v>
      </c>
      <c r="AK4" s="221">
        <f ca="1">(1-Constants!$C$17/1000000000*Design!$B$32*1000000) * ($V$2+W4-V4*AJ4/1000) - (W4+V4*Design!$B$40/1000)</f>
        <v>11.342902933870441</v>
      </c>
      <c r="AL4" s="221">
        <f ca="1">IF(AK4&gt;Design!$C$28,Design!$C$28,AK4)</f>
        <v>3.2940895522388054</v>
      </c>
      <c r="AM4" s="221">
        <f t="shared" ref="AM4:AM17" ca="1" si="9">SUM(AD4:AG4)</f>
        <v>0.13132038340945371</v>
      </c>
      <c r="AN4" s="221">
        <f t="shared" ref="AN4:AN17" ca="1" si="10">AL4*V4</f>
        <v>0.82352238805970135</v>
      </c>
      <c r="AO4" s="267">
        <f t="shared" ref="AO4:AO17" ca="1" si="11">100*AN4/(AN4+AM4)</f>
        <v>86.246910241840183</v>
      </c>
      <c r="AP4" s="231">
        <v>0.25</v>
      </c>
      <c r="AQ4" s="232">
        <f ca="1">FORECAST(AP4, OFFSET(Design!$C$15:$C$17,MATCH(AP4,Design!$B$15:$B$17,1)-1,0,2), OFFSET(Design!$B$15:$B$17,MATCH(AP4,Design!$B$15:$B$17,1)-1,0,2))+(BB4-25)*Design!$B$18/1000</f>
        <v>0.32033881030848049</v>
      </c>
      <c r="AR4" s="233">
        <f ca="1">IF(100*(Design!$C$28+AQ4+AP4*IF(ISBLANK(Design!$B$40),Constants!$C$6,Design!$B$40)/1000*(1+Constants!$C$29/100*(BC4-25)))/($AP$2+AQ4-AP4*BD4/1000)&gt;Design!$C$35,Design!$C$35,100*(Design!$C$28+AQ4+AP4*IF(ISBLANK(Design!$B$40),Constants!$C$6,Design!$B$40)/1000*(1+Constants!$C$29/100*(BC4-25)))/($AP$2+AQ4-AP4*BD4/1000))</f>
        <v>22.229741319117196</v>
      </c>
      <c r="AS4" s="234">
        <f ca="1">($AP$2-AP4*IF(ISBLANK(Design!$B$40),Constants!$C$6,Design!$B$40)/1000*(1+Constants!$C$29/100*(BC4-25))-Design!$C$28) / (IF(ISBLANK(Design!$B$39),Design!$B$38,Design!$B$39)/1000000) * AR4/100/(IF(ISBLANK(Design!$B$32),Design!$B$31,Design!$B$32)*1000000)</f>
        <v>0.83040214591294303</v>
      </c>
      <c r="AT4" s="235">
        <f>$AP$2*Constants!$C$18/1000+IF(ISBLANK(Design!$B$32),Design!$B$31,Design!$B$32)*1000000*Constants!$D$22/1000000000*($AP$2-Constants!$C$21)</f>
        <v>2.8076E-2</v>
      </c>
      <c r="AU4" s="235">
        <f>$AP$2*AP4*($AP$2/(Constants!$C$23*1000000000)*IF(ISBLANK(Design!$B$32),Design!$B$31,Design!$B$32)*1000000/2+$AP$2/(Constants!$C$24*1000000000)*IF(ISBLANK(Design!$B$32),Design!$B$31,Design!$B$32)*1000000/2)</f>
        <v>3.7777777777777778E-2</v>
      </c>
      <c r="AV4" s="235">
        <f t="shared" ref="AV4:AV17" ca="1" si="12">IF($D$86,1,AR4/100*(AP4^2+AS4^2/12)*BD4/1000)</f>
        <v>4.0718983037559059E-3</v>
      </c>
      <c r="AW4" s="235">
        <f>Constants!$D$22/1000000000*Constants!$C$21*IF(ISBLANK(Design!$B$32),Design!$B$31,Design!$B$32)*1000000</f>
        <v>1.2499999999999999E-2</v>
      </c>
      <c r="AX4" s="235">
        <f t="shared" ref="AX4:AX17" ca="1" si="13">SUM(AT4:AW4)</f>
        <v>8.2425676081533672E-2</v>
      </c>
      <c r="AY4" s="235">
        <f t="shared" ref="AY4:AY17" ca="1" si="14">AP4*AQ4*(1-AR4/100)</f>
        <v>6.228208035804194E-2</v>
      </c>
      <c r="AZ4" s="235">
        <f ca="1">AP4^2*Design!$B$40/1000*(1+(BC4-25)*(Constants!$C$29/100))</f>
        <v>1.2637671485475183E-3</v>
      </c>
      <c r="BA4" s="235">
        <f>0.5*Snubber!$B$16/1000000000000*$AP$2^2*Design!$B$32*1000000</f>
        <v>3.0080000000000003E-2</v>
      </c>
      <c r="BB4" s="236">
        <f ca="1">$A4+AY4*Design!$B$19</f>
        <v>28.550078580408389</v>
      </c>
      <c r="BC4" s="236">
        <f ca="1">AX4*Design!$C$12+$A4</f>
        <v>27.802472986772145</v>
      </c>
      <c r="BD4" s="236">
        <f ca="1">Constants!$D$19+Constants!$D$19*Constants!$C$20/100*(BC4-25)</f>
        <v>152.69037406730126</v>
      </c>
      <c r="BE4" s="235">
        <f ca="1">(1-Constants!$C$17/1000000000*Design!$B$32*1000000) * ($AP$2+AQ4-AP4*BD4/1000) - (AQ4+AP4*Design!$B$40/1000)</f>
        <v>15.14271909564359</v>
      </c>
      <c r="BF4" s="235">
        <f ca="1">IF(BE4&gt;Design!$C$28,Design!$C$28,BE4)</f>
        <v>3.2940895522388054</v>
      </c>
      <c r="BG4" s="235">
        <f t="shared" ref="BG4:BG17" ca="1" si="15">SUM(AX4:BA4)</f>
        <v>0.17605152358812312</v>
      </c>
      <c r="BH4" s="235">
        <f t="shared" ref="BH4:BH17" ca="1" si="16">BF4*AP4</f>
        <v>0.82352238805970135</v>
      </c>
      <c r="BI4" s="270">
        <f t="shared" ref="BI4:BI17" ca="1" si="17">100*BH4/(BH4+BG4)</f>
        <v>82.38734309322885</v>
      </c>
    </row>
    <row r="5" spans="1:61" s="162" customFormat="1" ht="12.75" x14ac:dyDescent="0.2">
      <c r="A5" s="154">
        <v>25</v>
      </c>
      <c r="B5" s="274">
        <f>B4+0.25</f>
        <v>0.5</v>
      </c>
      <c r="C5" s="156">
        <f ca="1">FORECAST(B5, OFFSET(Design!$C$15:$C$17,MATCH(B5,Design!$B$15:$B$17,1)-1,0,2), OFFSET(Design!$B$15:$B$17,MATCH(B5,Design!$B$15:$B$17,1)-1,0,2))+(N5-25)*Design!$B$18/1000</f>
        <v>0.33794765566314283</v>
      </c>
      <c r="D5" s="215">
        <f ca="1">IF(100*(Design!$C$28+C5+B5*IF(ISBLANK(Design!$B$40),Constants!$C$6,Design!$B$40)/1000*(1+Constants!$C$29/100*(O5-25)))/($B$2+C5-B5*P5/1000)&gt;Design!$C$35,Design!$C$35,100*(Design!$C$28+C5+B5*IF(ISBLANK(Design!$B$40),Constants!$C$6,Design!$B$40)/1000*(1+Constants!$C$29/100*(O5-25)))/($B$2+C5-B5*P5/1000))</f>
        <v>44.082717203152512</v>
      </c>
      <c r="E5" s="157">
        <f ca="1">IF(($B$2-B5*IF(ISBLANK(Design!$B$40),Constants!$C$6,Design!$B$40)/1000*(1+Constants!$C$29/100*(O5-25))-Design!$C$28) / (IF(ISBLANK(Design!$B$39),Design!$B$38,Design!$B$39)/1000000) * D5/100/(IF(ISBLANK(Design!$B$32),Design!$B$31,Design!$B$32)*1000000)&lt;0,0,($B$2-B5*IF(ISBLANK(Design!$B$40),Constants!$C$6,Design!$B$40)/1000*(1+Constants!$C$29/100*(O5-25))-Design!$C$28) / (IF(ISBLANK(Design!$B$39),Design!$B$38,Design!$B$39)/1000000) * D5/100/(IF(ISBLANK(Design!$B$32),Design!$B$31,Design!$B$32)*1000000))</f>
        <v>0.60883846111477391</v>
      </c>
      <c r="F5" s="207">
        <f>$B$2*Constants!$C$18/1000+IF(ISBLANK(Design!$B$32),Design!$B$31,Design!$B$32)*1000000*Constants!$D$22/1000000000*($B$2-Constants!$C$21)</f>
        <v>7.7879999999999998E-3</v>
      </c>
      <c r="G5" s="207">
        <f>$B$2*B5*($B$2/(Constants!$C$23*1000000000)*IF(ISBLANK(Design!$B$32),Design!$B$31,Design!$B$32)*1000000/2+$B$2/(Constants!$C$24*1000000000)*IF(ISBLANK(Design!$B$32),Design!$B$31,Design!$B$32)*1000000/2)</f>
        <v>1.8888888888888889E-2</v>
      </c>
      <c r="H5" s="207">
        <f t="shared" ca="1" si="0"/>
        <v>1.8807967870894227E-2</v>
      </c>
      <c r="I5" s="207">
        <f>Constants!$D$22/1000000000*Constants!$C$21*IF(ISBLANK(Design!$B$32),Design!$B$31,Design!$B$32)*1000000</f>
        <v>1.2499999999999999E-2</v>
      </c>
      <c r="J5" s="207">
        <f t="shared" ca="1" si="1"/>
        <v>5.7984856759783113E-2</v>
      </c>
      <c r="K5" s="207">
        <f t="shared" ca="1" si="2"/>
        <v>9.4485573161237985E-2</v>
      </c>
      <c r="L5" s="207">
        <f ca="1">B5^2*Design!$B$40/1000*(1+(O5-25)*(Constants!$C$29/100))</f>
        <v>5.0387396828012109E-3</v>
      </c>
      <c r="M5" s="207">
        <f>0.5*Snubber!$B$16/1000000000000*$B$2^2*Design!$B$32*1000000</f>
        <v>7.5200000000000006E-3</v>
      </c>
      <c r="N5" s="208">
        <f ca="1">$A5+K5*Design!$B$19</f>
        <v>30.385677670190567</v>
      </c>
      <c r="O5" s="208">
        <f ca="1">J5*Design!$C$12+A5</f>
        <v>26.971485129832626</v>
      </c>
      <c r="P5" s="208">
        <f ca="1">Constants!$D$19+Constants!$D$19*Constants!$C$20/100*(O5-25)</f>
        <v>151.89262572463932</v>
      </c>
      <c r="Q5" s="207">
        <f ca="1">(1-Constants!$C$17/1000000000*Design!$B$32*1000000) * ($B$2+C5-B5*P5/1000) - (C5+B5*Design!$B$40/1000)</f>
        <v>7.500953619997639</v>
      </c>
      <c r="R5" s="207">
        <f ca="1">IF(Q5&gt;Design!$C$28,Design!$C$28,Q5)</f>
        <v>3.2940895522388054</v>
      </c>
      <c r="S5" s="207">
        <f t="shared" ca="1" si="3"/>
        <v>0.16502916960382233</v>
      </c>
      <c r="T5" s="207">
        <f t="shared" ca="1" si="4"/>
        <v>1.6470447761194027</v>
      </c>
      <c r="U5" s="264">
        <f t="shared" ca="1" si="5"/>
        <v>90.892801588295171</v>
      </c>
      <c r="V5" s="223">
        <f>V4+0.25</f>
        <v>0.5</v>
      </c>
      <c r="W5" s="158">
        <f ca="1">FORECAST(V5, OFFSET(Design!$C$15:$C$17,MATCH(V5,Design!$B$15:$B$17,1)-1,0,2), OFFSET(Design!$B$15:$B$17,MATCH(V5,Design!$B$15:$B$17,1)-1,0,2))+(AH5-25)*Design!$B$18/1000</f>
        <v>0.3365892254145586</v>
      </c>
      <c r="X5" s="224">
        <f ca="1">IF(100*(Design!$C$28+W5+V5*IF(ISBLANK(Design!$B$40),Constants!$C$6,Design!$B$40)/1000*(1+Constants!$C$29/100*(AI5-25)))/($V$2+W5-V5*AJ5/1000)&gt;Design!$C$35,Design!$C$35,100*(Design!$C$28+W5+V5*IF(ISBLANK(Design!$B$40),Constants!$C$6,Design!$B$40)/1000*(1+Constants!$C$29/100*(AI5-25)))/($V$2+W5-V5*AJ5/1000))</f>
        <v>29.696096100641757</v>
      </c>
      <c r="Y5" s="159">
        <f ca="1">($V$2-V5*IF(ISBLANK(Design!$B$40),Constants!$C$6,Design!$B$40)/1000*(1+Constants!$C$29/100*(AI5-25))-Design!$C$28) / (IF(ISBLANK(Design!$B$39),Design!$B$38,Design!$B$39)/1000000) * X5/100/(IF(ISBLANK(Design!$B$32),Design!$B$31,Design!$B$32)*1000000)</f>
        <v>0.7595034166158261</v>
      </c>
      <c r="Z5" s="225">
        <f>$V$2*Constants!$C$18/1000+IF(ISBLANK(Design!$B$32),Design!$B$31,Design!$B$32)*1000000*Constants!$D$22/1000000000*($V$2-Constants!$C$21)</f>
        <v>1.7932E-2</v>
      </c>
      <c r="AA5" s="225">
        <f>$V$2*V5*($V$2/(Constants!$C$23*1000000000)*IF(ISBLANK(Design!$B$32),Design!$B$31,Design!$B$32)*1000000/2+$V$2/(Constants!$C$24*1000000000)*IF(ISBLANK(Design!$B$32),Design!$B$31,Design!$B$32)*1000000/2)</f>
        <v>4.2500000000000003E-2</v>
      </c>
      <c r="AB5" s="225">
        <f t="shared" ca="1" si="6"/>
        <v>1.3527085556633879E-2</v>
      </c>
      <c r="AC5" s="225">
        <f>Constants!$D$22/1000000000*Constants!$C$21*IF(ISBLANK(Design!$B$32),Design!$B$31,Design!$B$32)*1000000</f>
        <v>1.2499999999999999E-2</v>
      </c>
      <c r="AD5" s="225">
        <f t="shared" ca="1" si="7"/>
        <v>8.6459085556633883E-2</v>
      </c>
      <c r="AE5" s="225">
        <f t="shared" ca="1" si="8"/>
        <v>0.11831768278552279</v>
      </c>
      <c r="AF5" s="225">
        <f ca="1">V5^2*Design!$B$40/1000*(1+(AI5-25)*(Constants!$C$29/100))</f>
        <v>5.0577633150603873E-3</v>
      </c>
      <c r="AG5" s="225">
        <f>0.5*Snubber!$B$16/1000000000000*$V$2^2*Design!$B$32*1000000</f>
        <v>1.6920000000000001E-2</v>
      </c>
      <c r="AH5" s="226">
        <f ca="1">$A5+AE5*Design!$B$19</f>
        <v>31.744107918774798</v>
      </c>
      <c r="AI5" s="226">
        <f ca="1">AD5*Design!$C$12+$A5</f>
        <v>27.939608908925553</v>
      </c>
      <c r="AJ5" s="226">
        <f ca="1">Constants!$D$19+Constants!$D$19*Constants!$C$20/100*(AI5-25)</f>
        <v>152.82202455256854</v>
      </c>
      <c r="AK5" s="225">
        <f ca="1">(1-Constants!$C$17/1000000000*Design!$B$32*1000000) * ($V$2+W5-V5*AJ5/1000) - (W5+V5*Design!$B$40/1000)</f>
        <v>11.300580077066801</v>
      </c>
      <c r="AL5" s="225">
        <f ca="1">IF(AK5&gt;Design!$C$28,Design!$C$28,AK5)</f>
        <v>3.2940895522388054</v>
      </c>
      <c r="AM5" s="225">
        <f t="shared" ca="1" si="9"/>
        <v>0.22675453165721707</v>
      </c>
      <c r="AN5" s="225">
        <f t="shared" ca="1" si="10"/>
        <v>1.6470447761194027</v>
      </c>
      <c r="AO5" s="268">
        <f t="shared" ca="1" si="11"/>
        <v>87.898675663068971</v>
      </c>
      <c r="AP5" s="237">
        <f>AP4+0.25</f>
        <v>0.5</v>
      </c>
      <c r="AQ5" s="160">
        <f ca="1">FORECAST(AP5, OFFSET(Design!$C$15:$C$17,MATCH(AP5,Design!$B$15:$B$17,1)-1,0,2), OFFSET(Design!$B$15:$B$17,MATCH(AP5,Design!$B$15:$B$17,1)-1,0,2))+(BB5-25)*Design!$B$18/1000</f>
        <v>0.33590342361169873</v>
      </c>
      <c r="AR5" s="238">
        <f ca="1">IF(100*(Design!$C$28+AQ5+AP5*IF(ISBLANK(Design!$B$40),Constants!$C$6,Design!$B$40)/1000*(1+Constants!$C$29/100*(BC5-25)))/($AP$2+AQ5-AP5*BD5/1000)&gt;Design!$C$35,Design!$C$35,100*(Design!$C$28+AQ5+AP5*IF(ISBLANK(Design!$B$40),Constants!$C$6,Design!$B$40)/1000*(1+Constants!$C$29/100*(BC5-25)))/($AP$2+AQ5-AP5*BD5/1000))</f>
        <v>22.38882714533224</v>
      </c>
      <c r="AS5" s="161">
        <f ca="1">($AP$2-AP5*IF(ISBLANK(Design!$B$40),Constants!$C$6,Design!$B$40)/1000*(1+Constants!$C$29/100*(BC5-25))-Design!$C$28) / (IF(ISBLANK(Design!$B$39),Design!$B$38,Design!$B$39)/1000000) * AR5/100/(IF(ISBLANK(Design!$B$32),Design!$B$31,Design!$B$32)*1000000)</f>
        <v>0.83600809428142531</v>
      </c>
      <c r="AT5" s="239">
        <f>$AP$2*Constants!$C$18/1000+IF(ISBLANK(Design!$B$32),Design!$B$31,Design!$B$32)*1000000*Constants!$D$22/1000000000*($AP$2-Constants!$C$21)</f>
        <v>2.8076E-2</v>
      </c>
      <c r="AU5" s="239">
        <f>$AP$2*AP5*($AP$2/(Constants!$C$23*1000000000)*IF(ISBLANK(Design!$B$32),Design!$B$31,Design!$B$32)*1000000/2+$AP$2/(Constants!$C$24*1000000000)*IF(ISBLANK(Design!$B$32),Design!$B$31,Design!$B$32)*1000000/2)</f>
        <v>7.5555555555555556E-2</v>
      </c>
      <c r="AV5" s="239">
        <f t="shared" ca="1" si="12"/>
        <v>1.0637333716139355E-2</v>
      </c>
      <c r="AW5" s="239">
        <f>Constants!$D$22/1000000000*Constants!$C$21*IF(ISBLANK(Design!$B$32),Design!$B$31,Design!$B$32)*1000000</f>
        <v>1.2499999999999999E-2</v>
      </c>
      <c r="AX5" s="239">
        <f t="shared" ca="1" si="13"/>
        <v>0.12676888927169491</v>
      </c>
      <c r="AY5" s="239">
        <f t="shared" ca="1" si="14"/>
        <v>0.1303492933620112</v>
      </c>
      <c r="AZ5" s="239">
        <f ca="1">AP5^2*Design!$B$40/1000*(1+(BC5-25)*(Constants!$C$29/100))</f>
        <v>5.0846942949224197E-3</v>
      </c>
      <c r="BA5" s="239">
        <f>0.5*Snubber!$B$16/1000000000000*$AP$2^2*Design!$B$32*1000000</f>
        <v>3.0080000000000003E-2</v>
      </c>
      <c r="BB5" s="240">
        <f ca="1">$A5+AY5*Design!$B$19</f>
        <v>32.429909721634637</v>
      </c>
      <c r="BC5" s="240">
        <f ca="1">AX5*Design!$C$12+$A5</f>
        <v>29.310142235237628</v>
      </c>
      <c r="BD5" s="240">
        <f ca="1">Constants!$D$19+Constants!$D$19*Constants!$C$20/100*(BC5-25)</f>
        <v>154.13773654582812</v>
      </c>
      <c r="BE5" s="239">
        <f ca="1">(1-Constants!$C$17/1000000000*Design!$B$32*1000000) * ($AP$2+AQ5-AP5*BD5/1000) - (AQ5+AP5*Design!$B$40/1000)</f>
        <v>15.099989403960148</v>
      </c>
      <c r="BF5" s="239">
        <f ca="1">IF(BE5&gt;Design!$C$28,Design!$C$28,BE5)</f>
        <v>3.2940895522388054</v>
      </c>
      <c r="BG5" s="239">
        <f t="shared" ca="1" si="15"/>
        <v>0.29228287692862853</v>
      </c>
      <c r="BH5" s="239">
        <f t="shared" ca="1" si="16"/>
        <v>1.6470447761194027</v>
      </c>
      <c r="BI5" s="271">
        <f t="shared" ca="1" si="17"/>
        <v>84.928649036213699</v>
      </c>
    </row>
    <row r="6" spans="1:61" s="162" customFormat="1" ht="12.75" x14ac:dyDescent="0.2">
      <c r="A6" s="154">
        <v>25</v>
      </c>
      <c r="B6" s="274">
        <f t="shared" ref="B6:B17" si="18">B5+0.25</f>
        <v>0.75</v>
      </c>
      <c r="C6" s="156">
        <f ca="1">FORECAST(B6, OFFSET(Design!$C$15:$C$17,MATCH(B6,Design!$B$15:$B$17,1)-1,0,2), OFFSET(Design!$B$15:$B$17,MATCH(B6,Design!$B$15:$B$17,1)-1,0,2))+(N6-25)*Design!$B$18/1000</f>
        <v>0.35436447096630802</v>
      </c>
      <c r="D6" s="215">
        <f ca="1">IF(100*(Design!$C$28+C6+B6*IF(ISBLANK(Design!$B$40),Constants!$C$6,Design!$B$40)/1000*(1+Constants!$C$29/100*(O6-25)))/($B$2+C6-B6*P6/1000)&gt;Design!$C$35,Design!$C$35,100*(Design!$C$28+C6+B6*IF(ISBLANK(Design!$B$40),Constants!$C$6,Design!$B$40)/1000*(1+Constants!$C$29/100*(O6-25)))/($B$2+C6-B6*P6/1000))</f>
        <v>44.463253334269808</v>
      </c>
      <c r="E6" s="157">
        <f ca="1">IF(($B$2-B6*IF(ISBLANK(Design!$B$40),Constants!$C$6,Design!$B$40)/1000*(1+Constants!$C$29/100*(O6-25))-Design!$C$28) / (IF(ISBLANK(Design!$B$39),Design!$B$38,Design!$B$39)/1000000) * D6/100/(IF(ISBLANK(Design!$B$32),Design!$B$31,Design!$B$32)*1000000)&lt;0,0,($B$2-B6*IF(ISBLANK(Design!$B$40),Constants!$C$6,Design!$B$40)/1000*(1+Constants!$C$29/100*(O6-25))-Design!$C$28) / (IF(ISBLANK(Design!$B$39),Design!$B$38,Design!$B$39)/1000000) * D6/100/(IF(ISBLANK(Design!$B$32),Design!$B$31,Design!$B$32)*1000000))</f>
        <v>0.61342708389027167</v>
      </c>
      <c r="F6" s="207">
        <f>$B$2*Constants!$C$18/1000+IF(ISBLANK(Design!$B$32),Design!$B$31,Design!$B$32)*1000000*Constants!$D$22/1000000000*($B$2-Constants!$C$21)</f>
        <v>7.7879999999999998E-3</v>
      </c>
      <c r="G6" s="207">
        <f>$B$2*B6*($B$2/(Constants!$C$23*1000000000)*IF(ISBLANK(Design!$B$32),Design!$B$31,Design!$B$32)*1000000/2+$B$2/(Constants!$C$24*1000000000)*IF(ISBLANK(Design!$B$32),Design!$B$31,Design!$B$32)*1000000/2)</f>
        <v>2.8333333333333335E-2</v>
      </c>
      <c r="H6" s="207">
        <f t="shared" ca="1" si="0"/>
        <v>4.0374282645278536E-2</v>
      </c>
      <c r="I6" s="207">
        <f>Constants!$D$22/1000000000*Constants!$C$21*IF(ISBLANK(Design!$B$32),Design!$B$31,Design!$B$32)*1000000</f>
        <v>1.2499999999999999E-2</v>
      </c>
      <c r="J6" s="207">
        <f t="shared" ca="1" si="1"/>
        <v>8.8995615978611872E-2</v>
      </c>
      <c r="K6" s="207">
        <f t="shared" ca="1" si="2"/>
        <v>0.14760187388543511</v>
      </c>
      <c r="L6" s="207">
        <f ca="1">B6^2*Design!$B$40/1000*(1+(O6-25)*(Constants!$C$29/100))</f>
        <v>1.1383780434829448E-2</v>
      </c>
      <c r="M6" s="207">
        <f>0.5*Snubber!$B$16/1000000000000*$B$2^2*Design!$B$32*1000000</f>
        <v>7.5200000000000006E-3</v>
      </c>
      <c r="N6" s="208">
        <f ca="1">$A6+K6*Design!$B$19</f>
        <v>33.413306811469802</v>
      </c>
      <c r="O6" s="208">
        <f ca="1">J6*Design!$C$12+A6</f>
        <v>28.025850943272804</v>
      </c>
      <c r="P6" s="208">
        <f ca="1">Constants!$D$19+Constants!$D$19*Constants!$C$20/100*(O6-25)</f>
        <v>152.90481690554188</v>
      </c>
      <c r="Q6" s="207">
        <f ca="1">(1-Constants!$C$17/1000000000*Design!$B$32*1000000) * ($B$2+C6-B6*P6/1000) - (C6+B6*Design!$B$40/1000)</f>
        <v>7.4583370944064855</v>
      </c>
      <c r="R6" s="207">
        <f ca="1">IF(Q6&gt;Design!$C$28,Design!$C$28,Q6)</f>
        <v>3.2940895522388054</v>
      </c>
      <c r="S6" s="207">
        <f t="shared" ca="1" si="3"/>
        <v>0.25550127029887648</v>
      </c>
      <c r="T6" s="207">
        <f t="shared" ca="1" si="4"/>
        <v>2.470567164179104</v>
      </c>
      <c r="U6" s="264">
        <f t="shared" ca="1" si="5"/>
        <v>90.627481428293535</v>
      </c>
      <c r="V6" s="223">
        <f t="shared" ref="V6:V17" si="19">V5+0.25</f>
        <v>0.75</v>
      </c>
      <c r="W6" s="158">
        <f ca="1">FORECAST(V6, OFFSET(Design!$C$15:$C$17,MATCH(V6,Design!$B$15:$B$17,1)-1,0,2), OFFSET(Design!$B$15:$B$17,MATCH(V6,Design!$B$15:$B$17,1)-1,0,2))+(AH6-25)*Design!$B$18/1000</f>
        <v>0.35222578209692906</v>
      </c>
      <c r="X6" s="224">
        <f ca="1">IF(100*(Design!$C$28+W6+V6*IF(ISBLANK(Design!$B$40),Constants!$C$6,Design!$B$40)/1000*(1+Constants!$C$29/100*(AI6-25)))/($V$2+W6-V6*AJ6/1000)&gt;Design!$C$35,Design!$C$35,100*(Design!$C$28+W6+V6*IF(ISBLANK(Design!$B$40),Constants!$C$6,Design!$B$40)/1000*(1+Constants!$C$29/100*(AI6-25)))/($V$2+W6-V6*AJ6/1000))</f>
        <v>29.922702746381425</v>
      </c>
      <c r="Y6" s="159">
        <f ca="1">($V$2-V6*IF(ISBLANK(Design!$B$40),Constants!$C$6,Design!$B$40)/1000*(1+Constants!$C$29/100*(AI6-25))-Design!$C$28) / (IF(ISBLANK(Design!$B$39),Design!$B$38,Design!$B$39)/1000000) * X6/100/(IF(ISBLANK(Design!$B$32),Design!$B$31,Design!$B$32)*1000000)</f>
        <v>0.76484762420748931</v>
      </c>
      <c r="Z6" s="225">
        <f>$V$2*Constants!$C$18/1000+IF(ISBLANK(Design!$B$32),Design!$B$31,Design!$B$32)*1000000*Constants!$D$22/1000000000*($V$2-Constants!$C$21)</f>
        <v>1.7932E-2</v>
      </c>
      <c r="AA6" s="225">
        <f>$V$2*V6*($V$2/(Constants!$C$23*1000000000)*IF(ISBLANK(Design!$B$32),Design!$B$31,Design!$B$32)*1000000/2+$V$2/(Constants!$C$24*1000000000)*IF(ISBLANK(Design!$B$32),Design!$B$31,Design!$B$32)*1000000/2)</f>
        <v>6.3750000000000001E-2</v>
      </c>
      <c r="AB6" s="225">
        <f t="shared" ca="1" si="6"/>
        <v>2.8165755479898382E-2</v>
      </c>
      <c r="AC6" s="225">
        <f>Constants!$D$22/1000000000*Constants!$C$21*IF(ISBLANK(Design!$B$32),Design!$B$31,Design!$B$32)*1000000</f>
        <v>1.2499999999999999E-2</v>
      </c>
      <c r="AD6" s="225">
        <f t="shared" ca="1" si="7"/>
        <v>0.12234775547989839</v>
      </c>
      <c r="AE6" s="225">
        <f t="shared" ca="1" si="8"/>
        <v>0.18512273124296089</v>
      </c>
      <c r="AF6" s="225">
        <f ca="1">V6^2*Design!$B$40/1000*(1+(AI6-25)*(Constants!$C$29/100))</f>
        <v>1.1433916204731269E-2</v>
      </c>
      <c r="AG6" s="225">
        <f>0.5*Snubber!$B$16/1000000000000*$V$2^2*Design!$B$32*1000000</f>
        <v>1.6920000000000001E-2</v>
      </c>
      <c r="AH6" s="226">
        <f ca="1">$A6+AE6*Design!$B$19</f>
        <v>35.551995680848769</v>
      </c>
      <c r="AI6" s="226">
        <f ca="1">AD6*Design!$C$12+$A6</f>
        <v>29.159823686316546</v>
      </c>
      <c r="AJ6" s="226">
        <f ca="1">Constants!$D$19+Constants!$D$19*Constants!$C$20/100*(AI6-25)</f>
        <v>153.99343073886388</v>
      </c>
      <c r="AK6" s="225">
        <f ca="1">(1-Constants!$C$17/1000000000*Design!$B$32*1000000) * ($V$2+W6-V6*AJ6/1000) - (W6+V6*Design!$B$40/1000)</f>
        <v>11.257668391493711</v>
      </c>
      <c r="AL6" s="225">
        <f ca="1">IF(AK6&gt;Design!$C$28,Design!$C$28,AK6)</f>
        <v>3.2940895522388054</v>
      </c>
      <c r="AM6" s="225">
        <f t="shared" ca="1" si="9"/>
        <v>0.33582440292759053</v>
      </c>
      <c r="AN6" s="225">
        <f t="shared" ca="1" si="10"/>
        <v>2.470567164179104</v>
      </c>
      <c r="AO6" s="268">
        <f t="shared" ca="1" si="11"/>
        <v>88.033587085147374</v>
      </c>
      <c r="AP6" s="237">
        <f t="shared" ref="AP6:AP17" si="20">AP5+0.25</f>
        <v>0.75</v>
      </c>
      <c r="AQ6" s="160">
        <f ca="1">FORECAST(AP6, OFFSET(Design!$C$15:$C$17,MATCH(AP6,Design!$B$15:$B$17,1)-1,0,2), OFFSET(Design!$B$15:$B$17,MATCH(AP6,Design!$B$15:$B$17,1)-1,0,2))+(BB6-25)*Design!$B$18/1000</f>
        <v>0.35115097887055424</v>
      </c>
      <c r="AR6" s="238">
        <f ca="1">IF(100*(Design!$C$28+AQ6+AP6*IF(ISBLANK(Design!$B$40),Constants!$C$6,Design!$B$40)/1000*(1+Constants!$C$29/100*(BC6-25)))/($AP$2+AQ6-AP6*BD6/1000)&gt;Design!$C$35,Design!$C$35,100*(Design!$C$28+AQ6+AP6*IF(ISBLANK(Design!$B$40),Constants!$C$6,Design!$B$40)/1000*(1+Constants!$C$29/100*(BC6-25)))/($AP$2+AQ6-AP6*BD6/1000))</f>
        <v>22.548441944455696</v>
      </c>
      <c r="AS6" s="161">
        <f ca="1">($AP$2-AP6*IF(ISBLANK(Design!$B$40),Constants!$C$6,Design!$B$40)/1000*(1+Constants!$C$29/100*(BC6-25))-Design!$C$28) / (IF(ISBLANK(Design!$B$39),Design!$B$38,Design!$B$39)/1000000) * AR6/100/(IF(ISBLANK(Design!$B$32),Design!$B$31,Design!$B$32)*1000000)</f>
        <v>0.84162445681555498</v>
      </c>
      <c r="AT6" s="239">
        <f>$AP$2*Constants!$C$18/1000+IF(ISBLANK(Design!$B$32),Design!$B$31,Design!$B$32)*1000000*Constants!$D$22/1000000000*($AP$2-Constants!$C$21)</f>
        <v>2.8076E-2</v>
      </c>
      <c r="AU6" s="239">
        <f>$AP$2*AP6*($AP$2/(Constants!$C$23*1000000000)*IF(ISBLANK(Design!$B$32),Design!$B$31,Design!$B$32)*1000000/2+$AP$2/(Constants!$C$24*1000000000)*IF(ISBLANK(Design!$B$32),Design!$B$31,Design!$B$32)*1000000/2)</f>
        <v>0.11333333333333334</v>
      </c>
      <c r="AV6" s="239">
        <f t="shared" ca="1" si="12"/>
        <v>2.1825588862839855E-2</v>
      </c>
      <c r="AW6" s="239">
        <f>Constants!$D$22/1000000000*Constants!$C$21*IF(ISBLANK(Design!$B$32),Design!$B$31,Design!$B$32)*1000000</f>
        <v>1.2499999999999999E-2</v>
      </c>
      <c r="AX6" s="239">
        <f t="shared" ca="1" si="13"/>
        <v>0.1757349221961732</v>
      </c>
      <c r="AY6" s="239">
        <f t="shared" ca="1" si="14"/>
        <v>0.20397892819690455</v>
      </c>
      <c r="AZ6" s="239">
        <f ca="1">AP6^2*Design!$B$40/1000*(1+(BC6-25)*(Constants!$C$29/100))</f>
        <v>1.1514169128418343E-2</v>
      </c>
      <c r="BA6" s="239">
        <f>0.5*Snubber!$B$16/1000000000000*$AP$2^2*Design!$B$32*1000000</f>
        <v>3.0080000000000003E-2</v>
      </c>
      <c r="BB6" s="240">
        <f ca="1">$A6+AY6*Design!$B$19</f>
        <v>36.626798907223559</v>
      </c>
      <c r="BC6" s="240">
        <f ca="1">AX6*Design!$C$12+$A6</f>
        <v>30.974987354669889</v>
      </c>
      <c r="BD6" s="240">
        <f ca="1">Constants!$D$19+Constants!$D$19*Constants!$C$20/100*(BC6-25)</f>
        <v>155.73598786048308</v>
      </c>
      <c r="BE6" s="239">
        <f ca="1">(1-Constants!$C$17/1000000000*Design!$B$32*1000000) * ($AP$2+AQ6-AP6*BD6/1000) - (AQ6+AP6*Design!$B$40/1000)</f>
        <v>15.056480559705879</v>
      </c>
      <c r="BF6" s="239">
        <f ca="1">IF(BE6&gt;Design!$C$28,Design!$C$28,BE6)</f>
        <v>3.2940895522388054</v>
      </c>
      <c r="BG6" s="239">
        <f t="shared" ca="1" si="15"/>
        <v>0.4213080195214961</v>
      </c>
      <c r="BH6" s="239">
        <f t="shared" ca="1" si="16"/>
        <v>2.470567164179104</v>
      </c>
      <c r="BI6" s="271">
        <f t="shared" ca="1" si="17"/>
        <v>85.431320760449708</v>
      </c>
    </row>
    <row r="7" spans="1:61" s="162" customFormat="1" ht="12.75" x14ac:dyDescent="0.2">
      <c r="A7" s="154">
        <v>25</v>
      </c>
      <c r="B7" s="274">
        <f t="shared" si="18"/>
        <v>1</v>
      </c>
      <c r="C7" s="156">
        <f ca="1">FORECAST(B7, OFFSET(Design!$C$15:$C$17,MATCH(B7,Design!$B$15:$B$17,1)-1,0,2), OFFSET(Design!$B$15:$B$17,MATCH(B7,Design!$B$15:$B$17,1)-1,0,2))+(N7-25)*Design!$B$18/1000</f>
        <v>0.37057301336570908</v>
      </c>
      <c r="D7" s="215">
        <f ca="1">IF(100*(Design!$C$28+C7+B7*IF(ISBLANK(Design!$B$40),Constants!$C$6,Design!$B$40)/1000*(1+Constants!$C$29/100*(O7-25)))/($B$2+C7-B7*P7/1000)&gt;Design!$C$35,Design!$C$35,100*(Design!$C$28+C7+B7*IF(ISBLANK(Design!$B$40),Constants!$C$6,Design!$B$40)/1000*(1+Constants!$C$29/100*(O7-25)))/($B$2+C7-B7*P7/1000))</f>
        <v>44.849711708419505</v>
      </c>
      <c r="E7" s="157">
        <f ca="1">IF(($B$2-B7*IF(ISBLANK(Design!$B$40),Constants!$C$6,Design!$B$40)/1000*(1+Constants!$C$29/100*(O7-25))-Design!$C$28) / (IF(ISBLANK(Design!$B$39),Design!$B$38,Design!$B$39)/1000000) * D7/100/(IF(ISBLANK(Design!$B$32),Design!$B$31,Design!$B$32)*1000000)&lt;0,0,($B$2-B7*IF(ISBLANK(Design!$B$40),Constants!$C$6,Design!$B$40)/1000*(1+Constants!$C$29/100*(O7-25))-Design!$C$28) / (IF(ISBLANK(Design!$B$39),Design!$B$38,Design!$B$39)/1000000) * D7/100/(IF(ISBLANK(Design!$B$32),Design!$B$31,Design!$B$32)*1000000))</f>
        <v>0.61807711412925415</v>
      </c>
      <c r="F7" s="207">
        <f>$B$2*Constants!$C$18/1000+IF(ISBLANK(Design!$B$32),Design!$B$31,Design!$B$32)*1000000*Constants!$D$22/1000000000*($B$2-Constants!$C$21)</f>
        <v>7.7879999999999998E-3</v>
      </c>
      <c r="G7" s="207">
        <f>$B$2*B7*($B$2/(Constants!$C$23*1000000000)*IF(ISBLANK(Design!$B$32),Design!$B$31,Design!$B$32)*1000000/2+$B$2/(Constants!$C$24*1000000000)*IF(ISBLANK(Design!$B$32),Design!$B$31,Design!$B$32)*1000000/2)</f>
        <v>3.7777777777777778E-2</v>
      </c>
      <c r="H7" s="207">
        <f t="shared" ca="1" si="0"/>
        <v>7.1371394980050962E-2</v>
      </c>
      <c r="I7" s="207">
        <f>Constants!$D$22/1000000000*Constants!$C$21*IF(ISBLANK(Design!$B$32),Design!$B$31,Design!$B$32)*1000000</f>
        <v>1.2499999999999999E-2</v>
      </c>
      <c r="J7" s="207">
        <f t="shared" ca="1" si="1"/>
        <v>0.12943717275782873</v>
      </c>
      <c r="K7" s="207">
        <f t="shared" ca="1" si="2"/>
        <v>0.20437208520198569</v>
      </c>
      <c r="L7" s="207">
        <f ca="1">B7^2*Design!$B$40/1000*(1+(O7-25)*(Constants!$C$29/100))</f>
        <v>2.0345907900478018E-2</v>
      </c>
      <c r="M7" s="207">
        <f>0.5*Snubber!$B$16/1000000000000*$B$2^2*Design!$B$32*1000000</f>
        <v>7.5200000000000006E-3</v>
      </c>
      <c r="N7" s="208">
        <f ca="1">$A7+K7*Design!$B$19</f>
        <v>36.649208856513184</v>
      </c>
      <c r="O7" s="208">
        <f ca="1">J7*Design!$C$12+A7</f>
        <v>29.400863873766177</v>
      </c>
      <c r="P7" s="208">
        <f ca="1">Constants!$D$19+Constants!$D$19*Constants!$C$20/100*(O7-25)</f>
        <v>154.22482931881552</v>
      </c>
      <c r="Q7" s="207">
        <f ca="1">(1-Constants!$C$17/1000000000*Design!$B$32*1000000) * ($B$2+C7-B7*P7/1000) - (C7+B7*Design!$B$40/1000)</f>
        <v>7.4149577614788393</v>
      </c>
      <c r="R7" s="207">
        <f ca="1">IF(Q7&gt;Design!$C$28,Design!$C$28,Q7)</f>
        <v>3.2940895522388054</v>
      </c>
      <c r="S7" s="207">
        <f t="shared" ca="1" si="3"/>
        <v>0.36167516586029247</v>
      </c>
      <c r="T7" s="207">
        <f t="shared" ca="1" si="4"/>
        <v>3.2940895522388054</v>
      </c>
      <c r="U7" s="264">
        <f t="shared" ca="1" si="5"/>
        <v>90.10671654907938</v>
      </c>
      <c r="V7" s="223">
        <f t="shared" si="19"/>
        <v>1</v>
      </c>
      <c r="W7" s="158">
        <f ca="1">FORECAST(V7, OFFSET(Design!$C$15:$C$17,MATCH(V7,Design!$B$15:$B$17,1)-1,0,2), OFFSET(Design!$B$15:$B$17,MATCH(V7,Design!$B$15:$B$17,1)-1,0,2))+(AH7-25)*Design!$B$18/1000</f>
        <v>0.36758715308960055</v>
      </c>
      <c r="X7" s="224">
        <f ca="1">IF(100*(Design!$C$28+W7+V7*IF(ISBLANK(Design!$B$40),Constants!$C$6,Design!$B$40)/1000*(1+Constants!$C$29/100*(AI7-25)))/($V$2+W7-V7*AJ7/1000)&gt;Design!$C$35,Design!$C$35,100*(Design!$C$28+W7+V7*IF(ISBLANK(Design!$B$40),Constants!$C$6,Design!$B$40)/1000*(1+Constants!$C$29/100*(AI7-25)))/($V$2+W7-V7*AJ7/1000))</f>
        <v>30.151095689859503</v>
      </c>
      <c r="Y7" s="159">
        <f ca="1">($V$2-V7*IF(ISBLANK(Design!$B$40),Constants!$C$6,Design!$B$40)/1000*(1+Constants!$C$29/100*(AI7-25))-Design!$C$28) / (IF(ISBLANK(Design!$B$39),Design!$B$38,Design!$B$39)/1000000) * X7/100/(IF(ISBLANK(Design!$B$32),Design!$B$31,Design!$B$32)*1000000)</f>
        <v>0.77022486687726388</v>
      </c>
      <c r="Z7" s="225">
        <f>$V$2*Constants!$C$18/1000+IF(ISBLANK(Design!$B$32),Design!$B$31,Design!$B$32)*1000000*Constants!$D$22/1000000000*($V$2-Constants!$C$21)</f>
        <v>1.7932E-2</v>
      </c>
      <c r="AA7" s="225">
        <f>$V$2*V7*($V$2/(Constants!$C$23*1000000000)*IF(ISBLANK(Design!$B$32),Design!$B$31,Design!$B$32)*1000000/2+$V$2/(Constants!$C$24*1000000000)*IF(ISBLANK(Design!$B$32),Design!$B$31,Design!$B$32)*1000000/2)</f>
        <v>8.5000000000000006E-2</v>
      </c>
      <c r="AB7" s="225">
        <f t="shared" ca="1" si="6"/>
        <v>4.9162427651232091E-2</v>
      </c>
      <c r="AC7" s="225">
        <f>Constants!$D$22/1000000000*Constants!$C$21*IF(ISBLANK(Design!$B$32),Design!$B$31,Design!$B$32)*1000000</f>
        <v>1.2499999999999999E-2</v>
      </c>
      <c r="AD7" s="225">
        <f t="shared" ca="1" si="7"/>
        <v>0.16459442765123211</v>
      </c>
      <c r="AE7" s="225">
        <f t="shared" ca="1" si="8"/>
        <v>0.25675559881792476</v>
      </c>
      <c r="AF7" s="225">
        <f ca="1">V7^2*Design!$B$40/1000*(1+(AI7-25)*(Constants!$C$29/100))</f>
        <v>2.0439862148455154E-2</v>
      </c>
      <c r="AG7" s="225">
        <f>0.5*Snubber!$B$16/1000000000000*$V$2^2*Design!$B$32*1000000</f>
        <v>1.6920000000000001E-2</v>
      </c>
      <c r="AH7" s="226">
        <f ca="1">$A7+AE7*Design!$B$19</f>
        <v>39.635069132621709</v>
      </c>
      <c r="AI7" s="226">
        <f ca="1">AD7*Design!$C$12+$A7</f>
        <v>30.59621054014189</v>
      </c>
      <c r="AJ7" s="226">
        <f ca="1">Constants!$D$19+Constants!$D$19*Constants!$C$20/100*(AI7-25)</f>
        <v>155.37236211853622</v>
      </c>
      <c r="AK7" s="225">
        <f ca="1">(1-Constants!$C$17/1000000000*Design!$B$32*1000000) * ($V$2+W7-V7*AJ7/1000) - (W7+V7*Design!$B$40/1000)</f>
        <v>11.214016898332909</v>
      </c>
      <c r="AL7" s="225">
        <f ca="1">IF(AK7&gt;Design!$C$28,Design!$C$28,AK7)</f>
        <v>3.2940895522388054</v>
      </c>
      <c r="AM7" s="225">
        <f t="shared" ca="1" si="9"/>
        <v>0.45870988861761203</v>
      </c>
      <c r="AN7" s="225">
        <f t="shared" ca="1" si="10"/>
        <v>3.2940895522388054</v>
      </c>
      <c r="AO7" s="268">
        <f t="shared" ca="1" si="11"/>
        <v>87.776861091384859</v>
      </c>
      <c r="AP7" s="237">
        <f t="shared" si="20"/>
        <v>1</v>
      </c>
      <c r="AQ7" s="160">
        <f ca="1">FORECAST(AP7, OFFSET(Design!$C$15:$C$17,MATCH(AP7,Design!$B$15:$B$17,1)-1,0,2), OFFSET(Design!$B$15:$B$17,MATCH(AP7,Design!$B$15:$B$17,1)-1,0,2))+(BB7-25)*Design!$B$18/1000</f>
        <v>0.36609363057704597</v>
      </c>
      <c r="AR7" s="238">
        <f ca="1">IF(100*(Design!$C$28+AQ7+AP7*IF(ISBLANK(Design!$B$40),Constants!$C$6,Design!$B$40)/1000*(1+Constants!$C$29/100*(BC7-25)))/($AP$2+AQ7-AP7*BD7/1000)&gt;Design!$C$35,Design!$C$35,100*(Design!$C$28+AQ7+AP7*IF(ISBLANK(Design!$B$40),Constants!$C$6,Design!$B$40)/1000*(1+Constants!$C$29/100*(BC7-25)))/($AP$2+AQ7-AP7*BD7/1000))</f>
        <v>22.708912549234338</v>
      </c>
      <c r="AS7" s="161">
        <f ca="1">($AP$2-AP7*IF(ISBLANK(Design!$B$40),Constants!$C$6,Design!$B$40)/1000*(1+Constants!$C$29/100*(BC7-25))-Design!$C$28) / (IF(ISBLANK(Design!$B$39),Design!$B$38,Design!$B$39)/1000000) * AR7/100/(IF(ISBLANK(Design!$B$32),Design!$B$31,Design!$B$32)*1000000)</f>
        <v>0.84726264018079434</v>
      </c>
      <c r="AT7" s="239">
        <f>$AP$2*Constants!$C$18/1000+IF(ISBLANK(Design!$B$32),Design!$B$31,Design!$B$32)*1000000*Constants!$D$22/1000000000*($AP$2-Constants!$C$21)</f>
        <v>2.8076E-2</v>
      </c>
      <c r="AU7" s="239">
        <f>$AP$2*AP7*($AP$2/(Constants!$C$23*1000000000)*IF(ISBLANK(Design!$B$32),Design!$B$31,Design!$B$32)*1000000/2+$AP$2/(Constants!$C$24*1000000000)*IF(ISBLANK(Design!$B$32),Design!$B$31,Design!$B$32)*1000000/2)</f>
        <v>0.15111111111111111</v>
      </c>
      <c r="AV7" s="239">
        <f t="shared" ca="1" si="12"/>
        <v>3.7904659161024104E-2</v>
      </c>
      <c r="AW7" s="239">
        <f>Constants!$D$22/1000000000*Constants!$C$21*IF(ISBLANK(Design!$B$32),Design!$B$31,Design!$B$32)*1000000</f>
        <v>1.2499999999999999E-2</v>
      </c>
      <c r="AX7" s="239">
        <f t="shared" ca="1" si="13"/>
        <v>0.22959177027213523</v>
      </c>
      <c r="AY7" s="239">
        <f t="shared" ca="1" si="14"/>
        <v>0.28295774816098757</v>
      </c>
      <c r="AZ7" s="239">
        <f ca="1">AP7^2*Design!$B$40/1000*(1+(BC7-25)*(Constants!$C$29/100))</f>
        <v>2.0613561046875253E-2</v>
      </c>
      <c r="BA7" s="239">
        <f>0.5*Snubber!$B$16/1000000000000*$AP$2^2*Design!$B$32*1000000</f>
        <v>3.0080000000000003E-2</v>
      </c>
      <c r="BB7" s="240">
        <f ca="1">$A7+AY7*Design!$B$19</f>
        <v>41.128591645176293</v>
      </c>
      <c r="BC7" s="240">
        <f ca="1">AX7*Design!$C$12+$A7</f>
        <v>32.806120189252596</v>
      </c>
      <c r="BD7" s="240">
        <f ca="1">Constants!$D$19+Constants!$D$19*Constants!$C$20/100*(BC7-25)</f>
        <v>157.4938753816825</v>
      </c>
      <c r="BE7" s="239">
        <f ca="1">(1-Constants!$C$17/1000000000*Design!$B$32*1000000) * ($AP$2+AQ7-AP7*BD7/1000) - (AQ7+AP7*Design!$B$40/1000)</f>
        <v>15.012076136858552</v>
      </c>
      <c r="BF7" s="239">
        <f ca="1">IF(BE7&gt;Design!$C$28,Design!$C$28,BE7)</f>
        <v>3.2940895522388054</v>
      </c>
      <c r="BG7" s="239">
        <f t="shared" ca="1" si="15"/>
        <v>0.56324307947999808</v>
      </c>
      <c r="BH7" s="239">
        <f t="shared" ca="1" si="16"/>
        <v>3.2940895522388054</v>
      </c>
      <c r="BI7" s="271">
        <f t="shared" ca="1" si="17"/>
        <v>85.398120067518761</v>
      </c>
    </row>
    <row r="8" spans="1:61" s="162" customFormat="1" ht="12.75" x14ac:dyDescent="0.2">
      <c r="A8" s="154">
        <v>25</v>
      </c>
      <c r="B8" s="274">
        <f t="shared" si="18"/>
        <v>1.25</v>
      </c>
      <c r="C8" s="156">
        <f ca="1">FORECAST(B8, OFFSET(Design!$C$15:$C$17,MATCH(B8,Design!$B$15:$B$17,1)-1,0,2), OFFSET(Design!$B$15:$B$17,MATCH(B8,Design!$B$15:$B$17,1)-1,0,2))+(N8-25)*Design!$B$18/1000</f>
        <v>0.38658460359750085</v>
      </c>
      <c r="D8" s="215">
        <f ca="1">IF(100*(Design!$C$28+C8+B8*IF(ISBLANK(Design!$B$40),Constants!$C$6,Design!$B$40)/1000*(1+Constants!$C$29/100*(O8-25)))/($B$2+C8-B8*P8/1000)&gt;Design!$C$35,Design!$C$35,100*(Design!$C$28+C8+B8*IF(ISBLANK(Design!$B$40),Constants!$C$6,Design!$B$40)/1000*(1+Constants!$C$29/100*(O8-25)))/($B$2+C8-B8*P8/1000))</f>
        <v>45.244048471179511</v>
      </c>
      <c r="E8" s="157">
        <f ca="1">IF(($B$2-B8*IF(ISBLANK(Design!$B$40),Constants!$C$6,Design!$B$40)/1000*(1+Constants!$C$29/100*(O8-25))-Design!$C$28) / (IF(ISBLANK(Design!$B$39),Design!$B$38,Design!$B$39)/1000000) * D8/100/(IF(ISBLANK(Design!$B$32),Design!$B$31,Design!$B$32)*1000000)&lt;0,0,($B$2-B8*IF(ISBLANK(Design!$B$40),Constants!$C$6,Design!$B$40)/1000*(1+Constants!$C$29/100*(O8-25))-Design!$C$28) / (IF(ISBLANK(Design!$B$39),Design!$B$38,Design!$B$39)/1000000) * D8/100/(IF(ISBLANK(Design!$B$32),Design!$B$31,Design!$B$32)*1000000))</f>
        <v>0.62281216725150268</v>
      </c>
      <c r="F8" s="207">
        <f>$B$2*Constants!$C$18/1000+IF(ISBLANK(Design!$B$32),Design!$B$31,Design!$B$32)*1000000*Constants!$D$22/1000000000*($B$2-Constants!$C$21)</f>
        <v>7.7879999999999998E-3</v>
      </c>
      <c r="G8" s="207">
        <f>$B$2*B8*($B$2/(Constants!$C$23*1000000000)*IF(ISBLANK(Design!$B$32),Design!$B$31,Design!$B$32)*1000000/2+$B$2/(Constants!$C$24*1000000000)*IF(ISBLANK(Design!$B$32),Design!$B$31,Design!$B$32)*1000000/2)</f>
        <v>4.7222222222222221E-2</v>
      </c>
      <c r="H8" s="207">
        <f t="shared" ca="1" si="0"/>
        <v>0.11247342409947969</v>
      </c>
      <c r="I8" s="207">
        <f>Constants!$D$22/1000000000*Constants!$C$21*IF(ISBLANK(Design!$B$32),Design!$B$31,Design!$B$32)*1000000</f>
        <v>1.2499999999999999E-2</v>
      </c>
      <c r="J8" s="207">
        <f t="shared" ca="1" si="1"/>
        <v>0.17998364632170194</v>
      </c>
      <c r="K8" s="207">
        <f t="shared" ca="1" si="2"/>
        <v>0.26459759770466301</v>
      </c>
      <c r="L8" s="207">
        <f ca="1">B8^2*Design!$B$40/1000*(1+(O8-25)*(Constants!$C$29/100))</f>
        <v>3.2001544213172056E-2</v>
      </c>
      <c r="M8" s="207">
        <f>0.5*Snubber!$B$16/1000000000000*$B$2^2*Design!$B$32*1000000</f>
        <v>7.5200000000000006E-3</v>
      </c>
      <c r="N8" s="208">
        <f ca="1">$A8+K8*Design!$B$19</f>
        <v>40.082063069165791</v>
      </c>
      <c r="O8" s="208">
        <f ca="1">J8*Design!$C$12+A8</f>
        <v>31.119443974937866</v>
      </c>
      <c r="P8" s="208">
        <f ca="1">Constants!$D$19+Constants!$D$19*Constants!$C$20/100*(O8-25)</f>
        <v>155.87466621594035</v>
      </c>
      <c r="Q8" s="207">
        <f ca="1">(1-Constants!$C$17/1000000000*Design!$B$32*1000000) * ($B$2+C8-B8*P8/1000) - (C8+B8*Design!$B$40/1000)</f>
        <v>7.3705696036886934</v>
      </c>
      <c r="R8" s="207">
        <f ca="1">IF(Q8&gt;Design!$C$28,Design!$C$28,Q8)</f>
        <v>3.2940895522388054</v>
      </c>
      <c r="S8" s="207">
        <f t="shared" ca="1" si="3"/>
        <v>0.48410278823953706</v>
      </c>
      <c r="T8" s="207">
        <f t="shared" ca="1" si="4"/>
        <v>4.1176119402985067</v>
      </c>
      <c r="U8" s="264">
        <f t="shared" ca="1" si="5"/>
        <v>89.479947871663583</v>
      </c>
      <c r="V8" s="223">
        <f t="shared" si="19"/>
        <v>1.25</v>
      </c>
      <c r="W8" s="158">
        <f ca="1">FORECAST(V8, OFFSET(Design!$C$15:$C$17,MATCH(V8,Design!$B$15:$B$17,1)-1,0,2), OFFSET(Design!$B$15:$B$17,MATCH(V8,Design!$B$15:$B$17,1)-1,0,2))+(AH8-25)*Design!$B$18/1000</f>
        <v>0.38268442507339112</v>
      </c>
      <c r="X8" s="224">
        <f ca="1">IF(100*(Design!$C$28+W8+V8*IF(ISBLANK(Design!$B$40),Constants!$C$6,Design!$B$40)/1000*(1+Constants!$C$29/100*(AI8-25)))/($V$2+W8-V8*AJ8/1000)&gt;Design!$C$35,Design!$C$35,100*(Design!$C$28+W8+V8*IF(ISBLANK(Design!$B$40),Constants!$C$6,Design!$B$40)/1000*(1+Constants!$C$29/100*(AI8-25)))/($V$2+W8-V8*AJ8/1000))</f>
        <v>30.38195222618727</v>
      </c>
      <c r="Y8" s="159">
        <f ca="1">($V$2-V8*IF(ISBLANK(Design!$B$40),Constants!$C$6,Design!$B$40)/1000*(1+Constants!$C$29/100*(AI8-25))-Design!$C$28) / (IF(ISBLANK(Design!$B$39),Design!$B$38,Design!$B$39)/1000000) * X8/100/(IF(ISBLANK(Design!$B$32),Design!$B$31,Design!$B$32)*1000000)</f>
        <v>0.77565096773804942</v>
      </c>
      <c r="Z8" s="225">
        <f>$V$2*Constants!$C$18/1000+IF(ISBLANK(Design!$B$32),Design!$B$31,Design!$B$32)*1000000*Constants!$D$22/1000000000*($V$2-Constants!$C$21)</f>
        <v>1.7932E-2</v>
      </c>
      <c r="AA8" s="225">
        <f>$V$2*V8*($V$2/(Constants!$C$23*1000000000)*IF(ISBLANK(Design!$B$32),Design!$B$31,Design!$B$32)*1000000/2+$V$2/(Constants!$C$24*1000000000)*IF(ISBLANK(Design!$B$32),Design!$B$31,Design!$B$32)*1000000/2)</f>
        <v>0.10625000000000001</v>
      </c>
      <c r="AB8" s="225">
        <f t="shared" ca="1" si="6"/>
        <v>7.6908285595523568E-2</v>
      </c>
      <c r="AC8" s="225">
        <f>Constants!$D$22/1000000000*Constants!$C$21*IF(ISBLANK(Design!$B$32),Design!$B$31,Design!$B$32)*1000000</f>
        <v>1.2499999999999999E-2</v>
      </c>
      <c r="AD8" s="225">
        <f t="shared" ca="1" si="7"/>
        <v>0.21359028559552359</v>
      </c>
      <c r="AE8" s="225">
        <f t="shared" ca="1" si="8"/>
        <v>0.33302178233816754</v>
      </c>
      <c r="AF8" s="225">
        <f ca="1">V8^2*Design!$B$40/1000*(1+(AI8-25)*(Constants!$C$29/100))</f>
        <v>3.2141872936289811E-2</v>
      </c>
      <c r="AG8" s="225">
        <f>0.5*Snubber!$B$16/1000000000000*$V$2^2*Design!$B$32*1000000</f>
        <v>1.6920000000000001E-2</v>
      </c>
      <c r="AH8" s="226">
        <f ca="1">$A8+AE8*Design!$B$19</f>
        <v>43.982241593275546</v>
      </c>
      <c r="AI8" s="226">
        <f ca="1">AD8*Design!$C$12+$A8</f>
        <v>32.2620697102478</v>
      </c>
      <c r="AJ8" s="226">
        <f ca="1">Constants!$D$19+Constants!$D$19*Constants!$C$20/100*(AI8-25)</f>
        <v>156.97158692183788</v>
      </c>
      <c r="AK8" s="225">
        <f ca="1">(1-Constants!$C$17/1000000000*Design!$B$32*1000000) * ($V$2+W8-V8*AJ8/1000) - (W8+V8*Design!$B$40/1000)</f>
        <v>11.169462019276647</v>
      </c>
      <c r="AL8" s="225">
        <f ca="1">IF(AK8&gt;Design!$C$28,Design!$C$28,AK8)</f>
        <v>3.2940895522388054</v>
      </c>
      <c r="AM8" s="225">
        <f t="shared" ca="1" si="9"/>
        <v>0.59567394086998093</v>
      </c>
      <c r="AN8" s="225">
        <f t="shared" ca="1" si="10"/>
        <v>4.1176119402985067</v>
      </c>
      <c r="AO8" s="268">
        <f t="shared" ca="1" si="11"/>
        <v>87.361811782944415</v>
      </c>
      <c r="AP8" s="237">
        <f t="shared" si="20"/>
        <v>1.25</v>
      </c>
      <c r="AQ8" s="160">
        <f ca="1">FORECAST(AP8, OFFSET(Design!$C$15:$C$17,MATCH(AP8,Design!$B$15:$B$17,1)-1,0,2), OFFSET(Design!$B$15:$B$17,MATCH(AP8,Design!$B$15:$B$17,1)-1,0,2))+(BB8-25)*Design!$B$18/1000</f>
        <v>0.38074304507947188</v>
      </c>
      <c r="AR8" s="238">
        <f ca="1">IF(100*(Design!$C$28+AQ8+AP8*IF(ISBLANK(Design!$B$40),Constants!$C$6,Design!$B$40)/1000*(1+Constants!$C$29/100*(BC8-25)))/($AP$2+AQ8-AP8*BD8/1000)&gt;Design!$C$35,Design!$C$35,100*(Design!$C$28+AQ8+AP8*IF(ISBLANK(Design!$B$40),Constants!$C$6,Design!$B$40)/1000*(1+Constants!$C$29/100*(BC8-25)))/($AP$2+AQ8-AP8*BD8/1000))</f>
        <v>22.870589974825336</v>
      </c>
      <c r="AS8" s="161">
        <f ca="1">($AP$2-AP8*IF(ISBLANK(Design!$B$40),Constants!$C$6,Design!$B$40)/1000*(1+Constants!$C$29/100*(BC8-25))-Design!$C$28) / (IF(ISBLANK(Design!$B$39),Design!$B$38,Design!$B$39)/1000000) * AR8/100/(IF(ISBLANK(Design!$B$32),Design!$B$31,Design!$B$32)*1000000)</f>
        <v>0.85293485620257781</v>
      </c>
      <c r="AT8" s="239">
        <f>$AP$2*Constants!$C$18/1000+IF(ISBLANK(Design!$B$32),Design!$B$31,Design!$B$32)*1000000*Constants!$D$22/1000000000*($AP$2-Constants!$C$21)</f>
        <v>2.8076E-2</v>
      </c>
      <c r="AU8" s="239">
        <f>$AP$2*AP8*($AP$2/(Constants!$C$23*1000000000)*IF(ISBLANK(Design!$B$32),Design!$B$31,Design!$B$32)*1000000/2+$AP$2/(Constants!$C$24*1000000000)*IF(ISBLANK(Design!$B$32),Design!$B$31,Design!$B$32)*1000000/2)</f>
        <v>0.18888888888888888</v>
      </c>
      <c r="AV8" s="239">
        <f t="shared" ca="1" si="12"/>
        <v>5.918011879832611E-2</v>
      </c>
      <c r="AW8" s="239">
        <f>Constants!$D$22/1000000000*Constants!$C$21*IF(ISBLANK(Design!$B$32),Design!$B$31,Design!$B$32)*1000000</f>
        <v>1.2499999999999999E-2</v>
      </c>
      <c r="AX8" s="239">
        <f t="shared" ca="1" si="13"/>
        <v>0.28864500768721502</v>
      </c>
      <c r="AY8" s="239">
        <f t="shared" ca="1" si="14"/>
        <v>0.36708108047710186</v>
      </c>
      <c r="AZ8" s="239">
        <f ca="1">AP8^2*Design!$B$40/1000*(1+(BC8-25)*(Constants!$C$29/100))</f>
        <v>3.245527331022393E-2</v>
      </c>
      <c r="BA8" s="239">
        <f>0.5*Snubber!$B$16/1000000000000*$AP$2^2*Design!$B$32*1000000</f>
        <v>3.0080000000000003E-2</v>
      </c>
      <c r="BB8" s="240">
        <f ca="1">$A8+AY8*Design!$B$19</f>
        <v>45.923621587194802</v>
      </c>
      <c r="BC8" s="240">
        <f ca="1">AX8*Design!$C$12+$A8</f>
        <v>34.813930261365314</v>
      </c>
      <c r="BD8" s="240">
        <f ca="1">Constants!$D$19+Constants!$D$19*Constants!$C$20/100*(BC8-25)</f>
        <v>159.42137305091069</v>
      </c>
      <c r="BE8" s="239">
        <f ca="1">(1-Constants!$C$17/1000000000*Design!$B$32*1000000) * ($AP$2+AQ8-AP8*BD8/1000) - (AQ8+AP8*Design!$B$40/1000)</f>
        <v>14.966649967248072</v>
      </c>
      <c r="BF8" s="239">
        <f ca="1">IF(BE8&gt;Design!$C$28,Design!$C$28,BE8)</f>
        <v>3.2940895522388054</v>
      </c>
      <c r="BG8" s="239">
        <f t="shared" ca="1" si="15"/>
        <v>0.71826136147454078</v>
      </c>
      <c r="BH8" s="239">
        <f t="shared" ca="1" si="16"/>
        <v>4.1176119402985067</v>
      </c>
      <c r="BI8" s="271">
        <f t="shared" ca="1" si="17"/>
        <v>85.147225399573756</v>
      </c>
    </row>
    <row r="9" spans="1:61" s="162" customFormat="1" ht="12.75" x14ac:dyDescent="0.2">
      <c r="A9" s="154">
        <v>25</v>
      </c>
      <c r="B9" s="274">
        <f t="shared" si="18"/>
        <v>1.5</v>
      </c>
      <c r="C9" s="156">
        <f ca="1">FORECAST(B9, OFFSET(Design!$C$15:$C$17,MATCH(B9,Design!$B$15:$B$17,1)-1,0,2), OFFSET(Design!$B$15:$B$17,MATCH(B9,Design!$B$15:$B$17,1)-1,0,2))+(N9-25)*Design!$B$18/1000</f>
        <v>0.40241086385389269</v>
      </c>
      <c r="D9" s="215">
        <f ca="1">IF(100*(Design!$C$28+C9+B9*IF(ISBLANK(Design!$B$40),Constants!$C$6,Design!$B$40)/1000*(1+Constants!$C$29/100*(O9-25)))/($B$2+C9-B9*P9/1000)&gt;Design!$C$35,Design!$C$35,100*(Design!$C$28+C9+B9*IF(ISBLANK(Design!$B$40),Constants!$C$6,Design!$B$40)/1000*(1+Constants!$C$29/100*(O9-25)))/($B$2+C9-B9*P9/1000))</f>
        <v>45.648499621744627</v>
      </c>
      <c r="E9" s="157">
        <f ca="1">IF(($B$2-B9*IF(ISBLANK(Design!$B$40),Constants!$C$6,Design!$B$40)/1000*(1+Constants!$C$29/100*(O9-25))-Design!$C$28) / (IF(ISBLANK(Design!$B$39),Design!$B$38,Design!$B$39)/1000000) * D9/100/(IF(ISBLANK(Design!$B$32),Design!$B$31,Design!$B$32)*1000000)&lt;0,0,($B$2-B9*IF(ISBLANK(Design!$B$40),Constants!$C$6,Design!$B$40)/1000*(1+Constants!$C$29/100*(O9-25))-Design!$C$28) / (IF(ISBLANK(Design!$B$39),Design!$B$38,Design!$B$39)/1000000) * D9/100/(IF(ISBLANK(Design!$B$32),Design!$B$31,Design!$B$32)*1000000))</f>
        <v>0.62765914334224171</v>
      </c>
      <c r="F9" s="207">
        <f>$B$2*Constants!$C$18/1000+IF(ISBLANK(Design!$B$32),Design!$B$31,Design!$B$32)*1000000*Constants!$D$22/1000000000*($B$2-Constants!$C$21)</f>
        <v>7.7879999999999998E-3</v>
      </c>
      <c r="G9" s="207">
        <f>$B$2*B9*($B$2/(Constants!$C$23*1000000000)*IF(ISBLANK(Design!$B$32),Design!$B$31,Design!$B$32)*1000000/2+$B$2/(Constants!$C$24*1000000000)*IF(ISBLANK(Design!$B$32),Design!$B$31,Design!$B$32)*1000000/2)</f>
        <v>5.6666666666666671E-2</v>
      </c>
      <c r="H9" s="207">
        <f t="shared" ca="1" si="0"/>
        <v>0.16452517651564397</v>
      </c>
      <c r="I9" s="207">
        <f>Constants!$D$22/1000000000*Constants!$C$21*IF(ISBLANK(Design!$B$32),Design!$B$31,Design!$B$32)*1000000</f>
        <v>1.2499999999999999E-2</v>
      </c>
      <c r="J9" s="207">
        <f t="shared" ca="1" si="1"/>
        <v>0.24147984318231064</v>
      </c>
      <c r="K9" s="207">
        <f t="shared" ca="1" si="2"/>
        <v>0.32807451328453385</v>
      </c>
      <c r="L9" s="207">
        <f ca="1">B9^2*Design!$B$40/1000*(1+(O9-25)*(Constants!$C$29/100))</f>
        <v>4.6451994149070919E-2</v>
      </c>
      <c r="M9" s="207">
        <f>0.5*Snubber!$B$16/1000000000000*$B$2^2*Design!$B$32*1000000</f>
        <v>7.5200000000000006E-3</v>
      </c>
      <c r="N9" s="208">
        <f ca="1">$A9+K9*Design!$B$19</f>
        <v>43.700247257218429</v>
      </c>
      <c r="O9" s="208">
        <f ca="1">J9*Design!$C$12+A9</f>
        <v>33.210314668198563</v>
      </c>
      <c r="P9" s="208">
        <f ca="1">Constants!$D$19+Constants!$D$19*Constants!$C$20/100*(O9-25)</f>
        <v>157.88190208147063</v>
      </c>
      <c r="Q9" s="207">
        <f ca="1">(1-Constants!$C$17/1000000000*Design!$B$32*1000000) * ($B$2+C9-B9*P9/1000) - (C9+B9*Design!$B$40/1000)</f>
        <v>7.3248977463412102</v>
      </c>
      <c r="R9" s="207">
        <f ca="1">IF(Q9&gt;Design!$C$28,Design!$C$28,Q9)</f>
        <v>3.2940895522388054</v>
      </c>
      <c r="S9" s="207">
        <f t="shared" ca="1" si="3"/>
        <v>0.62352635061591544</v>
      </c>
      <c r="T9" s="207">
        <f t="shared" ca="1" si="4"/>
        <v>4.9411343283582081</v>
      </c>
      <c r="U9" s="264">
        <f t="shared" ca="1" si="5"/>
        <v>88.794889992629962</v>
      </c>
      <c r="V9" s="223">
        <f t="shared" si="19"/>
        <v>1.5</v>
      </c>
      <c r="W9" s="158">
        <f ca="1">FORECAST(V9, OFFSET(Design!$C$15:$C$17,MATCH(V9,Design!$B$15:$B$17,1)-1,0,2), OFFSET(Design!$B$15:$B$17,MATCH(V9,Design!$B$15:$B$17,1)-1,0,2))+(AH9-25)*Design!$B$18/1000</f>
        <v>0.39752841251526205</v>
      </c>
      <c r="X9" s="224">
        <f ca="1">IF(100*(Design!$C$28+W9+V9*IF(ISBLANK(Design!$B$40),Constants!$C$6,Design!$B$40)/1000*(1+Constants!$C$29/100*(AI9-25)))/($V$2+W9-V9*AJ9/1000)&gt;Design!$C$35,Design!$C$35,100*(Design!$C$28+W9+V9*IF(ISBLANK(Design!$B$40),Constants!$C$6,Design!$B$40)/1000*(1+Constants!$C$29/100*(AI9-25)))/($V$2+W9-V9*AJ9/1000))</f>
        <v>30.616019503216908</v>
      </c>
      <c r="Y9" s="159">
        <f ca="1">($V$2-V9*IF(ISBLANK(Design!$B$40),Constants!$C$6,Design!$B$40)/1000*(1+Constants!$C$29/100*(AI9-25))-Design!$C$28) / (IF(ISBLANK(Design!$B$39),Design!$B$38,Design!$B$39)/1000000) * X9/100/(IF(ISBLANK(Design!$B$32),Design!$B$31,Design!$B$32)*1000000)</f>
        <v>0.78114332846189549</v>
      </c>
      <c r="Z9" s="225">
        <f>$V$2*Constants!$C$18/1000+IF(ISBLANK(Design!$B$32),Design!$B$31,Design!$B$32)*1000000*Constants!$D$22/1000000000*($V$2-Constants!$C$21)</f>
        <v>1.7932E-2</v>
      </c>
      <c r="AA9" s="225">
        <f>$V$2*V9*($V$2/(Constants!$C$23*1000000000)*IF(ISBLANK(Design!$B$32),Design!$B$31,Design!$B$32)*1000000/2+$V$2/(Constants!$C$24*1000000000)*IF(ISBLANK(Design!$B$32),Design!$B$31,Design!$B$32)*1000000/2)</f>
        <v>0.1275</v>
      </c>
      <c r="AB9" s="225">
        <f t="shared" ca="1" si="6"/>
        <v>0.11186762347411364</v>
      </c>
      <c r="AC9" s="225">
        <f>Constants!$D$22/1000000000*Constants!$C$21*IF(ISBLANK(Design!$B$32),Design!$B$31,Design!$B$32)*1000000</f>
        <v>1.2499999999999999E-2</v>
      </c>
      <c r="AD9" s="225">
        <f t="shared" ca="1" si="7"/>
        <v>0.26979962347411363</v>
      </c>
      <c r="AE9" s="225">
        <f t="shared" ca="1" si="8"/>
        <v>0.41373155431314129</v>
      </c>
      <c r="AF9" s="225">
        <f ca="1">V9^2*Design!$B$40/1000*(1+(AI9-25)*(Constants!$C$29/100))</f>
        <v>4.6622278155987497E-2</v>
      </c>
      <c r="AG9" s="225">
        <f>0.5*Snubber!$B$16/1000000000000*$V$2^2*Design!$B$32*1000000</f>
        <v>1.6920000000000001E-2</v>
      </c>
      <c r="AH9" s="226">
        <f ca="1">$A9+AE9*Design!$B$19</f>
        <v>48.582698595849052</v>
      </c>
      <c r="AI9" s="226">
        <f ca="1">AD9*Design!$C$12+$A9</f>
        <v>34.173187198119862</v>
      </c>
      <c r="AJ9" s="226">
        <f ca="1">Constants!$D$19+Constants!$D$19*Constants!$C$20/100*(AI9-25)</f>
        <v>158.80625971019506</v>
      </c>
      <c r="AK9" s="225">
        <f ca="1">(1-Constants!$C$17/1000000000*Design!$B$32*1000000) * ($V$2+W9-V9*AJ9/1000) - (W9+V9*Design!$B$40/1000)</f>
        <v>11.123824659287209</v>
      </c>
      <c r="AL9" s="225">
        <f ca="1">IF(AK9&gt;Design!$C$28,Design!$C$28,AK9)</f>
        <v>3.2940895522388054</v>
      </c>
      <c r="AM9" s="225">
        <f t="shared" ca="1" si="9"/>
        <v>0.74707345594324248</v>
      </c>
      <c r="AN9" s="225">
        <f t="shared" ca="1" si="10"/>
        <v>4.9411343283582081</v>
      </c>
      <c r="AO9" s="268">
        <f t="shared" ca="1" si="11"/>
        <v>86.866276966797045</v>
      </c>
      <c r="AP9" s="237">
        <f t="shared" si="20"/>
        <v>1.5</v>
      </c>
      <c r="AQ9" s="160">
        <f ca="1">FORECAST(AP9, OFFSET(Design!$C$15:$C$17,MATCH(AP9,Design!$B$15:$B$17,1)-1,0,2), OFFSET(Design!$B$15:$B$17,MATCH(AP9,Design!$B$15:$B$17,1)-1,0,2))+(BB9-25)*Design!$B$18/1000</f>
        <v>0.39511045118104449</v>
      </c>
      <c r="AR9" s="238">
        <f ca="1">IF(100*(Design!$C$28+AQ9+AP9*IF(ISBLANK(Design!$B$40),Constants!$C$6,Design!$B$40)/1000*(1+Constants!$C$29/100*(BC9-25)))/($AP$2+AQ9-AP9*BD9/1000)&gt;Design!$C$35,Design!$C$35,100*(Design!$C$28+AQ9+AP9*IF(ISBLANK(Design!$B$40),Constants!$C$6,Design!$B$40)/1000*(1+Constants!$C$29/100*(BC9-25)))/($AP$2+AQ9-AP9*BD9/1000))</f>
        <v>23.03385424942093</v>
      </c>
      <c r="AS9" s="161">
        <f ca="1">($AP$2-AP9*IF(ISBLANK(Design!$B$40),Constants!$C$6,Design!$B$40)/1000*(1+Constants!$C$29/100*(BC9-25))-Design!$C$28) / (IF(ISBLANK(Design!$B$39),Design!$B$38,Design!$B$39)/1000000) * AR9/100/(IF(ISBLANK(Design!$B$32),Design!$B$31,Design!$B$32)*1000000)</f>
        <v>0.85865428685179301</v>
      </c>
      <c r="AT9" s="239">
        <f>$AP$2*Constants!$C$18/1000+IF(ISBLANK(Design!$B$32),Design!$B$31,Design!$B$32)*1000000*Constants!$D$22/1000000000*($AP$2-Constants!$C$21)</f>
        <v>2.8076E-2</v>
      </c>
      <c r="AU9" s="239">
        <f>$AP$2*AP9*($AP$2/(Constants!$C$23*1000000000)*IF(ISBLANK(Design!$B$32),Design!$B$31,Design!$B$32)*1000000/2+$AP$2/(Constants!$C$24*1000000000)*IF(ISBLANK(Design!$B$32),Design!$B$31,Design!$B$32)*1000000/2)</f>
        <v>0.22666666666666668</v>
      </c>
      <c r="AV9" s="239">
        <f t="shared" ca="1" si="12"/>
        <v>8.6000738563298471E-2</v>
      </c>
      <c r="AW9" s="239">
        <f>Constants!$D$22/1000000000*Constants!$C$21*IF(ISBLANK(Design!$B$32),Design!$B$31,Design!$B$32)*1000000</f>
        <v>1.2499999999999999E-2</v>
      </c>
      <c r="AX9" s="239">
        <f t="shared" ca="1" si="13"/>
        <v>0.35324340522996517</v>
      </c>
      <c r="AY9" s="239">
        <f t="shared" ca="1" si="14"/>
        <v>0.45615192859765996</v>
      </c>
      <c r="AZ9" s="239">
        <f ca="1">AP9^2*Design!$B$40/1000*(1+(BC9-25)*(Constants!$C$29/100))</f>
        <v>4.7124017271307259E-2</v>
      </c>
      <c r="BA9" s="239">
        <f>0.5*Snubber!$B$16/1000000000000*$AP$2^2*Design!$B$32*1000000</f>
        <v>3.0080000000000003E-2</v>
      </c>
      <c r="BB9" s="240">
        <f ca="1">$A9+AY9*Design!$B$19</f>
        <v>51.000659930066618</v>
      </c>
      <c r="BC9" s="240">
        <f ca="1">AX9*Design!$C$12+$A9</f>
        <v>37.010275777818819</v>
      </c>
      <c r="BD9" s="240">
        <f ca="1">Constants!$D$19+Constants!$D$19*Constants!$C$20/100*(BC9-25)</f>
        <v>161.52986474670607</v>
      </c>
      <c r="BE9" s="239">
        <f ca="1">(1-Constants!$C$17/1000000000*Design!$B$32*1000000) * ($AP$2+AQ9-AP9*BD9/1000) - (AQ9+AP9*Design!$B$40/1000)</f>
        <v>14.920064420176889</v>
      </c>
      <c r="BF9" s="239">
        <f ca="1">IF(BE9&gt;Design!$C$28,Design!$C$28,BE9)</f>
        <v>3.2940895522388054</v>
      </c>
      <c r="BG9" s="239">
        <f t="shared" ca="1" si="15"/>
        <v>0.8865993510989324</v>
      </c>
      <c r="BH9" s="239">
        <f t="shared" ca="1" si="16"/>
        <v>4.9411343283582081</v>
      </c>
      <c r="BI9" s="271">
        <f t="shared" ca="1" si="17"/>
        <v>84.786549971831931</v>
      </c>
    </row>
    <row r="10" spans="1:61" s="162" customFormat="1" ht="12.75" x14ac:dyDescent="0.2">
      <c r="A10" s="154">
        <v>25</v>
      </c>
      <c r="B10" s="274">
        <f t="shared" si="18"/>
        <v>1.75</v>
      </c>
      <c r="C10" s="156">
        <f ca="1">FORECAST(B10, OFFSET(Design!$C$15:$C$17,MATCH(B10,Design!$B$15:$B$17,1)-1,0,2), OFFSET(Design!$B$15:$B$17,MATCH(B10,Design!$B$15:$B$17,1)-1,0,2))+(N10-25)*Design!$B$18/1000</f>
        <v>0.41806392456426339</v>
      </c>
      <c r="D10" s="215">
        <f ca="1">IF(100*(Design!$C$28+C10+B10*IF(ISBLANK(Design!$B$40),Constants!$C$6,Design!$B$40)/1000*(1+Constants!$C$29/100*(O10-25)))/($B$2+C10-B10*P10/1000)&gt;Design!$C$35,Design!$C$35,100*(Design!$C$28+C10+B10*IF(ISBLANK(Design!$B$40),Constants!$C$6,Design!$B$40)/1000*(1+Constants!$C$29/100*(O10-25)))/($B$2+C10-B10*P10/1000))</f>
        <v>46.065662046114547</v>
      </c>
      <c r="E10" s="157">
        <f ca="1">IF(($B$2-B10*IF(ISBLANK(Design!$B$40),Constants!$C$6,Design!$B$40)/1000*(1+Constants!$C$29/100*(O10-25))-Design!$C$28) / (IF(ISBLANK(Design!$B$39),Design!$B$38,Design!$B$39)/1000000) * D10/100/(IF(ISBLANK(Design!$B$32),Design!$B$31,Design!$B$32)*1000000)&lt;0,0,($B$2-B10*IF(ISBLANK(Design!$B$40),Constants!$C$6,Design!$B$40)/1000*(1+Constants!$C$29/100*(O10-25))-Design!$C$28) / (IF(ISBLANK(Design!$B$39),Design!$B$38,Design!$B$39)/1000000) * D10/100/(IF(ISBLANK(Design!$B$32),Design!$B$31,Design!$B$32)*1000000))</f>
        <v>0.63264918929578084</v>
      </c>
      <c r="F10" s="207">
        <f>$B$2*Constants!$C$18/1000+IF(ISBLANK(Design!$B$32),Design!$B$31,Design!$B$32)*1000000*Constants!$D$22/1000000000*($B$2-Constants!$C$21)</f>
        <v>7.7879999999999998E-3</v>
      </c>
      <c r="G10" s="207">
        <f>$B$2*B10*($B$2/(Constants!$C$23*1000000000)*IF(ISBLANK(Design!$B$32),Design!$B$31,Design!$B$32)*1000000/2+$B$2/(Constants!$C$24*1000000000)*IF(ISBLANK(Design!$B$32),Design!$B$31,Design!$B$32)*1000000/2)</f>
        <v>6.6111111111111107E-2</v>
      </c>
      <c r="H10" s="207">
        <f t="shared" ca="1" si="0"/>
        <v>0.22858074332400535</v>
      </c>
      <c r="I10" s="207">
        <f>Constants!$D$22/1000000000*Constants!$C$21*IF(ISBLANK(Design!$B$32),Design!$B$31,Design!$B$32)*1000000</f>
        <v>1.2499999999999999E-2</v>
      </c>
      <c r="J10" s="207">
        <f t="shared" ca="1" si="1"/>
        <v>0.3149798544351165</v>
      </c>
      <c r="K10" s="207">
        <f t="shared" ca="1" si="2"/>
        <v>0.39459001739109145</v>
      </c>
      <c r="L10" s="207">
        <f ca="1">B10^2*Design!$B$40/1000*(1+(O10-25)*(Constants!$C$29/100))</f>
        <v>6.3827865999164235E-2</v>
      </c>
      <c r="M10" s="207">
        <f>0.5*Snubber!$B$16/1000000000000*$B$2^2*Design!$B$32*1000000</f>
        <v>7.5200000000000006E-3</v>
      </c>
      <c r="N10" s="208">
        <f ca="1">$A10+K10*Design!$B$19</f>
        <v>47.491630991292212</v>
      </c>
      <c r="O10" s="208">
        <f ca="1">J10*Design!$C$12+A10</f>
        <v>35.709315050793961</v>
      </c>
      <c r="P10" s="208">
        <f ca="1">Constants!$D$19+Constants!$D$19*Constants!$C$20/100*(O10-25)</f>
        <v>160.2809424487622</v>
      </c>
      <c r="Q10" s="207">
        <f ca="1">(1-Constants!$C$17/1000000000*Design!$B$32*1000000) * ($B$2+C10-B10*P10/1000) - (C10+B10*Design!$B$40/1000)</f>
        <v>7.2776297369507184</v>
      </c>
      <c r="R10" s="207">
        <f ca="1">IF(Q10&gt;Design!$C$28,Design!$C$28,Q10)</f>
        <v>3.2940895522388054</v>
      </c>
      <c r="S10" s="207">
        <f t="shared" ca="1" si="3"/>
        <v>0.78091773782537222</v>
      </c>
      <c r="T10" s="207">
        <f t="shared" ca="1" si="4"/>
        <v>5.7646567164179094</v>
      </c>
      <c r="U10" s="264">
        <f t="shared" ca="1" si="5"/>
        <v>88.069530897794166</v>
      </c>
      <c r="V10" s="223">
        <f t="shared" si="19"/>
        <v>1.75</v>
      </c>
      <c r="W10" s="158">
        <f ca="1">FORECAST(V10, OFFSET(Design!$C$15:$C$17,MATCH(V10,Design!$B$15:$B$17,1)-1,0,2), OFFSET(Design!$B$15:$B$17,MATCH(V10,Design!$B$15:$B$17,1)-1,0,2))+(AH10-25)*Design!$B$18/1000</f>
        <v>0.41212972970463313</v>
      </c>
      <c r="X10" s="224">
        <f ca="1">IF(100*(Design!$C$28+W10+V10*IF(ISBLANK(Design!$B$40),Constants!$C$6,Design!$B$40)/1000*(1+Constants!$C$29/100*(AI10-25)))/($V$2+W10-V10*AJ10/1000)&gt;Design!$C$35,Design!$C$35,100*(Design!$C$28+W10+V10*IF(ISBLANK(Design!$B$40),Constants!$C$6,Design!$B$40)/1000*(1+Constants!$C$29/100*(AI10-25)))/($V$2+W10-V10*AJ10/1000))</f>
        <v>30.854130463600839</v>
      </c>
      <c r="Y10" s="159">
        <f ca="1">($V$2-V10*IF(ISBLANK(Design!$B$40),Constants!$C$6,Design!$B$40)/1000*(1+Constants!$C$29/100*(AI10-25))-Design!$C$28) / (IF(ISBLANK(Design!$B$39),Design!$B$38,Design!$B$39)/1000000) * X10/100/(IF(ISBLANK(Design!$B$32),Design!$B$31,Design!$B$32)*1000000)</f>
        <v>0.78672129495140375</v>
      </c>
      <c r="Z10" s="225">
        <f>$V$2*Constants!$C$18/1000+IF(ISBLANK(Design!$B$32),Design!$B$31,Design!$B$32)*1000000*Constants!$D$22/1000000000*($V$2-Constants!$C$21)</f>
        <v>1.7932E-2</v>
      </c>
      <c r="AA10" s="225">
        <f>$V$2*V10*($V$2/(Constants!$C$23*1000000000)*IF(ISBLANK(Design!$B$32),Design!$B$31,Design!$B$32)*1000000/2+$V$2/(Constants!$C$24*1000000000)*IF(ISBLANK(Design!$B$32),Design!$B$31,Design!$B$32)*1000000/2)</f>
        <v>0.14875000000000002</v>
      </c>
      <c r="AB10" s="225">
        <f t="shared" ca="1" si="6"/>
        <v>0.15459075078758275</v>
      </c>
      <c r="AC10" s="225">
        <f>Constants!$D$22/1000000000*Constants!$C$21*IF(ISBLANK(Design!$B$32),Design!$B$31,Design!$B$32)*1000000</f>
        <v>1.2499999999999999E-2</v>
      </c>
      <c r="AD10" s="225">
        <f t="shared" ca="1" si="7"/>
        <v>0.33377275078758278</v>
      </c>
      <c r="AE10" s="225">
        <f t="shared" ca="1" si="8"/>
        <v>0.49869869913899029</v>
      </c>
      <c r="AF10" s="225">
        <f ca="1">V10^2*Design!$B$40/1000*(1+(AI10-25)*(Constants!$C$29/100))</f>
        <v>6.3981671291314504E-2</v>
      </c>
      <c r="AG10" s="225">
        <f>0.5*Snubber!$B$16/1000000000000*$V$2^2*Design!$B$32*1000000</f>
        <v>1.6920000000000001E-2</v>
      </c>
      <c r="AH10" s="226">
        <f ca="1">$A10+AE10*Design!$B$19</f>
        <v>53.42582585092245</v>
      </c>
      <c r="AI10" s="226">
        <f ca="1">AD10*Design!$C$12+$A10</f>
        <v>36.348273526777817</v>
      </c>
      <c r="AJ10" s="226">
        <f ca="1">Constants!$D$19+Constants!$D$19*Constants!$C$20/100*(AI10-25)</f>
        <v>160.89434258570671</v>
      </c>
      <c r="AK10" s="225">
        <f ca="1">(1-Constants!$C$17/1000000000*Design!$B$32*1000000) * ($V$2+W10-V10*AJ10/1000) - (W10+V10*Design!$B$40/1000)</f>
        <v>11.07690666896603</v>
      </c>
      <c r="AL10" s="225">
        <f ca="1">IF(AK10&gt;Design!$C$28,Design!$C$28,AK10)</f>
        <v>3.2940895522388054</v>
      </c>
      <c r="AM10" s="225">
        <f t="shared" ca="1" si="9"/>
        <v>0.91337312121788761</v>
      </c>
      <c r="AN10" s="225">
        <f t="shared" ca="1" si="10"/>
        <v>5.7646567164179094</v>
      </c>
      <c r="AO10" s="268">
        <f t="shared" ca="1" si="11"/>
        <v>86.322715779580179</v>
      </c>
      <c r="AP10" s="237">
        <f t="shared" si="20"/>
        <v>1.75</v>
      </c>
      <c r="AQ10" s="160">
        <f ca="1">FORECAST(AP10, OFFSET(Design!$C$15:$C$17,MATCH(AP10,Design!$B$15:$B$17,1)-1,0,2), OFFSET(Design!$B$15:$B$17,MATCH(AP10,Design!$B$15:$B$17,1)-1,0,2))+(BB10-25)*Design!$B$18/1000</f>
        <v>0.40920669029251228</v>
      </c>
      <c r="AR10" s="238">
        <f ca="1">IF(100*(Design!$C$28+AQ10+AP10*IF(ISBLANK(Design!$B$40),Constants!$C$6,Design!$B$40)/1000*(1+Constants!$C$29/100*(BC10-25)))/($AP$2+AQ10-AP10*BD10/1000)&gt;Design!$C$35,Design!$C$35,100*(Design!$C$28+AQ10+AP10*IF(ISBLANK(Design!$B$40),Constants!$C$6,Design!$B$40)/1000*(1+Constants!$C$29/100*(BC10-25)))/($AP$2+AQ10-AP10*BD10/1000))</f>
        <v>23.199120167861153</v>
      </c>
      <c r="AS10" s="161">
        <f ca="1">($AP$2-AP10*IF(ISBLANK(Design!$B$40),Constants!$C$6,Design!$B$40)/1000*(1+Constants!$C$29/100*(BC10-25))-Design!$C$28) / (IF(ISBLANK(Design!$B$39),Design!$B$38,Design!$B$39)/1000000) * AR10/100/(IF(ISBLANK(Design!$B$32),Design!$B$31,Design!$B$32)*1000000)</f>
        <v>0.86443528043418005</v>
      </c>
      <c r="AT10" s="239">
        <f>$AP$2*Constants!$C$18/1000+IF(ISBLANK(Design!$B$32),Design!$B$31,Design!$B$32)*1000000*Constants!$D$22/1000000000*($AP$2-Constants!$C$21)</f>
        <v>2.8076E-2</v>
      </c>
      <c r="AU10" s="239">
        <f>$AP$2*AP10*($AP$2/(Constants!$C$23*1000000000)*IF(ISBLANK(Design!$B$32),Design!$B$31,Design!$B$32)*1000000/2+$AP$2/(Constants!$C$24*1000000000)*IF(ISBLANK(Design!$B$32),Design!$B$31,Design!$B$32)*1000000/2)</f>
        <v>0.26444444444444443</v>
      </c>
      <c r="AV10" s="239">
        <f t="shared" ca="1" si="12"/>
        <v>0.118765244714022</v>
      </c>
      <c r="AW10" s="239">
        <f>Constants!$D$22/1000000000*Constants!$C$21*IF(ISBLANK(Design!$B$32),Design!$B$31,Design!$B$32)*1000000</f>
        <v>1.2499999999999999E-2</v>
      </c>
      <c r="AX10" s="239">
        <f t="shared" ca="1" si="13"/>
        <v>0.42378568915846643</v>
      </c>
      <c r="AY10" s="239">
        <f t="shared" ca="1" si="14"/>
        <v>0.54998009233409362</v>
      </c>
      <c r="AZ10" s="239">
        <f ca="1">AP10^2*Design!$B$40/1000*(1+(BC10-25)*(Constants!$C$29/100))</f>
        <v>6.4718357431852946E-2</v>
      </c>
      <c r="BA10" s="239">
        <f>0.5*Snubber!$B$16/1000000000000*$AP$2^2*Design!$B$32*1000000</f>
        <v>3.0080000000000003E-2</v>
      </c>
      <c r="BB10" s="240">
        <f ca="1">$A10+AY10*Design!$B$19</f>
        <v>56.348865263043336</v>
      </c>
      <c r="BC10" s="240">
        <f ca="1">AX10*Design!$C$12+$A10</f>
        <v>39.408713431387859</v>
      </c>
      <c r="BD10" s="240">
        <f ca="1">Constants!$D$19+Constants!$D$19*Constants!$C$20/100*(BC10-25)</f>
        <v>163.83236489413235</v>
      </c>
      <c r="BE10" s="239">
        <f ca="1">(1-Constants!$C$17/1000000000*Design!$B$32*1000000) * ($AP$2+AQ10-AP10*BD10/1000) - (AQ10+AP10*Design!$B$40/1000)</f>
        <v>14.872168358848882</v>
      </c>
      <c r="BF10" s="239">
        <f ca="1">IF(BE10&gt;Design!$C$28,Design!$C$28,BE10)</f>
        <v>3.2940895522388054</v>
      </c>
      <c r="BG10" s="239">
        <f t="shared" ca="1" si="15"/>
        <v>1.0685641389244129</v>
      </c>
      <c r="BH10" s="239">
        <f t="shared" ca="1" si="16"/>
        <v>5.7646567164179094</v>
      </c>
      <c r="BI10" s="271">
        <f t="shared" ca="1" si="17"/>
        <v>84.362218614827995</v>
      </c>
    </row>
    <row r="11" spans="1:61" s="162" customFormat="1" ht="12.75" x14ac:dyDescent="0.2">
      <c r="A11" s="154">
        <v>25</v>
      </c>
      <c r="B11" s="274">
        <f t="shared" si="18"/>
        <v>2</v>
      </c>
      <c r="C11" s="156">
        <f ca="1">FORECAST(B11, OFFSET(Design!$C$15:$C$17,MATCH(B11,Design!$B$15:$B$17,1)-1,0,2), OFFSET(Design!$B$15:$B$17,MATCH(B11,Design!$B$15:$B$17,1)-1,0,2))+(N11-25)*Design!$B$18/1000</f>
        <v>0.43355668640471262</v>
      </c>
      <c r="D11" s="215">
        <f ca="1">IF(100*(Design!$C$28+C11+B11*IF(ISBLANK(Design!$B$40),Constants!$C$6,Design!$B$40)/1000*(1+Constants!$C$29/100*(O11-25)))/($B$2+C11-B11*P11/1000)&gt;Design!$C$35,Design!$C$35,100*(Design!$C$28+C11+B11*IF(ISBLANK(Design!$B$40),Constants!$C$6,Design!$B$40)/1000*(1+Constants!$C$29/100*(O11-25)))/($B$2+C11-B11*P11/1000))</f>
        <v>46.498601345475514</v>
      </c>
      <c r="E11" s="157">
        <f ca="1">IF(($B$2-B11*IF(ISBLANK(Design!$B$40),Constants!$C$6,Design!$B$40)/1000*(1+Constants!$C$29/100*(O11-25))-Design!$C$28) / (IF(ISBLANK(Design!$B$39),Design!$B$38,Design!$B$39)/1000000) * D11/100/(IF(ISBLANK(Design!$B$32),Design!$B$31,Design!$B$32)*1000000)&lt;0,0,($B$2-B11*IF(ISBLANK(Design!$B$40),Constants!$C$6,Design!$B$40)/1000*(1+Constants!$C$29/100*(O11-25))-Design!$C$28) / (IF(ISBLANK(Design!$B$39),Design!$B$38,Design!$B$39)/1000000) * D11/100/(IF(ISBLANK(Design!$B$32),Design!$B$31,Design!$B$32)*1000000))</f>
        <v>0.63781897769861096</v>
      </c>
      <c r="F11" s="207">
        <f>$B$2*Constants!$C$18/1000+IF(ISBLANK(Design!$B$32),Design!$B$31,Design!$B$32)*1000000*Constants!$D$22/1000000000*($B$2-Constants!$C$21)</f>
        <v>7.7879999999999998E-3</v>
      </c>
      <c r="G11" s="207">
        <f>$B$2*B11*($B$2/(Constants!$C$23*1000000000)*IF(ISBLANK(Design!$B$32),Design!$B$31,Design!$B$32)*1000000/2+$B$2/(Constants!$C$24*1000000000)*IF(ISBLANK(Design!$B$32),Design!$B$31,Design!$B$32)*1000000/2)</f>
        <v>7.5555555555555556E-2</v>
      </c>
      <c r="H11" s="207">
        <f t="shared" ca="1" si="0"/>
        <v>0.30595552106569285</v>
      </c>
      <c r="I11" s="207">
        <f>Constants!$D$22/1000000000*Constants!$C$21*IF(ISBLANK(Design!$B$32),Design!$B$31,Design!$B$32)*1000000</f>
        <v>1.2499999999999999E-2</v>
      </c>
      <c r="J11" s="207">
        <f t="shared" ca="1" si="1"/>
        <v>0.40179907662124842</v>
      </c>
      <c r="K11" s="207">
        <f t="shared" ca="1" si="2"/>
        <v>0.46391778237346365</v>
      </c>
      <c r="L11" s="207">
        <f ca="1">B11^2*Design!$B$40/1000*(1+(O11-25)*(Constants!$C$29/100))</f>
        <v>8.42950714094505E-2</v>
      </c>
      <c r="M11" s="207">
        <f>0.5*Snubber!$B$16/1000000000000*$B$2^2*Design!$B$32*1000000</f>
        <v>7.5200000000000006E-3</v>
      </c>
      <c r="N11" s="208">
        <f ca="1">$A11+K11*Design!$B$19</f>
        <v>51.443313595287428</v>
      </c>
      <c r="O11" s="208">
        <f ca="1">J11*Design!$C$12+A11</f>
        <v>38.661168605122448</v>
      </c>
      <c r="P11" s="208">
        <f ca="1">Constants!$D$19+Constants!$D$19*Constants!$C$20/100*(O11-25)</f>
        <v>163.11472186091754</v>
      </c>
      <c r="Q11" s="207">
        <f ca="1">(1-Constants!$C$17/1000000000*Design!$B$32*1000000) * ($B$2+C11-B11*P11/1000) - (C11+B11*Design!$B$40/1000)</f>
        <v>7.2284041941440194</v>
      </c>
      <c r="R11" s="207">
        <f ca="1">IF(Q11&gt;Design!$C$28,Design!$C$28,Q11)</f>
        <v>3.2940895522388054</v>
      </c>
      <c r="S11" s="207">
        <f t="shared" ca="1" si="3"/>
        <v>0.95753193040416251</v>
      </c>
      <c r="T11" s="207">
        <f t="shared" ca="1" si="4"/>
        <v>6.5881791044776108</v>
      </c>
      <c r="U11" s="264">
        <f t="shared" ca="1" si="5"/>
        <v>87.310249147128047</v>
      </c>
      <c r="V11" s="223">
        <f t="shared" si="19"/>
        <v>2</v>
      </c>
      <c r="W11" s="158">
        <f ca="1">FORECAST(V11, OFFSET(Design!$C$15:$C$17,MATCH(V11,Design!$B$15:$B$17,1)-1,0,2), OFFSET(Design!$B$15:$B$17,MATCH(V11,Design!$B$15:$B$17,1)-1,0,2))+(AH11-25)*Design!$B$18/1000</f>
        <v>0.42649886990220653</v>
      </c>
      <c r="X11" s="224">
        <f ca="1">IF(100*(Design!$C$28+W11+V11*IF(ISBLANK(Design!$B$40),Constants!$C$6,Design!$B$40)/1000*(1+Constants!$C$29/100*(AI11-25)))/($V$2+W11-V11*AJ11/1000)&gt;Design!$C$35,Design!$C$35,100*(Design!$C$28+W11+V11*IF(ISBLANK(Design!$B$40),Constants!$C$6,Design!$B$40)/1000*(1+Constants!$C$29/100*(AI11-25)))/($V$2+W11-V11*AJ11/1000))</f>
        <v>31.097223697514405</v>
      </c>
      <c r="Y11" s="159">
        <f ca="1">($V$2-V11*IF(ISBLANK(Design!$B$40),Constants!$C$6,Design!$B$40)/1000*(1+Constants!$C$29/100*(AI11-25))-Design!$C$28) / (IF(ISBLANK(Design!$B$39),Design!$B$38,Design!$B$39)/1000000) * X11/100/(IF(ISBLANK(Design!$B$32),Design!$B$31,Design!$B$32)*1000000)</f>
        <v>0.79240661218792208</v>
      </c>
      <c r="Z11" s="225">
        <f>$V$2*Constants!$C$18/1000+IF(ISBLANK(Design!$B$32),Design!$B$31,Design!$B$32)*1000000*Constants!$D$22/1000000000*($V$2-Constants!$C$21)</f>
        <v>1.7932E-2</v>
      </c>
      <c r="AA11" s="225">
        <f>$V$2*V11*($V$2/(Constants!$C$23*1000000000)*IF(ISBLANK(Design!$B$32),Design!$B$31,Design!$B$32)*1000000/2+$V$2/(Constants!$C$24*1000000000)*IF(ISBLANK(Design!$B$32),Design!$B$31,Design!$B$32)*1000000/2)</f>
        <v>0.17</v>
      </c>
      <c r="AB11" s="225">
        <f t="shared" ca="1" si="6"/>
        <v>0.20573023982793676</v>
      </c>
      <c r="AC11" s="225">
        <f>Constants!$D$22/1000000000*Constants!$C$21*IF(ISBLANK(Design!$B$32),Design!$B$31,Design!$B$32)*1000000</f>
        <v>1.2499999999999999E-2</v>
      </c>
      <c r="AD11" s="225">
        <f t="shared" ca="1" si="7"/>
        <v>0.40616223982793681</v>
      </c>
      <c r="AE11" s="225">
        <f t="shared" ca="1" si="8"/>
        <v>0.58773912452269295</v>
      </c>
      <c r="AF11" s="225">
        <f ca="1">V11^2*Design!$B$40/1000*(1+(AI11-25)*(Constants!$C$29/100))</f>
        <v>8.4341711878864717E-2</v>
      </c>
      <c r="AG11" s="225">
        <f>0.5*Snubber!$B$16/1000000000000*$V$2^2*Design!$B$32*1000000</f>
        <v>1.6920000000000001E-2</v>
      </c>
      <c r="AH11" s="226">
        <f ca="1">$A11+AE11*Design!$B$19</f>
        <v>58.501130097793499</v>
      </c>
      <c r="AI11" s="226">
        <f ca="1">AD11*Design!$C$12+$A11</f>
        <v>38.809516154149854</v>
      </c>
      <c r="AJ11" s="226">
        <f ca="1">Constants!$D$19+Constants!$D$19*Constants!$C$20/100*(AI11-25)</f>
        <v>163.25713550798386</v>
      </c>
      <c r="AK11" s="225">
        <f ca="1">(1-Constants!$C$17/1000000000*Design!$B$32*1000000) * ($V$2+W11-V11*AJ11/1000) - (W11+V11*Design!$B$40/1000)</f>
        <v>11.028486499039719</v>
      </c>
      <c r="AL11" s="225">
        <f ca="1">IF(AK11&gt;Design!$C$28,Design!$C$28,AK11)</f>
        <v>3.2940895522388054</v>
      </c>
      <c r="AM11" s="225">
        <f t="shared" ca="1" si="9"/>
        <v>1.0951630762294946</v>
      </c>
      <c r="AN11" s="225">
        <f t="shared" ca="1" si="10"/>
        <v>6.5881791044776108</v>
      </c>
      <c r="AO11" s="268">
        <f t="shared" ca="1" si="11"/>
        <v>85.74626704795925</v>
      </c>
      <c r="AP11" s="237">
        <f t="shared" si="20"/>
        <v>2</v>
      </c>
      <c r="AQ11" s="160">
        <f ca="1">FORECAST(AP11, OFFSET(Design!$C$15:$C$17,MATCH(AP11,Design!$B$15:$B$17,1)-1,0,2), OFFSET(Design!$B$15:$B$17,MATCH(AP11,Design!$B$15:$B$17,1)-1,0,2))+(BB11-25)*Design!$B$18/1000</f>
        <v>0.42304226708549253</v>
      </c>
      <c r="AR11" s="238">
        <f ca="1">IF(100*(Design!$C$28+AQ11+AP11*IF(ISBLANK(Design!$B$40),Constants!$C$6,Design!$B$40)/1000*(1+Constants!$C$29/100*(BC11-25)))/($AP$2+AQ11-AP11*BD11/1000)&gt;Design!$C$35,Design!$C$35,100*(Design!$C$28+AQ11+AP11*IF(ISBLANK(Design!$B$40),Constants!$C$6,Design!$B$40)/1000*(1+Constants!$C$29/100*(BC11-25)))/($AP$2+AQ11-AP11*BD11/1000))</f>
        <v>23.366844208163464</v>
      </c>
      <c r="AS11" s="161">
        <f ca="1">($AP$2-AP11*IF(ISBLANK(Design!$B$40),Constants!$C$6,Design!$B$40)/1000*(1+Constants!$C$29/100*(BC11-25))-Design!$C$28) / (IF(ISBLANK(Design!$B$39),Design!$B$38,Design!$B$39)/1000000) * AR11/100/(IF(ISBLANK(Design!$B$32),Design!$B$31,Design!$B$32)*1000000)</f>
        <v>0.87029358712032101</v>
      </c>
      <c r="AT11" s="239">
        <f>$AP$2*Constants!$C$18/1000+IF(ISBLANK(Design!$B$32),Design!$B$31,Design!$B$32)*1000000*Constants!$D$22/1000000000*($AP$2-Constants!$C$21)</f>
        <v>2.8076E-2</v>
      </c>
      <c r="AU11" s="239">
        <f>$AP$2*AP11*($AP$2/(Constants!$C$23*1000000000)*IF(ISBLANK(Design!$B$32),Design!$B$31,Design!$B$32)*1000000/2+$AP$2/(Constants!$C$24*1000000000)*IF(ISBLANK(Design!$B$32),Design!$B$31,Design!$B$32)*1000000/2)</f>
        <v>0.30222222222222223</v>
      </c>
      <c r="AV11" s="239">
        <f t="shared" ca="1" si="12"/>
        <v>0.15793050871392222</v>
      </c>
      <c r="AW11" s="239">
        <f>Constants!$D$22/1000000000*Constants!$C$21*IF(ISBLANK(Design!$B$32),Design!$B$31,Design!$B$32)*1000000</f>
        <v>1.2499999999999999E-2</v>
      </c>
      <c r="AX11" s="239">
        <f t="shared" ca="1" si="13"/>
        <v>0.50072873093614445</v>
      </c>
      <c r="AY11" s="239">
        <f t="shared" ca="1" si="14"/>
        <v>0.64838127920188537</v>
      </c>
      <c r="AZ11" s="239">
        <f ca="1">AP11^2*Design!$B$40/1000*(1+(BC11-25)*(Constants!$C$29/100))</f>
        <v>8.5352589842215013E-2</v>
      </c>
      <c r="BA11" s="239">
        <f>0.5*Snubber!$B$16/1000000000000*$AP$2^2*Design!$B$32*1000000</f>
        <v>3.0080000000000003E-2</v>
      </c>
      <c r="BB11" s="240">
        <f ca="1">$A11+AY11*Design!$B$19</f>
        <v>61.957732914507467</v>
      </c>
      <c r="BC11" s="240">
        <f ca="1">AX11*Design!$C$12+$A11</f>
        <v>42.024776851828911</v>
      </c>
      <c r="BD11" s="240">
        <f ca="1">Constants!$D$19+Constants!$D$19*Constants!$C$20/100*(BC11-25)</f>
        <v>166.34378577775576</v>
      </c>
      <c r="BE11" s="239">
        <f ca="1">(1-Constants!$C$17/1000000000*Design!$B$32*1000000) * ($AP$2+AQ11-AP11*BD11/1000) - (AQ11+AP11*Design!$B$40/1000)</f>
        <v>14.822794693667989</v>
      </c>
      <c r="BF11" s="239">
        <f ca="1">IF(BE11&gt;Design!$C$28,Design!$C$28,BE11)</f>
        <v>3.2940895522388054</v>
      </c>
      <c r="BG11" s="239">
        <f t="shared" ca="1" si="15"/>
        <v>1.2645425999802449</v>
      </c>
      <c r="BH11" s="239">
        <f t="shared" ca="1" si="16"/>
        <v>6.5881791044776108</v>
      </c>
      <c r="BI11" s="271">
        <f t="shared" ca="1" si="17"/>
        <v>83.896760288061841</v>
      </c>
    </row>
    <row r="12" spans="1:61" s="162" customFormat="1" ht="12.75" x14ac:dyDescent="0.2">
      <c r="A12" s="154">
        <v>25</v>
      </c>
      <c r="B12" s="274">
        <f t="shared" si="18"/>
        <v>2.25</v>
      </c>
      <c r="C12" s="156">
        <f ca="1">FORECAST(B12, OFFSET(Design!$C$15:$C$17,MATCH(B12,Design!$B$15:$B$17,1)-1,0,2), OFFSET(Design!$B$15:$B$17,MATCH(B12,Design!$B$15:$B$17,1)-1,0,2))+(N12-25)*Design!$B$18/1000</f>
        <v>0.43650626508729834</v>
      </c>
      <c r="D12" s="215">
        <f ca="1">IF(100*(Design!$C$28+C12+B12*IF(ISBLANK(Design!$B$40),Constants!$C$6,Design!$B$40)/1000*(1+Constants!$C$29/100*(O12-25)))/($B$2+C12-B12*P12/1000)&gt;Design!$C$35,Design!$C$35,100*(Design!$C$28+C12+B12*IF(ISBLANK(Design!$B$40),Constants!$C$6,Design!$B$40)/1000*(1+Constants!$C$29/100*(O12-25)))/($B$2+C12-B12*P12/1000))</f>
        <v>46.869042008692858</v>
      </c>
      <c r="E12" s="157">
        <f ca="1">IF(($B$2-B12*IF(ISBLANK(Design!$B$40),Constants!$C$6,Design!$B$40)/1000*(1+Constants!$C$29/100*(O12-25))-Design!$C$28) / (IF(ISBLANK(Design!$B$39),Design!$B$38,Design!$B$39)/1000000) * D12/100/(IF(ISBLANK(Design!$B$32),Design!$B$31,Design!$B$32)*1000000)&lt;0,0,($B$2-B12*IF(ISBLANK(Design!$B$40),Constants!$C$6,Design!$B$40)/1000*(1+Constants!$C$29/100*(O12-25))-Design!$C$28) / (IF(ISBLANK(Design!$B$39),Design!$B$38,Design!$B$39)/1000000) * D12/100/(IF(ISBLANK(Design!$B$32),Design!$B$31,Design!$B$32)*1000000))</f>
        <v>0.64209030320493288</v>
      </c>
      <c r="F12" s="207">
        <f>$B$2*Constants!$C$18/1000+IF(ISBLANK(Design!$B$32),Design!$B$31,Design!$B$32)*1000000*Constants!$D$22/1000000000*($B$2-Constants!$C$21)</f>
        <v>7.7879999999999998E-3</v>
      </c>
      <c r="G12" s="207">
        <f>$B$2*B12*($B$2/(Constants!$C$23*1000000000)*IF(ISBLANK(Design!$B$32),Design!$B$31,Design!$B$32)*1000000/2+$B$2/(Constants!$C$24*1000000000)*IF(ISBLANK(Design!$B$32),Design!$B$31,Design!$B$32)*1000000/2)</f>
        <v>8.5000000000000006E-2</v>
      </c>
      <c r="H12" s="207">
        <f t="shared" ca="1" si="0"/>
        <v>0.39753315200898431</v>
      </c>
      <c r="I12" s="207">
        <f>Constants!$D$22/1000000000*Constants!$C$21*IF(ISBLANK(Design!$B$32),Design!$B$31,Design!$B$32)*1000000</f>
        <v>1.2499999999999999E-2</v>
      </c>
      <c r="J12" s="207">
        <f t="shared" ca="1" si="1"/>
        <v>0.50282115200898425</v>
      </c>
      <c r="K12" s="207">
        <f t="shared" ca="1" si="2"/>
        <v>0.52181991074915157</v>
      </c>
      <c r="L12" s="207">
        <f ca="1">B12^2*Design!$B$40/1000*(1+(O12-25)*(Constants!$C$29/100))</f>
        <v>0.10805267993605835</v>
      </c>
      <c r="M12" s="207">
        <f>0.5*Snubber!$B$16/1000000000000*$B$2^2*Design!$B$32*1000000</f>
        <v>7.5200000000000006E-3</v>
      </c>
      <c r="N12" s="208">
        <f ca="1">$A12+K12*Design!$B$19</f>
        <v>54.74373491270164</v>
      </c>
      <c r="O12" s="208">
        <f ca="1">J12*Design!$C$12+A12</f>
        <v>42.095919168305464</v>
      </c>
      <c r="P12" s="208">
        <f ca="1">Constants!$D$19+Constants!$D$19*Constants!$C$20/100*(O12-25)</f>
        <v>166.41208240157323</v>
      </c>
      <c r="Q12" s="207">
        <f ca="1">(1-Constants!$C$17/1000000000*Design!$B$32*1000000) * ($B$2+C12-B12*P12/1000) - (C12+B12*Design!$B$40/1000)</f>
        <v>7.1774688606122705</v>
      </c>
      <c r="R12" s="207">
        <f ca="1">IF(Q12&gt;Design!$C$28,Design!$C$28,Q12)</f>
        <v>3.2940895522388054</v>
      </c>
      <c r="S12" s="207">
        <f t="shared" ca="1" si="3"/>
        <v>1.1402137426941943</v>
      </c>
      <c r="T12" s="207">
        <f t="shared" ca="1" si="4"/>
        <v>7.4117014925373121</v>
      </c>
      <c r="U12" s="264">
        <f t="shared" ca="1" si="5"/>
        <v>86.667153364700908</v>
      </c>
      <c r="V12" s="223">
        <f t="shared" si="19"/>
        <v>2.25</v>
      </c>
      <c r="W12" s="158">
        <f ca="1">FORECAST(V12, OFFSET(Design!$C$15:$C$17,MATCH(V12,Design!$B$15:$B$17,1)-1,0,2), OFFSET(Design!$B$15:$B$17,MATCH(V12,Design!$B$15:$B$17,1)-1,0,2))+(AH12-25)*Design!$B$18/1000</f>
        <v>0.42848452845113233</v>
      </c>
      <c r="X12" s="224">
        <f ca="1">IF(100*(Design!$C$28+W12+V12*IF(ISBLANK(Design!$B$40),Constants!$C$6,Design!$B$40)/1000*(1+Constants!$C$29/100*(AI12-25)))/($V$2+W12-V12*AJ12/1000)&gt;Design!$C$35,Design!$C$35,100*(Design!$C$28+W12+V12*IF(ISBLANK(Design!$B$40),Constants!$C$6,Design!$B$40)/1000*(1+Constants!$C$29/100*(AI12-25)))/($V$2+W12-V12*AJ12/1000))</f>
        <v>31.276955207565834</v>
      </c>
      <c r="Y12" s="159">
        <f ca="1">($V$2-V12*IF(ISBLANK(Design!$B$40),Constants!$C$6,Design!$B$40)/1000*(1+Constants!$C$29/100*(AI12-25))-Design!$C$28) / (IF(ISBLANK(Design!$B$39),Design!$B$38,Design!$B$39)/1000000) * X12/100/(IF(ISBLANK(Design!$B$32),Design!$B$31,Design!$B$32)*1000000)</f>
        <v>0.7964567643008833</v>
      </c>
      <c r="Z12" s="225">
        <f>$V$2*Constants!$C$18/1000+IF(ISBLANK(Design!$B$32),Design!$B$31,Design!$B$32)*1000000*Constants!$D$22/1000000000*($V$2-Constants!$C$21)</f>
        <v>1.7932E-2</v>
      </c>
      <c r="AA12" s="225">
        <f>$V$2*V12*($V$2/(Constants!$C$23*1000000000)*IF(ISBLANK(Design!$B$32),Design!$B$31,Design!$B$32)*1000000/2+$V$2/(Constants!$C$24*1000000000)*IF(ISBLANK(Design!$B$32),Design!$B$31,Design!$B$32)*1000000/2)</f>
        <v>0.19125</v>
      </c>
      <c r="AB12" s="225">
        <f t="shared" ca="1" si="6"/>
        <v>0.26542708308833385</v>
      </c>
      <c r="AC12" s="225">
        <f>Constants!$D$22/1000000000*Constants!$C$21*IF(ISBLANK(Design!$B$32),Design!$B$31,Design!$B$32)*1000000</f>
        <v>1.2499999999999999E-2</v>
      </c>
      <c r="AD12" s="225">
        <f t="shared" ca="1" si="7"/>
        <v>0.48710908308833384</v>
      </c>
      <c r="AE12" s="225">
        <f t="shared" ca="1" si="8"/>
        <v>0.66255213243627442</v>
      </c>
      <c r="AF12" s="225">
        <f ca="1">V12^2*Design!$B$40/1000*(1+(AI12-25)*(Constants!$C$29/100))</f>
        <v>0.10784011096282915</v>
      </c>
      <c r="AG12" s="225">
        <f>0.5*Snubber!$B$16/1000000000000*$V$2^2*Design!$B$32*1000000</f>
        <v>1.6920000000000001E-2</v>
      </c>
      <c r="AH12" s="226">
        <f ca="1">$A12+AE12*Design!$B$19</f>
        <v>62.765471548867644</v>
      </c>
      <c r="AI12" s="226">
        <f ca="1">AD12*Design!$C$12+$A12</f>
        <v>41.56170882500335</v>
      </c>
      <c r="AJ12" s="226">
        <f ca="1">Constants!$D$19+Constants!$D$19*Constants!$C$20/100*(AI12-25)</f>
        <v>165.89924047200321</v>
      </c>
      <c r="AK12" s="225">
        <f ca="1">(1-Constants!$C$17/1000000000*Design!$B$32*1000000) * ($V$2+W12-V12*AJ12/1000) - (W12+V12*Design!$B$40/1000)</f>
        <v>10.978966147068535</v>
      </c>
      <c r="AL12" s="225">
        <f ca="1">IF(AK12&gt;Design!$C$28,Design!$C$28,AK12)</f>
        <v>3.2940895522388054</v>
      </c>
      <c r="AM12" s="225">
        <f t="shared" ca="1" si="9"/>
        <v>1.2744213264874373</v>
      </c>
      <c r="AN12" s="225">
        <f t="shared" ca="1" si="10"/>
        <v>7.4117014925373121</v>
      </c>
      <c r="AO12" s="268">
        <f t="shared" ca="1" si="11"/>
        <v>85.328076138917353</v>
      </c>
      <c r="AP12" s="237">
        <f t="shared" si="20"/>
        <v>2.25</v>
      </c>
      <c r="AQ12" s="160">
        <f ca="1">FORECAST(AP12, OFFSET(Design!$C$15:$C$17,MATCH(AP12,Design!$B$15:$B$17,1)-1,0,2), OFFSET(Design!$B$15:$B$17,MATCH(AP12,Design!$B$15:$B$17,1)-1,0,2))+(BB12-25)*Design!$B$18/1000</f>
        <v>0.42458279066246729</v>
      </c>
      <c r="AR12" s="238">
        <f ca="1">IF(100*(Design!$C$28+AQ12+AP12*IF(ISBLANK(Design!$B$40),Constants!$C$6,Design!$B$40)/1000*(1+Constants!$C$29/100*(BC12-25)))/($AP$2+AQ12-AP12*BD12/1000)&gt;Design!$C$35,Design!$C$35,100*(Design!$C$28+AQ12+AP12*IF(ISBLANK(Design!$B$40),Constants!$C$6,Design!$B$40)/1000*(1+Constants!$C$29/100*(BC12-25)))/($AP$2+AQ12-AP12*BD12/1000))</f>
        <v>23.480054233137288</v>
      </c>
      <c r="AS12" s="161">
        <f ca="1">($AP$2-AP12*IF(ISBLANK(Design!$B$40),Constants!$C$6,Design!$B$40)/1000*(1+Constants!$C$29/100*(BC12-25))-Design!$C$28) / (IF(ISBLANK(Design!$B$39),Design!$B$38,Design!$B$39)/1000000) * AR12/100/(IF(ISBLANK(Design!$B$32),Design!$B$31,Design!$B$32)*1000000)</f>
        <v>0.87410706949753614</v>
      </c>
      <c r="AT12" s="239">
        <f>$AP$2*Constants!$C$18/1000+IF(ISBLANK(Design!$B$32),Design!$B$31,Design!$B$32)*1000000*Constants!$D$22/1000000000*($AP$2-Constants!$C$21)</f>
        <v>2.8076E-2</v>
      </c>
      <c r="AU12" s="239">
        <f>$AP$2*AP12*($AP$2/(Constants!$C$23*1000000000)*IF(ISBLANK(Design!$B$32),Design!$B$31,Design!$B$32)*1000000/2+$AP$2/(Constants!$C$24*1000000000)*IF(ISBLANK(Design!$B$32),Design!$B$31,Design!$B$32)*1000000/2)</f>
        <v>0.34</v>
      </c>
      <c r="AV12" s="239">
        <f t="shared" ca="1" si="12"/>
        <v>0.20349005456163044</v>
      </c>
      <c r="AW12" s="239">
        <f>Constants!$D$22/1000000000*Constants!$C$21*IF(ISBLANK(Design!$B$32),Design!$B$31,Design!$B$32)*1000000</f>
        <v>1.2499999999999999E-2</v>
      </c>
      <c r="AX12" s="239">
        <f t="shared" ca="1" si="13"/>
        <v>0.58406605456163041</v>
      </c>
      <c r="AY12" s="239">
        <f t="shared" ca="1" si="14"/>
        <v>0.73100367258829246</v>
      </c>
      <c r="AZ12" s="239">
        <f ca="1">AP12^2*Design!$B$40/1000*(1+(BC12-25)*(Constants!$C$29/100))</f>
        <v>0.10915184425381566</v>
      </c>
      <c r="BA12" s="239">
        <f>0.5*Snubber!$B$16/1000000000000*$AP$2^2*Design!$B$32*1000000</f>
        <v>3.0080000000000003E-2</v>
      </c>
      <c r="BB12" s="240">
        <f ca="1">$A12+AY12*Design!$B$19</f>
        <v>66.667209337532668</v>
      </c>
      <c r="BC12" s="240">
        <f ca="1">AX12*Design!$C$12+$A12</f>
        <v>44.858245855095433</v>
      </c>
      <c r="BD12" s="240">
        <f ca="1">Constants!$D$19+Constants!$D$19*Constants!$C$20/100*(BC12-25)</f>
        <v>169.06391602089161</v>
      </c>
      <c r="BE12" s="239">
        <f ca="1">(1-Constants!$C$17/1000000000*Design!$B$32*1000000) * ($AP$2+AQ12-AP12*BD12/1000) - (AQ12+AP12*Design!$B$40/1000)</f>
        <v>14.772396739972217</v>
      </c>
      <c r="BF12" s="239">
        <f ca="1">IF(BE12&gt;Design!$C$28,Design!$C$28,BE12)</f>
        <v>3.2940895522388054</v>
      </c>
      <c r="BG12" s="239">
        <f t="shared" ca="1" si="15"/>
        <v>1.4543015714037386</v>
      </c>
      <c r="BH12" s="239">
        <f t="shared" ca="1" si="16"/>
        <v>7.4117014925373121</v>
      </c>
      <c r="BI12" s="271">
        <f t="shared" ca="1" si="17"/>
        <v>83.596874928697773</v>
      </c>
    </row>
    <row r="13" spans="1:61" s="162" customFormat="1" ht="12.75" x14ac:dyDescent="0.2">
      <c r="A13" s="154">
        <v>25</v>
      </c>
      <c r="B13" s="274">
        <f t="shared" si="18"/>
        <v>2.5</v>
      </c>
      <c r="C13" s="156">
        <f ca="1">FORECAST(B13, OFFSET(Design!$C$15:$C$17,MATCH(B13,Design!$B$15:$B$17,1)-1,0,2), OFFSET(Design!$B$15:$B$17,MATCH(B13,Design!$B$15:$B$17,1)-1,0,2))+(N13-25)*Design!$B$18/1000</f>
        <v>0.43947438615992468</v>
      </c>
      <c r="D13" s="215">
        <f ca="1">IF(100*(Design!$C$28+C13+B13*IF(ISBLANK(Design!$B$40),Constants!$C$6,Design!$B$40)/1000*(1+Constants!$C$29/100*(O13-25)))/($B$2+C13-B13*P13/1000)&gt;Design!$C$35,Design!$C$35,100*(Design!$C$28+C13+B13*IF(ISBLANK(Design!$B$40),Constants!$C$6,Design!$B$40)/1000*(1+Constants!$C$29/100*(O13-25)))/($B$2+C13-B13*P13/1000))</f>
        <v>47.26457310979054</v>
      </c>
      <c r="E13" s="157">
        <f ca="1">IF(($B$2-B13*IF(ISBLANK(Design!$B$40),Constants!$C$6,Design!$B$40)/1000*(1+Constants!$C$29/100*(O13-25))-Design!$C$28) / (IF(ISBLANK(Design!$B$39),Design!$B$38,Design!$B$39)/1000000) * D13/100/(IF(ISBLANK(Design!$B$32),Design!$B$31,Design!$B$32)*1000000)&lt;0,0,($B$2-B13*IF(ISBLANK(Design!$B$40),Constants!$C$6,Design!$B$40)/1000*(1+Constants!$C$29/100*(O13-25))-Design!$C$28) / (IF(ISBLANK(Design!$B$39),Design!$B$38,Design!$B$39)/1000000) * D13/100/(IF(ISBLANK(Design!$B$32),Design!$B$31,Design!$B$32)*1000000))</f>
        <v>0.64665791751860813</v>
      </c>
      <c r="F13" s="207">
        <f>$B$2*Constants!$C$18/1000+IF(ISBLANK(Design!$B$32),Design!$B$31,Design!$B$32)*1000000*Constants!$D$22/1000000000*($B$2-Constants!$C$21)</f>
        <v>7.7879999999999998E-3</v>
      </c>
      <c r="G13" s="207">
        <f>$B$2*B13*($B$2/(Constants!$C$23*1000000000)*IF(ISBLANK(Design!$B$32),Design!$B$31,Design!$B$32)*1000000/2+$B$2/(Constants!$C$24*1000000000)*IF(ISBLANK(Design!$B$32),Design!$B$31,Design!$B$32)*1000000/2)</f>
        <v>9.4444444444444442E-2</v>
      </c>
      <c r="H13" s="207">
        <f t="shared" ca="1" si="0"/>
        <v>0.50573477010334877</v>
      </c>
      <c r="I13" s="207">
        <f>Constants!$D$22/1000000000*Constants!$C$21*IF(ISBLANK(Design!$B$32),Design!$B$31,Design!$B$32)*1000000</f>
        <v>1.2499999999999999E-2</v>
      </c>
      <c r="J13" s="207">
        <f t="shared" ca="1" si="1"/>
        <v>0.62046721454779319</v>
      </c>
      <c r="K13" s="207">
        <f t="shared" ca="1" si="2"/>
        <v>0.57939673403640968</v>
      </c>
      <c r="L13" s="207">
        <f ca="1">B13^2*Design!$B$40/1000*(1+(O13-25)*(Constants!$C$29/100))</f>
        <v>0.13536335365098451</v>
      </c>
      <c r="M13" s="207">
        <f>0.5*Snubber!$B$16/1000000000000*$B$2^2*Design!$B$32*1000000</f>
        <v>7.5200000000000006E-3</v>
      </c>
      <c r="N13" s="208">
        <f ca="1">$A13+K13*Design!$B$19</f>
        <v>58.025613840075351</v>
      </c>
      <c r="O13" s="208">
        <f ca="1">J13*Design!$C$12+A13</f>
        <v>46.095885294624964</v>
      </c>
      <c r="P13" s="208">
        <f ca="1">Constants!$D$19+Constants!$D$19*Constants!$C$20/100*(O13-25)</f>
        <v>170.25204988283997</v>
      </c>
      <c r="Q13" s="207">
        <f ca="1">(1-Constants!$C$17/1000000000*Design!$B$32*1000000) * ($B$2+C13-B13*P13/1000) - (C13+B13*Design!$B$40/1000)</f>
        <v>7.123677662220258</v>
      </c>
      <c r="R13" s="207">
        <f ca="1">IF(Q13&gt;Design!$C$28,Design!$C$28,Q13)</f>
        <v>3.2940895522388054</v>
      </c>
      <c r="S13" s="207">
        <f t="shared" ca="1" si="3"/>
        <v>1.3427473022351872</v>
      </c>
      <c r="T13" s="207">
        <f t="shared" ca="1" si="4"/>
        <v>8.2352238805970135</v>
      </c>
      <c r="U13" s="264">
        <f t="shared" ca="1" si="5"/>
        <v>85.980879701935606</v>
      </c>
      <c r="V13" s="223">
        <f t="shared" si="19"/>
        <v>2.5</v>
      </c>
      <c r="W13" s="158">
        <f ca="1">FORECAST(V13, OFFSET(Design!$C$15:$C$17,MATCH(V13,Design!$B$15:$B$17,1)-1,0,2), OFFSET(Design!$B$15:$B$17,MATCH(V13,Design!$B$15:$B$17,1)-1,0,2))+(AH13-25)*Design!$B$18/1000</f>
        <v>0.43046021396778594</v>
      </c>
      <c r="X13" s="224">
        <f ca="1">IF(100*(Design!$C$28+W13+V13*IF(ISBLANK(Design!$B$40),Constants!$C$6,Design!$B$40)/1000*(1+Constants!$C$29/100*(AI13-25)))/($V$2+W13-V13*AJ13/1000)&gt;Design!$C$35,Design!$C$35,100*(Design!$C$28+W13+V13*IF(ISBLANK(Design!$B$40),Constants!$C$6,Design!$B$40)/1000*(1+Constants!$C$29/100*(AI13-25)))/($V$2+W13-V13*AJ13/1000))</f>
        <v>31.464968710579832</v>
      </c>
      <c r="Y13" s="159">
        <f ca="1">($V$2-V13*IF(ISBLANK(Design!$B$40),Constants!$C$6,Design!$B$40)/1000*(1+Constants!$C$29/100*(AI13-25))-Design!$C$28) / (IF(ISBLANK(Design!$B$39),Design!$B$38,Design!$B$39)/1000000) * X13/100/(IF(ISBLANK(Design!$B$32),Design!$B$31,Design!$B$32)*1000000)</f>
        <v>0.80069552390432774</v>
      </c>
      <c r="Z13" s="225">
        <f>$V$2*Constants!$C$18/1000+IF(ISBLANK(Design!$B$32),Design!$B$31,Design!$B$32)*1000000*Constants!$D$22/1000000000*($V$2-Constants!$C$21)</f>
        <v>1.7932E-2</v>
      </c>
      <c r="AA13" s="225">
        <f>$V$2*V13*($V$2/(Constants!$C$23*1000000000)*IF(ISBLANK(Design!$B$32),Design!$B$31,Design!$B$32)*1000000/2+$V$2/(Constants!$C$24*1000000000)*IF(ISBLANK(Design!$B$32),Design!$B$31,Design!$B$32)*1000000/2)</f>
        <v>0.21250000000000002</v>
      </c>
      <c r="AB13" s="225">
        <f t="shared" ca="1" si="6"/>
        <v>0.33491379479163835</v>
      </c>
      <c r="AC13" s="225">
        <f>Constants!$D$22/1000000000*Constants!$C$21*IF(ISBLANK(Design!$B$32),Design!$B$31,Design!$B$32)*1000000</f>
        <v>1.2499999999999999E-2</v>
      </c>
      <c r="AD13" s="225">
        <f t="shared" ca="1" si="7"/>
        <v>0.57784579479163833</v>
      </c>
      <c r="AE13" s="225">
        <f t="shared" ca="1" si="8"/>
        <v>0.73754010582831775</v>
      </c>
      <c r="AF13" s="225">
        <f ca="1">V13^2*Design!$B$40/1000*(1+(AI13-25)*(Constants!$C$29/100))</f>
        <v>0.13465146938750733</v>
      </c>
      <c r="AG13" s="225">
        <f>0.5*Snubber!$B$16/1000000000000*$V$2^2*Design!$B$32*1000000</f>
        <v>1.6920000000000001E-2</v>
      </c>
      <c r="AH13" s="226">
        <f ca="1">$A13+AE13*Design!$B$19</f>
        <v>67.03978603221411</v>
      </c>
      <c r="AI13" s="226">
        <f ca="1">AD13*Design!$C$12+$A13</f>
        <v>44.646757022915708</v>
      </c>
      <c r="AJ13" s="226">
        <f ca="1">Constants!$D$19+Constants!$D$19*Constants!$C$20/100*(AI13-25)</f>
        <v>168.86088674199908</v>
      </c>
      <c r="AK13" s="225">
        <f ca="1">(1-Constants!$C$17/1000000000*Design!$B$32*1000000) * ($V$2+W13-V13*AJ13/1000) - (W13+V13*Design!$B$40/1000)</f>
        <v>10.927432383289361</v>
      </c>
      <c r="AL13" s="225">
        <f ca="1">IF(AK13&gt;Design!$C$28,Design!$C$28,AK13)</f>
        <v>3.2940895522388054</v>
      </c>
      <c r="AM13" s="225">
        <f t="shared" ca="1" si="9"/>
        <v>1.4669573700074634</v>
      </c>
      <c r="AN13" s="225">
        <f t="shared" ca="1" si="10"/>
        <v>8.2352238805970135</v>
      </c>
      <c r="AO13" s="268">
        <f t="shared" ca="1" si="11"/>
        <v>84.880128167920304</v>
      </c>
      <c r="AP13" s="237">
        <f t="shared" si="20"/>
        <v>2.5</v>
      </c>
      <c r="AQ13" s="160">
        <f ca="1">FORECAST(AP13, OFFSET(Design!$C$15:$C$17,MATCH(AP13,Design!$B$15:$B$17,1)-1,0,2), OFFSET(Design!$B$15:$B$17,MATCH(AP13,Design!$B$15:$B$17,1)-1,0,2))+(BB13-25)*Design!$B$18/1000</f>
        <v>0.42610821737397525</v>
      </c>
      <c r="AR13" s="238">
        <f ca="1">IF(100*(Design!$C$28+AQ13+AP13*IF(ISBLANK(Design!$B$40),Constants!$C$6,Design!$B$40)/1000*(1+Constants!$C$29/100*(BC13-25)))/($AP$2+AQ13-AP13*BD13/1000)&gt;Design!$C$35,Design!$C$35,100*(Design!$C$28+AQ13+AP13*IF(ISBLANK(Design!$B$40),Constants!$C$6,Design!$B$40)/1000*(1+Constants!$C$29/100*(BC13-25)))/($AP$2+AQ13-AP13*BD13/1000))</f>
        <v>23.597725640735227</v>
      </c>
      <c r="AS13" s="161">
        <f ca="1">($AP$2-AP13*IF(ISBLANK(Design!$B$40),Constants!$C$6,Design!$B$40)/1000*(1+Constants!$C$29/100*(BC13-25))-Design!$C$28) / (IF(ISBLANK(Design!$B$39),Design!$B$38,Design!$B$39)/1000000) * AR13/100/(IF(ISBLANK(Design!$B$32),Design!$B$31,Design!$B$32)*1000000)</f>
        <v>0.87807157834075034</v>
      </c>
      <c r="AT13" s="239">
        <f>$AP$2*Constants!$C$18/1000+IF(ISBLANK(Design!$B$32),Design!$B$31,Design!$B$32)*1000000*Constants!$D$22/1000000000*($AP$2-Constants!$C$21)</f>
        <v>2.8076E-2</v>
      </c>
      <c r="AU13" s="239">
        <f>$AP$2*AP13*($AP$2/(Constants!$C$23*1000000000)*IF(ISBLANK(Design!$B$32),Design!$B$31,Design!$B$32)*1000000/2+$AP$2/(Constants!$C$24*1000000000)*IF(ISBLANK(Design!$B$32),Design!$B$31,Design!$B$32)*1000000/2)</f>
        <v>0.37777777777777777</v>
      </c>
      <c r="AV13" s="239">
        <f t="shared" ca="1" si="12"/>
        <v>0.25631493691366747</v>
      </c>
      <c r="AW13" s="239">
        <f>Constants!$D$22/1000000000*Constants!$C$21*IF(ISBLANK(Design!$B$32),Design!$B$31,Design!$B$32)*1000000</f>
        <v>1.2499999999999999E-2</v>
      </c>
      <c r="AX13" s="239">
        <f t="shared" ca="1" si="13"/>
        <v>0.67466871469144518</v>
      </c>
      <c r="AY13" s="239">
        <f t="shared" ca="1" si="14"/>
        <v>0.81389092326359225</v>
      </c>
      <c r="AZ13" s="239">
        <f ca="1">AP13^2*Design!$B$40/1000*(1+(BC13-25)*(Constants!$C$29/100))</f>
        <v>0.13626865420713385</v>
      </c>
      <c r="BA13" s="239">
        <f>0.5*Snubber!$B$16/1000000000000*$AP$2^2*Design!$B$32*1000000</f>
        <v>3.0080000000000003E-2</v>
      </c>
      <c r="BB13" s="240">
        <f ca="1">$A13+AY13*Design!$B$19</f>
        <v>71.391782626024764</v>
      </c>
      <c r="BC13" s="240">
        <f ca="1">AX13*Design!$C$12+$A13</f>
        <v>47.938736299509138</v>
      </c>
      <c r="BD13" s="240">
        <f ca="1">Constants!$D$19+Constants!$D$19*Constants!$C$20/100*(BC13-25)</f>
        <v>172.02118684752878</v>
      </c>
      <c r="BE13" s="239">
        <f ca="1">(1-Constants!$C$17/1000000000*Design!$B$32*1000000) * ($AP$2+AQ13-AP13*BD13/1000) - (AQ13+AP13*Design!$B$40/1000)</f>
        <v>14.72014427036842</v>
      </c>
      <c r="BF13" s="239">
        <f ca="1">IF(BE13&gt;Design!$C$28,Design!$C$28,BE13)</f>
        <v>3.2940895522388054</v>
      </c>
      <c r="BG13" s="239">
        <f t="shared" ca="1" si="15"/>
        <v>1.6549082921621714</v>
      </c>
      <c r="BH13" s="239">
        <f t="shared" ca="1" si="16"/>
        <v>8.2352238805970135</v>
      </c>
      <c r="BI13" s="271">
        <f t="shared" ca="1" si="17"/>
        <v>83.267076078918791</v>
      </c>
    </row>
    <row r="14" spans="1:61" s="162" customFormat="1" ht="12.75" x14ac:dyDescent="0.2">
      <c r="A14" s="154">
        <v>25</v>
      </c>
      <c r="B14" s="274">
        <f t="shared" si="18"/>
        <v>2.75</v>
      </c>
      <c r="C14" s="156">
        <f ca="1">FORECAST(B14, OFFSET(Design!$C$15:$C$17,MATCH(B14,Design!$B$15:$B$17,1)-1,0,2), OFFSET(Design!$B$15:$B$17,MATCH(B14,Design!$B$15:$B$17,1)-1,0,2))+(N14-25)*Design!$B$18/1000</f>
        <v>0.44246970156885396</v>
      </c>
      <c r="D14" s="215">
        <f ca="1">IF(100*(Design!$C$28+C14+B14*IF(ISBLANK(Design!$B$40),Constants!$C$6,Design!$B$40)/1000*(1+Constants!$C$29/100*(O14-25)))/($B$2+C14-B14*P14/1000)&gt;Design!$C$35,Design!$C$35,100*(Design!$C$28+C14+B14*IF(ISBLANK(Design!$B$40),Constants!$C$6,Design!$B$40)/1000*(1+Constants!$C$29/100*(O14-25)))/($B$2+C14-B14*P14/1000))</f>
        <v>47.690596958800981</v>
      </c>
      <c r="E14" s="157">
        <f ca="1">IF(($B$2-B14*IF(ISBLANK(Design!$B$40),Constants!$C$6,Design!$B$40)/1000*(1+Constants!$C$29/100*(O14-25))-Design!$C$28) / (IF(ISBLANK(Design!$B$39),Design!$B$38,Design!$B$39)/1000000) * D14/100/(IF(ISBLANK(Design!$B$32),Design!$B$31,Design!$B$32)*1000000)&lt;0,0,($B$2-B14*IF(ISBLANK(Design!$B$40),Constants!$C$6,Design!$B$40)/1000*(1+Constants!$C$29/100*(O14-25))-Design!$C$28) / (IF(ISBLANK(Design!$B$39),Design!$B$38,Design!$B$39)/1000000) * D14/100/(IF(ISBLANK(Design!$B$32),Design!$B$31,Design!$B$32)*1000000))</f>
        <v>0.65158614464145925</v>
      </c>
      <c r="F14" s="207">
        <f>$B$2*Constants!$C$18/1000+IF(ISBLANK(Design!$B$32),Design!$B$31,Design!$B$32)*1000000*Constants!$D$22/1000000000*($B$2-Constants!$C$21)</f>
        <v>7.7879999999999998E-3</v>
      </c>
      <c r="G14" s="207">
        <f>$B$2*B14*($B$2/(Constants!$C$23*1000000000)*IF(ISBLANK(Design!$B$32),Design!$B$31,Design!$B$32)*1000000/2+$B$2/(Constants!$C$24*1000000000)*IF(ISBLANK(Design!$B$32),Design!$B$31,Design!$B$32)*1000000/2)</f>
        <v>0.10388888888888889</v>
      </c>
      <c r="H14" s="207">
        <f t="shared" ca="1" si="0"/>
        <v>0.63308238823198826</v>
      </c>
      <c r="I14" s="207">
        <f>Constants!$D$22/1000000000*Constants!$C$21*IF(ISBLANK(Design!$B$32),Design!$B$31,Design!$B$32)*1000000</f>
        <v>1.2499999999999999E-2</v>
      </c>
      <c r="J14" s="207">
        <f t="shared" ca="1" si="1"/>
        <v>0.75725927712087715</v>
      </c>
      <c r="K14" s="207">
        <f t="shared" ca="1" si="2"/>
        <v>0.63649646370431634</v>
      </c>
      <c r="L14" s="207">
        <f ca="1">B14^2*Design!$B$40/1000*(1+(O14-25)*(Constants!$C$29/100))</f>
        <v>0.16655422892209487</v>
      </c>
      <c r="M14" s="207">
        <f>0.5*Snubber!$B$16/1000000000000*$B$2^2*Design!$B$32*1000000</f>
        <v>7.5200000000000006E-3</v>
      </c>
      <c r="N14" s="208">
        <f ca="1">$A14+K14*Design!$B$19</f>
        <v>61.280298431146029</v>
      </c>
      <c r="O14" s="208">
        <f ca="1">J14*Design!$C$12+A14</f>
        <v>50.746815422109819</v>
      </c>
      <c r="P14" s="208">
        <f ca="1">Constants!$D$19+Constants!$D$19*Constants!$C$20/100*(O14-25)</f>
        <v>174.71694280522541</v>
      </c>
      <c r="Q14" s="207">
        <f ca="1">(1-Constants!$C$17/1000000000*Design!$B$32*1000000) * ($B$2+C14-B14*P14/1000) - (C14+B14*Design!$B$40/1000)</f>
        <v>7.0664285018429052</v>
      </c>
      <c r="R14" s="207">
        <f ca="1">IF(Q14&gt;Design!$C$28,Design!$C$28,Q14)</f>
        <v>3.2940895522388054</v>
      </c>
      <c r="S14" s="207">
        <f t="shared" ca="1" si="3"/>
        <v>1.5678299697472884</v>
      </c>
      <c r="T14" s="207">
        <f t="shared" ca="1" si="4"/>
        <v>9.0587462686567157</v>
      </c>
      <c r="U14" s="264">
        <f t="shared" ca="1" si="5"/>
        <v>85.246141988035461</v>
      </c>
      <c r="V14" s="223">
        <f t="shared" si="19"/>
        <v>2.75</v>
      </c>
      <c r="W14" s="158">
        <f ca="1">FORECAST(V14, OFFSET(Design!$C$15:$C$17,MATCH(V14,Design!$B$15:$B$17,1)-1,0,2), OFFSET(Design!$B$15:$B$17,MATCH(V14,Design!$B$15:$B$17,1)-1,0,2))+(AH14-25)*Design!$B$18/1000</f>
        <v>0.4324287118943877</v>
      </c>
      <c r="X14" s="224">
        <f ca="1">IF(100*(Design!$C$28+W14+V14*IF(ISBLANK(Design!$B$40),Constants!$C$6,Design!$B$40)/1000*(1+Constants!$C$29/100*(AI14-25)))/($V$2+W14-V14*AJ14/1000)&gt;Design!$C$35,Design!$C$35,100*(Design!$C$28+W14+V14*IF(ISBLANK(Design!$B$40),Constants!$C$6,Design!$B$40)/1000*(1+Constants!$C$29/100*(AI14-25)))/($V$2+W14-V14*AJ14/1000))</f>
        <v>31.662583497384826</v>
      </c>
      <c r="Y14" s="159">
        <f ca="1">($V$2-V14*IF(ISBLANK(Design!$B$40),Constants!$C$6,Design!$B$40)/1000*(1+Constants!$C$29/100*(AI14-25))-Design!$C$28) / (IF(ISBLANK(Design!$B$39),Design!$B$38,Design!$B$39)/1000000) * X14/100/(IF(ISBLANK(Design!$B$32),Design!$B$31,Design!$B$32)*1000000)</f>
        <v>0.80515318861409391</v>
      </c>
      <c r="Z14" s="225">
        <f>$V$2*Constants!$C$18/1000+IF(ISBLANK(Design!$B$32),Design!$B$31,Design!$B$32)*1000000*Constants!$D$22/1000000000*($V$2-Constants!$C$21)</f>
        <v>1.7932E-2</v>
      </c>
      <c r="AA14" s="225">
        <f>$V$2*V14*($V$2/(Constants!$C$23*1000000000)*IF(ISBLANK(Design!$B$32),Design!$B$31,Design!$B$32)*1000000/2+$V$2/(Constants!$C$24*1000000000)*IF(ISBLANK(Design!$B$32),Design!$B$31,Design!$B$32)*1000000/2)</f>
        <v>0.23375000000000001</v>
      </c>
      <c r="AB14" s="225">
        <f t="shared" ca="1" si="6"/>
        <v>0.41521650412335015</v>
      </c>
      <c r="AC14" s="225">
        <f>Constants!$D$22/1000000000*Constants!$C$21*IF(ISBLANK(Design!$B$32),Design!$B$31,Design!$B$32)*1000000</f>
        <v>1.2499999999999999E-2</v>
      </c>
      <c r="AD14" s="225">
        <f t="shared" ca="1" si="7"/>
        <v>0.67939850412335012</v>
      </c>
      <c r="AE14" s="225">
        <f t="shared" ca="1" si="8"/>
        <v>0.81265417729144429</v>
      </c>
      <c r="AF14" s="225">
        <f ca="1">V14^2*Design!$B$40/1000*(1+(AI14-25)*(Constants!$C$29/100))</f>
        <v>0.16498066075329551</v>
      </c>
      <c r="AG14" s="225">
        <f>0.5*Snubber!$B$16/1000000000000*$V$2^2*Design!$B$32*1000000</f>
        <v>1.6920000000000001E-2</v>
      </c>
      <c r="AH14" s="226">
        <f ca="1">$A14+AE14*Design!$B$19</f>
        <v>71.321288105612325</v>
      </c>
      <c r="AI14" s="226">
        <f ca="1">AD14*Design!$C$12+$A14</f>
        <v>48.099549140193901</v>
      </c>
      <c r="AJ14" s="226">
        <f ca="1">Constants!$D$19+Constants!$D$19*Constants!$C$20/100*(AI14-25)</f>
        <v>172.17556717458615</v>
      </c>
      <c r="AK14" s="225">
        <f ca="1">(1-Constants!$C$17/1000000000*Design!$B$32*1000000) * ($V$2+W14-V14*AJ14/1000) - (W14+V14*Design!$B$40/1000)</f>
        <v>10.873569895161674</v>
      </c>
      <c r="AL14" s="225">
        <f ca="1">IF(AK14&gt;Design!$C$28,Design!$C$28,AK14)</f>
        <v>3.2940895522388054</v>
      </c>
      <c r="AM14" s="225">
        <f t="shared" ca="1" si="9"/>
        <v>1.6739533421680901</v>
      </c>
      <c r="AN14" s="225">
        <f t="shared" ca="1" si="10"/>
        <v>9.0587462686567157</v>
      </c>
      <c r="AO14" s="268">
        <f t="shared" ca="1" si="11"/>
        <v>84.403240537173218</v>
      </c>
      <c r="AP14" s="237">
        <f t="shared" si="20"/>
        <v>2.75</v>
      </c>
      <c r="AQ14" s="160">
        <f ca="1">FORECAST(AP14, OFFSET(Design!$C$15:$C$17,MATCH(AP14,Design!$B$15:$B$17,1)-1,0,2), OFFSET(Design!$B$15:$B$17,MATCH(AP14,Design!$B$15:$B$17,1)-1,0,2))+(BB14-25)*Design!$B$18/1000</f>
        <v>0.42762020479378698</v>
      </c>
      <c r="AR14" s="238">
        <f ca="1">IF(100*(Design!$C$28+AQ14+AP14*IF(ISBLANK(Design!$B$40),Constants!$C$6,Design!$B$40)/1000*(1+Constants!$C$29/100*(BC14-25)))/($AP$2+AQ14-AP14*BD14/1000)&gt;Design!$C$35,Design!$C$35,100*(Design!$C$28+AQ14+AP14*IF(ISBLANK(Design!$B$40),Constants!$C$6,Design!$B$40)/1000*(1+Constants!$C$29/100*(BC14-25)))/($AP$2+AQ14-AP14*BD14/1000))</f>
        <v>23.720421156197414</v>
      </c>
      <c r="AS14" s="161">
        <f ca="1">($AP$2-AP14*IF(ISBLANK(Design!$B$40),Constants!$C$6,Design!$B$40)/1000*(1+Constants!$C$29/100*(BC14-25))-Design!$C$28) / (IF(ISBLANK(Design!$B$39),Design!$B$38,Design!$B$39)/1000000) * AR14/100/(IF(ISBLANK(Design!$B$32),Design!$B$31,Design!$B$32)*1000000)</f>
        <v>0.88220629641561799</v>
      </c>
      <c r="AT14" s="239">
        <f>$AP$2*Constants!$C$18/1000+IF(ISBLANK(Design!$B$32),Design!$B$31,Design!$B$32)*1000000*Constants!$D$22/1000000000*($AP$2-Constants!$C$21)</f>
        <v>2.8076E-2</v>
      </c>
      <c r="AU14" s="239">
        <f>$AP$2*AP14*($AP$2/(Constants!$C$23*1000000000)*IF(ISBLANK(Design!$B$32),Design!$B$31,Design!$B$32)*1000000/2+$AP$2/(Constants!$C$24*1000000000)*IF(ISBLANK(Design!$B$32),Design!$B$31,Design!$B$32)*1000000/2)</f>
        <v>0.41555555555555557</v>
      </c>
      <c r="AV14" s="239">
        <f t="shared" ca="1" si="12"/>
        <v>0.31704508360525663</v>
      </c>
      <c r="AW14" s="239">
        <f>Constants!$D$22/1000000000*Constants!$C$21*IF(ISBLANK(Design!$B$32),Design!$B$31,Design!$B$32)*1000000</f>
        <v>1.2499999999999999E-2</v>
      </c>
      <c r="AX14" s="239">
        <f t="shared" ca="1" si="13"/>
        <v>0.77317663916081214</v>
      </c>
      <c r="AY14" s="239">
        <f t="shared" ca="1" si="14"/>
        <v>0.89701395098619374</v>
      </c>
      <c r="AZ14" s="239">
        <f ca="1">AP14^2*Design!$B$40/1000*(1+(BC14-25)*(Constants!$C$29/100))</f>
        <v>0.16687591920685602</v>
      </c>
      <c r="BA14" s="239">
        <f>0.5*Snubber!$B$16/1000000000000*$AP$2^2*Design!$B$32*1000000</f>
        <v>3.0080000000000003E-2</v>
      </c>
      <c r="BB14" s="240">
        <f ca="1">$A14+AY14*Design!$B$19</f>
        <v>76.129795206213046</v>
      </c>
      <c r="BC14" s="240">
        <f ca="1">AX14*Design!$C$12+$A14</f>
        <v>51.288005731467614</v>
      </c>
      <c r="BD14" s="240">
        <f ca="1">Constants!$D$19+Constants!$D$19*Constants!$C$20/100*(BC14-25)</f>
        <v>175.23648550220889</v>
      </c>
      <c r="BE14" s="239">
        <f ca="1">(1-Constants!$C$17/1000000000*Design!$B$32*1000000) * ($AP$2+AQ14-AP14*BD14/1000) - (AQ14+AP14*Design!$B$40/1000)</f>
        <v>14.66581367138579</v>
      </c>
      <c r="BF14" s="239">
        <f ca="1">IF(BE14&gt;Design!$C$28,Design!$C$28,BE14)</f>
        <v>3.2940895522388054</v>
      </c>
      <c r="BG14" s="239">
        <f t="shared" ca="1" si="15"/>
        <v>1.8671465093538619</v>
      </c>
      <c r="BH14" s="239">
        <f t="shared" ca="1" si="16"/>
        <v>9.0587462686567157</v>
      </c>
      <c r="BI14" s="271">
        <f t="shared" ca="1" si="17"/>
        <v>82.910810610262658</v>
      </c>
    </row>
    <row r="15" spans="1:61" s="162" customFormat="1" ht="12.75" x14ac:dyDescent="0.2">
      <c r="A15" s="154">
        <v>25</v>
      </c>
      <c r="B15" s="274">
        <f t="shared" si="18"/>
        <v>3</v>
      </c>
      <c r="C15" s="156">
        <f ca="1">FORECAST(B15, OFFSET(Design!$C$15:$C$17,MATCH(B15,Design!$B$15:$B$17,1)-1,0,2), OFFSET(Design!$B$15:$B$17,MATCH(B15,Design!$B$15:$B$17,1)-1,0,2))+(N15-25)*Design!$B$18/1000</f>
        <v>0.44550316382223321</v>
      </c>
      <c r="D15" s="215">
        <f ca="1">IF(100*(Design!$C$28+C15+B15*IF(ISBLANK(Design!$B$40),Constants!$C$6,Design!$B$40)/1000*(1+Constants!$C$29/100*(O15-25)))/($B$2+C15-B15*P15/1000)&gt;Design!$C$35,Design!$C$35,100*(Design!$C$28+C15+B15*IF(ISBLANK(Design!$B$40),Constants!$C$6,Design!$B$40)/1000*(1+Constants!$C$29/100*(O15-25)))/($B$2+C15-B15*P15/1000))</f>
        <v>48.15398207709616</v>
      </c>
      <c r="E15" s="157">
        <f ca="1">IF(($B$2-B15*IF(ISBLANK(Design!$B$40),Constants!$C$6,Design!$B$40)/1000*(1+Constants!$C$29/100*(O15-25))-Design!$C$28) / (IF(ISBLANK(Design!$B$39),Design!$B$38,Design!$B$39)/1000000) * D15/100/(IF(ISBLANK(Design!$B$32),Design!$B$31,Design!$B$32)*1000000)&lt;0,0,($B$2-B15*IF(ISBLANK(Design!$B$40),Constants!$C$6,Design!$B$40)/1000*(1+Constants!$C$29/100*(O15-25))-Design!$C$28) / (IF(ISBLANK(Design!$B$39),Design!$B$38,Design!$B$39)/1000000) * D15/100/(IF(ISBLANK(Design!$B$32),Design!$B$31,Design!$B$32)*1000000))</f>
        <v>0.65695671078235296</v>
      </c>
      <c r="F15" s="207">
        <f>$B$2*Constants!$C$18/1000+IF(ISBLANK(Design!$B$32),Design!$B$31,Design!$B$32)*1000000*Constants!$D$22/1000000000*($B$2-Constants!$C$21)</f>
        <v>7.7879999999999998E-3</v>
      </c>
      <c r="G15" s="207">
        <f>$B$2*B15*($B$2/(Constants!$C$23*1000000000)*IF(ISBLANK(Design!$B$32),Design!$B$31,Design!$B$32)*1000000/2+$B$2/(Constants!$C$24*1000000000)*IF(ISBLANK(Design!$B$32),Design!$B$31,Design!$B$32)*1000000/2)</f>
        <v>0.11333333333333334</v>
      </c>
      <c r="H15" s="207">
        <f t="shared" ca="1" si="0"/>
        <v>0.78283380565840288</v>
      </c>
      <c r="I15" s="207">
        <f>Constants!$D$22/1000000000*Constants!$C$21*IF(ISBLANK(Design!$B$32),Design!$B$31,Design!$B$32)*1000000</f>
        <v>1.2499999999999999E-2</v>
      </c>
      <c r="J15" s="207">
        <f t="shared" ca="1" si="1"/>
        <v>0.91645513899173614</v>
      </c>
      <c r="K15" s="207">
        <f t="shared" ca="1" si="2"/>
        <v>0.69292695048713615</v>
      </c>
      <c r="L15" s="207">
        <f ca="1">B15^2*Design!$B$40/1000*(1+(O15-25)*(Constants!$C$29/100))</f>
        <v>0.20204221242097364</v>
      </c>
      <c r="M15" s="207">
        <f>0.5*Snubber!$B$16/1000000000000*$B$2^2*Design!$B$32*1000000</f>
        <v>7.5200000000000006E-3</v>
      </c>
      <c r="N15" s="208">
        <f ca="1">$A15+K15*Design!$B$19</f>
        <v>64.496836177766767</v>
      </c>
      <c r="O15" s="208">
        <f ca="1">J15*Design!$C$12+A15</f>
        <v>56.159474725719029</v>
      </c>
      <c r="P15" s="208">
        <f ca="1">Constants!$D$19+Constants!$D$19*Constants!$C$20/100*(O15-25)</f>
        <v>179.91309573669025</v>
      </c>
      <c r="Q15" s="207">
        <f ca="1">(1-Constants!$C$17/1000000000*Design!$B$32*1000000) * ($B$2+C15-B15*P15/1000) - (C15+B15*Design!$B$40/1000)</f>
        <v>7.0049725189593204</v>
      </c>
      <c r="R15" s="207">
        <f ca="1">IF(Q15&gt;Design!$C$28,Design!$C$28,Q15)</f>
        <v>3.2940895522388054</v>
      </c>
      <c r="S15" s="207">
        <f t="shared" ca="1" si="3"/>
        <v>1.8189443018998461</v>
      </c>
      <c r="T15" s="207">
        <f t="shared" ca="1" si="4"/>
        <v>9.8822686567164162</v>
      </c>
      <c r="U15" s="264">
        <f t="shared" ca="1" si="5"/>
        <v>84.455079073144674</v>
      </c>
      <c r="V15" s="223">
        <f t="shared" si="19"/>
        <v>3</v>
      </c>
      <c r="W15" s="158">
        <f ca="1">FORECAST(V15, OFFSET(Design!$C$15:$C$17,MATCH(V15,Design!$B$15:$B$17,1)-1,0,2), OFFSET(Design!$B$15:$B$17,MATCH(V15,Design!$B$15:$B$17,1)-1,0,2))+(AH15-25)*Design!$B$18/1000</f>
        <v>0.43439320162155154</v>
      </c>
      <c r="X15" s="224">
        <f ca="1">IF(100*(Design!$C$28+W15+V15*IF(ISBLANK(Design!$B$40),Constants!$C$6,Design!$B$40)/1000*(1+Constants!$C$29/100*(AI15-25)))/($V$2+W15-V15*AJ15/1000)&gt;Design!$C$35,Design!$C$35,100*(Design!$C$28+W15+V15*IF(ISBLANK(Design!$B$40),Constants!$C$6,Design!$B$40)/1000*(1+Constants!$C$29/100*(AI15-25)))/($V$2+W15-V15*AJ15/1000))</f>
        <v>31.871357967180266</v>
      </c>
      <c r="Y15" s="159">
        <f ca="1">($V$2-V15*IF(ISBLANK(Design!$B$40),Constants!$C$6,Design!$B$40)/1000*(1+Constants!$C$29/100*(AI15-25))-Design!$C$28) / (IF(ISBLANK(Design!$B$39),Design!$B$38,Design!$B$39)/1000000) * X15/100/(IF(ISBLANK(Design!$B$32),Design!$B$31,Design!$B$32)*1000000)</f>
        <v>0.80986552670074041</v>
      </c>
      <c r="Z15" s="225">
        <f>$V$2*Constants!$C$18/1000+IF(ISBLANK(Design!$B$32),Design!$B$31,Design!$B$32)*1000000*Constants!$D$22/1000000000*($V$2-Constants!$C$21)</f>
        <v>1.7932E-2</v>
      </c>
      <c r="AA15" s="225">
        <f>$V$2*V15*($V$2/(Constants!$C$23*1000000000)*IF(ISBLANK(Design!$B$32),Design!$B$31,Design!$B$32)*1000000/2+$V$2/(Constants!$C$24*1000000000)*IF(ISBLANK(Design!$B$32),Design!$B$31,Design!$B$32)*1000000/2)</f>
        <v>0.255</v>
      </c>
      <c r="AB15" s="225">
        <f t="shared" ca="1" si="6"/>
        <v>0.50757248894580087</v>
      </c>
      <c r="AC15" s="225">
        <f>Constants!$D$22/1000000000*Constants!$C$21*IF(ISBLANK(Design!$B$32),Design!$B$31,Design!$B$32)*1000000</f>
        <v>1.2499999999999999E-2</v>
      </c>
      <c r="AD15" s="225">
        <f t="shared" ca="1" si="7"/>
        <v>0.79300448894580078</v>
      </c>
      <c r="AE15" s="225">
        <f t="shared" ca="1" si="8"/>
        <v>0.88783856804295536</v>
      </c>
      <c r="AF15" s="225">
        <f ca="1">V15^2*Design!$B$40/1000*(1+(AI15-25)*(Constants!$C$29/100))</f>
        <v>0.19907302676632885</v>
      </c>
      <c r="AG15" s="225">
        <f>0.5*Snubber!$B$16/1000000000000*$V$2^2*Design!$B$32*1000000</f>
        <v>1.6920000000000001E-2</v>
      </c>
      <c r="AH15" s="226">
        <f ca="1">$A15+AE15*Design!$B$19</f>
        <v>75.606798378448445</v>
      </c>
      <c r="AI15" s="226">
        <f ca="1">AD15*Design!$C$12+$A15</f>
        <v>51.962152624157227</v>
      </c>
      <c r="AJ15" s="226">
        <f ca="1">Constants!$D$19+Constants!$D$19*Constants!$C$20/100*(AI15-25)</f>
        <v>175.88366651919094</v>
      </c>
      <c r="AK15" s="225">
        <f ca="1">(1-Constants!$C$17/1000000000*Design!$B$32*1000000) * ($V$2+W15-V15*AJ15/1000) - (W15+V15*Design!$B$40/1000)</f>
        <v>10.817011890339227</v>
      </c>
      <c r="AL15" s="225">
        <f ca="1">IF(AK15&gt;Design!$C$28,Design!$C$28,AK15)</f>
        <v>3.2940895522388054</v>
      </c>
      <c r="AM15" s="225">
        <f t="shared" ca="1" si="9"/>
        <v>1.8968360837550851</v>
      </c>
      <c r="AN15" s="225">
        <f t="shared" ca="1" si="10"/>
        <v>9.8822686567164162</v>
      </c>
      <c r="AO15" s="268">
        <f t="shared" ca="1" si="11"/>
        <v>83.896602283891752</v>
      </c>
      <c r="AP15" s="237">
        <f t="shared" si="20"/>
        <v>3</v>
      </c>
      <c r="AQ15" s="160">
        <f ca="1">FORECAST(AP15, OFFSET(Design!$C$15:$C$17,MATCH(AP15,Design!$B$15:$B$17,1)-1,0,2), OFFSET(Design!$B$15:$B$17,MATCH(AP15,Design!$B$15:$B$17,1)-1,0,2))+(BB15-25)*Design!$B$18/1000</f>
        <v>0.42912053442562192</v>
      </c>
      <c r="AR15" s="238">
        <f ca="1">IF(100*(Design!$C$28+AQ15+AP15*IF(ISBLANK(Design!$B$40),Constants!$C$6,Design!$B$40)/1000*(1+Constants!$C$29/100*(BC15-25)))/($AP$2+AQ15-AP15*BD15/1000)&gt;Design!$C$35,Design!$C$35,100*(Design!$C$28+AQ15+AP15*IF(ISBLANK(Design!$B$40),Constants!$C$6,Design!$B$40)/1000*(1+Constants!$C$29/100*(BC15-25)))/($AP$2+AQ15-AP15*BD15/1000))</f>
        <v>23.848785080314233</v>
      </c>
      <c r="AS15" s="161">
        <f ca="1">($AP$2-AP15*IF(ISBLANK(Design!$B$40),Constants!$C$6,Design!$B$40)/1000*(1+Constants!$C$29/100*(BC15-25))-Design!$C$28) / (IF(ISBLANK(Design!$B$39),Design!$B$38,Design!$B$39)/1000000) * AR15/100/(IF(ISBLANK(Design!$B$32),Design!$B$31,Design!$B$32)*1000000)</f>
        <v>0.8865331766560931</v>
      </c>
      <c r="AT15" s="239">
        <f>$AP$2*Constants!$C$18/1000+IF(ISBLANK(Design!$B$32),Design!$B$31,Design!$B$32)*1000000*Constants!$D$22/1000000000*($AP$2-Constants!$C$21)</f>
        <v>2.8076E-2</v>
      </c>
      <c r="AU15" s="239">
        <f>$AP$2*AP15*($AP$2/(Constants!$C$23*1000000000)*IF(ISBLANK(Design!$B$32),Design!$B$31,Design!$B$32)*1000000/2+$AP$2/(Constants!$C$24*1000000000)*IF(ISBLANK(Design!$B$32),Design!$B$31,Design!$B$32)*1000000/2)</f>
        <v>0.45333333333333337</v>
      </c>
      <c r="AV15" s="239">
        <f t="shared" ca="1" si="12"/>
        <v>0.38642501890826669</v>
      </c>
      <c r="AW15" s="239">
        <f>Constants!$D$22/1000000000*Constants!$C$21*IF(ISBLANK(Design!$B$32),Design!$B$31,Design!$B$32)*1000000</f>
        <v>1.2499999999999999E-2</v>
      </c>
      <c r="AX15" s="239">
        <f t="shared" ca="1" si="13"/>
        <v>0.88033435224160006</v>
      </c>
      <c r="AY15" s="239">
        <f t="shared" ca="1" si="14"/>
        <v>0.98034150130487863</v>
      </c>
      <c r="AZ15" s="239">
        <f ca="1">AP15^2*Design!$B$40/1000*(1+(BC15-25)*(Constants!$C$29/100))</f>
        <v>0.20117344970637407</v>
      </c>
      <c r="BA15" s="239">
        <f>0.5*Snubber!$B$16/1000000000000*$AP$2^2*Design!$B$32*1000000</f>
        <v>3.0080000000000003E-2</v>
      </c>
      <c r="BB15" s="240">
        <f ca="1">$A15+AY15*Design!$B$19</f>
        <v>80.879465574378088</v>
      </c>
      <c r="BC15" s="240">
        <f ca="1">AX15*Design!$C$12+$A15</f>
        <v>54.931367976214403</v>
      </c>
      <c r="BD15" s="240">
        <f ca="1">Constants!$D$19+Constants!$D$19*Constants!$C$20/100*(BC15-25)</f>
        <v>178.73411325716583</v>
      </c>
      <c r="BE15" s="239">
        <f ca="1">(1-Constants!$C$17/1000000000*Design!$B$32*1000000) * ($AP$2+AQ15-AP15*BD15/1000) - (AQ15+AP15*Design!$B$40/1000)</f>
        <v>14.609151750495796</v>
      </c>
      <c r="BF15" s="239">
        <f ca="1">IF(BE15&gt;Design!$C$28,Design!$C$28,BE15)</f>
        <v>3.2940895522388054</v>
      </c>
      <c r="BG15" s="239">
        <f t="shared" ca="1" si="15"/>
        <v>2.0919293032528525</v>
      </c>
      <c r="BH15" s="239">
        <f t="shared" ca="1" si="16"/>
        <v>9.8822686567164162</v>
      </c>
      <c r="BI15" s="271">
        <f t="shared" ca="1" si="17"/>
        <v>82.529691673326724</v>
      </c>
    </row>
    <row r="16" spans="1:61" s="162" customFormat="1" ht="12.75" x14ac:dyDescent="0.2">
      <c r="A16" s="154">
        <v>25</v>
      </c>
      <c r="B16" s="274">
        <f t="shared" si="18"/>
        <v>3.25</v>
      </c>
      <c r="C16" s="156">
        <f ca="1">FORECAST(B16, OFFSET(Design!$C$15:$C$17,MATCH(B16,Design!$B$15:$B$17,1)-1,0,2), OFFSET(Design!$B$15:$B$17,MATCH(B16,Design!$B$15:$B$17,1)-1,0,2))+(N16-25)*Design!$B$18/1000</f>
        <v>0.44858894291804891</v>
      </c>
      <c r="D16" s="215">
        <f ca="1">IF(100*(Design!$C$28+C16+B16*IF(ISBLANK(Design!$B$40),Constants!$C$6,Design!$B$40)/1000*(1+Constants!$C$29/100*(O16-25)))/($B$2+C16-B16*P16/1000)&gt;Design!$C$35,Design!$C$35,100*(Design!$C$28+C16+B16*IF(ISBLANK(Design!$B$40),Constants!$C$6,Design!$B$40)/1000*(1+Constants!$C$29/100*(O16-25)))/($B$2+C16-B16*P16/1000))</f>
        <v>48.663668445091972</v>
      </c>
      <c r="E16" s="157">
        <f ca="1">IF(($B$2-B16*IF(ISBLANK(Design!$B$40),Constants!$C$6,Design!$B$40)/1000*(1+Constants!$C$29/100*(O16-25))-Design!$C$28) / (IF(ISBLANK(Design!$B$39),Design!$B$38,Design!$B$39)/1000000) * D16/100/(IF(ISBLANK(Design!$B$32),Design!$B$31,Design!$B$32)*1000000)&lt;0,0,($B$2-B16*IF(ISBLANK(Design!$B$40),Constants!$C$6,Design!$B$40)/1000*(1+Constants!$C$29/100*(O16-25))-Design!$C$28) / (IF(ISBLANK(Design!$B$39),Design!$B$38,Design!$B$39)/1000000) * D16/100/(IF(ISBLANK(Design!$B$32),Design!$B$31,Design!$B$32)*1000000))</f>
        <v>0.66287592685343022</v>
      </c>
      <c r="F16" s="207">
        <f>$B$2*Constants!$C$18/1000+IF(ISBLANK(Design!$B$32),Design!$B$31,Design!$B$32)*1000000*Constants!$D$22/1000000000*($B$2-Constants!$C$21)</f>
        <v>7.7879999999999998E-3</v>
      </c>
      <c r="G16" s="207">
        <f>$B$2*B16*($B$2/(Constants!$C$23*1000000000)*IF(ISBLANK(Design!$B$32),Design!$B$31,Design!$B$32)*1000000/2+$B$2/(Constants!$C$24*1000000000)*IF(ISBLANK(Design!$B$32),Design!$B$31,Design!$B$32)*1000000/2)</f>
        <v>0.12277777777777778</v>
      </c>
      <c r="H16" s="207">
        <f t="shared" ca="1" si="0"/>
        <v>0.95927125651324097</v>
      </c>
      <c r="I16" s="207">
        <f>Constants!$D$22/1000000000*Constants!$C$21*IF(ISBLANK(Design!$B$32),Design!$B$31,Design!$B$32)*1000000</f>
        <v>1.2499999999999999E-2</v>
      </c>
      <c r="J16" s="207">
        <f t="shared" ca="1" si="1"/>
        <v>1.1023370342910186</v>
      </c>
      <c r="K16" s="207">
        <f t="shared" ca="1" si="2"/>
        <v>0.74843959792896675</v>
      </c>
      <c r="L16" s="207">
        <f ca="1">B16^2*Design!$B$40/1000*(1+(O16-25)*(Constants!$C$29/100))</f>
        <v>0.24236591549276529</v>
      </c>
      <c r="M16" s="207">
        <f>0.5*Snubber!$B$16/1000000000000*$B$2^2*Design!$B$32*1000000</f>
        <v>7.5200000000000006E-3</v>
      </c>
      <c r="N16" s="208">
        <f ca="1">$A16+K16*Design!$B$19</f>
        <v>67.6610570819511</v>
      </c>
      <c r="O16" s="208">
        <f ca="1">J16*Design!$C$12+A16</f>
        <v>62.479459165894632</v>
      </c>
      <c r="P16" s="208">
        <f ca="1">Constants!$D$19+Constants!$D$19*Constants!$C$20/100*(O16-25)</f>
        <v>185.98028079925885</v>
      </c>
      <c r="Q16" s="207">
        <f ca="1">(1-Constants!$C$17/1000000000*Design!$B$32*1000000) * ($B$2+C16-B16*P16/1000) - (C16+B16*Design!$B$40/1000)</f>
        <v>6.9383564358863854</v>
      </c>
      <c r="R16" s="207">
        <f ca="1">IF(Q16&gt;Design!$C$28,Design!$C$28,Q16)</f>
        <v>3.2940895522388054</v>
      </c>
      <c r="S16" s="207">
        <f t="shared" ca="1" si="3"/>
        <v>2.1006625477127505</v>
      </c>
      <c r="T16" s="207">
        <f t="shared" ca="1" si="4"/>
        <v>10.705791044776117</v>
      </c>
      <c r="U16" s="264">
        <f t="shared" ca="1" si="5"/>
        <v>83.5968441025327</v>
      </c>
      <c r="V16" s="223">
        <f t="shared" si="19"/>
        <v>3.25</v>
      </c>
      <c r="W16" s="158">
        <f ca="1">FORECAST(V16, OFFSET(Design!$C$15:$C$17,MATCH(V16,Design!$B$15:$B$17,1)-1,0,2), OFFSET(Design!$B$15:$B$17,MATCH(V16,Design!$B$15:$B$17,1)-1,0,2))+(AH16-25)*Design!$B$18/1000</f>
        <v>0.4363573651012857</v>
      </c>
      <c r="X16" s="224">
        <f ca="1">IF(100*(Design!$C$28+W16+V16*IF(ISBLANK(Design!$B$40),Constants!$C$6,Design!$B$40)/1000*(1+Constants!$C$29/100*(AI16-25)))/($V$2+W16-V16*AJ16/1000)&gt;Design!$C$35,Design!$C$35,100*(Design!$C$28+W16+V16*IF(ISBLANK(Design!$B$40),Constants!$C$6,Design!$B$40)/1000*(1+Constants!$C$29/100*(AI16-25)))/($V$2+W16-V16*AJ16/1000))</f>
        <v>32.093155433942933</v>
      </c>
      <c r="Y16" s="159">
        <f ca="1">($V$2-V16*IF(ISBLANK(Design!$B$40),Constants!$C$6,Design!$B$40)/1000*(1+Constants!$C$29/100*(AI16-25))-Design!$C$28) / (IF(ISBLANK(Design!$B$39),Design!$B$38,Design!$B$39)/1000000) * X16/100/(IF(ISBLANK(Design!$B$32),Design!$B$31,Design!$B$32)*1000000)</f>
        <v>0.81487528275590126</v>
      </c>
      <c r="Z16" s="225">
        <f>$V$2*Constants!$C$18/1000+IF(ISBLANK(Design!$B$32),Design!$B$31,Design!$B$32)*1000000*Constants!$D$22/1000000000*($V$2-Constants!$C$21)</f>
        <v>1.7932E-2</v>
      </c>
      <c r="AA16" s="225">
        <f>$V$2*V16*($V$2/(Constants!$C$23*1000000000)*IF(ISBLANK(Design!$B$32),Design!$B$31,Design!$B$32)*1000000/2+$V$2/(Constants!$C$24*1000000000)*IF(ISBLANK(Design!$B$32),Design!$B$31,Design!$B$32)*1000000/2)</f>
        <v>0.27625</v>
      </c>
      <c r="AB16" s="225">
        <f t="shared" ca="1" si="6"/>
        <v>0.61348434044269617</v>
      </c>
      <c r="AC16" s="225">
        <f>Constants!$D$22/1000000000*Constants!$C$21*IF(ISBLANK(Design!$B$32),Design!$B$31,Design!$B$32)*1000000</f>
        <v>1.2499999999999999E-2</v>
      </c>
      <c r="AD16" s="225">
        <f t="shared" ca="1" si="7"/>
        <v>0.92016634044269607</v>
      </c>
      <c r="AE16" s="225">
        <f t="shared" ca="1" si="8"/>
        <v>0.96302868243358475</v>
      </c>
      <c r="AF16" s="225">
        <f ca="1">V16^2*Design!$B$40/1000*(1+(AI16-25)*(Constants!$C$29/100))</f>
        <v>0.23722374232910257</v>
      </c>
      <c r="AG16" s="225">
        <f>0.5*Snubber!$B$16/1000000000000*$V$2^2*Design!$B$32*1000000</f>
        <v>1.6920000000000001E-2</v>
      </c>
      <c r="AH16" s="226">
        <f ca="1">$A16+AE16*Design!$B$19</f>
        <v>79.892634898714334</v>
      </c>
      <c r="AI16" s="226">
        <f ca="1">AD16*Design!$C$12+$A16</f>
        <v>56.285655575051663</v>
      </c>
      <c r="AJ16" s="226">
        <f ca="1">Constants!$D$19+Constants!$D$19*Constants!$C$20/100*(AI16-25)</f>
        <v>180.03422935204961</v>
      </c>
      <c r="AK16" s="225">
        <f ca="1">(1-Constants!$C$17/1000000000*Design!$B$32*1000000) * ($V$2+W16-V16*AJ16/1000) - (W16+V16*Design!$B$40/1000)</f>
        <v>10.757326448620482</v>
      </c>
      <c r="AL16" s="225">
        <f ca="1">IF(AK16&gt;Design!$C$28,Design!$C$28,AK16)</f>
        <v>3.2940895522388054</v>
      </c>
      <c r="AM16" s="225">
        <f t="shared" ca="1" si="9"/>
        <v>2.1373387652053832</v>
      </c>
      <c r="AN16" s="225">
        <f t="shared" ca="1" si="10"/>
        <v>10.705791044776117</v>
      </c>
      <c r="AO16" s="268">
        <f t="shared" ca="1" si="11"/>
        <v>83.358115997984598</v>
      </c>
      <c r="AP16" s="237">
        <f t="shared" si="20"/>
        <v>3.25</v>
      </c>
      <c r="AQ16" s="160">
        <f ca="1">FORECAST(AP16, OFFSET(Design!$C$15:$C$17,MATCH(AP16,Design!$B$15:$B$17,1)-1,0,2), OFFSET(Design!$B$15:$B$17,MATCH(AP16,Design!$B$15:$B$17,1)-1,0,2))+(BB16-25)*Design!$B$18/1000</f>
        <v>0.43061114361230224</v>
      </c>
      <c r="AR16" s="238">
        <f ca="1">IF(100*(Design!$C$28+AQ16+AP16*IF(ISBLANK(Design!$B$40),Constants!$C$6,Design!$B$40)/1000*(1+Constants!$C$29/100*(BC16-25)))/($AP$2+AQ16-AP16*BD16/1000)&gt;Design!$C$35,Design!$C$35,100*(Design!$C$28+AQ16+AP16*IF(ISBLANK(Design!$B$40),Constants!$C$6,Design!$B$40)/1000*(1+Constants!$C$29/100*(BC16-25)))/($AP$2+AQ16-AP16*BD16/1000))</f>
        <v>23.983561036618621</v>
      </c>
      <c r="AS16" s="161">
        <f ca="1">($AP$2-AP16*IF(ISBLANK(Design!$B$40),Constants!$C$6,Design!$B$40)/1000*(1+Constants!$C$29/100*(BC16-25))-Design!$C$28) / (IF(ISBLANK(Design!$B$39),Design!$B$38,Design!$B$39)/1000000) * AR16/100/(IF(ISBLANK(Design!$B$32),Design!$B$31,Design!$B$32)*1000000)</f>
        <v>0.89107754480419077</v>
      </c>
      <c r="AT16" s="239">
        <f>$AP$2*Constants!$C$18/1000+IF(ISBLANK(Design!$B$32),Design!$B$31,Design!$B$32)*1000000*Constants!$D$22/1000000000*($AP$2-Constants!$C$21)</f>
        <v>2.8076E-2</v>
      </c>
      <c r="AU16" s="239">
        <f>$AP$2*AP16*($AP$2/(Constants!$C$23*1000000000)*IF(ISBLANK(Design!$B$32),Design!$B$31,Design!$B$32)*1000000/2+$AP$2/(Constants!$C$24*1000000000)*IF(ISBLANK(Design!$B$32),Design!$B$31,Design!$B$32)*1000000/2)</f>
        <v>0.49111111111111111</v>
      </c>
      <c r="AV16" s="239">
        <f t="shared" ca="1" si="12"/>
        <v>0.46532508009647783</v>
      </c>
      <c r="AW16" s="239">
        <f>Constants!$D$22/1000000000*Constants!$C$21*IF(ISBLANK(Design!$B$32),Design!$B$31,Design!$B$32)*1000000</f>
        <v>1.2499999999999999E-2</v>
      </c>
      <c r="AX16" s="239">
        <f t="shared" ca="1" si="13"/>
        <v>0.99701219120758888</v>
      </c>
      <c r="AY16" s="239">
        <f t="shared" ca="1" si="14"/>
        <v>1.0638395857490839</v>
      </c>
      <c r="AZ16" s="239">
        <f ca="1">AP16^2*Design!$B$40/1000*(1+(BC16-25)*(Constants!$C$29/100))</f>
        <v>0.23939288744895962</v>
      </c>
      <c r="BA16" s="239">
        <f>0.5*Snubber!$B$16/1000000000000*$AP$2^2*Design!$B$32*1000000</f>
        <v>3.0080000000000003E-2</v>
      </c>
      <c r="BB16" s="240">
        <f ca="1">$A16+AY16*Design!$B$19</f>
        <v>85.638856387697786</v>
      </c>
      <c r="BC16" s="240">
        <f ca="1">AX16*Design!$C$12+$A16</f>
        <v>58.898414501058021</v>
      </c>
      <c r="BD16" s="240">
        <f ca="1">Constants!$D$19+Constants!$D$19*Constants!$C$20/100*(BC16-25)</f>
        <v>182.54247792101569</v>
      </c>
      <c r="BE16" s="239">
        <f ca="1">(1-Constants!$C$17/1000000000*Design!$B$32*1000000) * ($AP$2+AQ16-AP16*BD16/1000) - (AQ16+AP16*Design!$B$40/1000)</f>
        <v>14.549869542238248</v>
      </c>
      <c r="BF16" s="239">
        <f ca="1">IF(BE16&gt;Design!$C$28,Design!$C$28,BE16)</f>
        <v>3.2940895522388054</v>
      </c>
      <c r="BG16" s="239">
        <f t="shared" ca="1" si="15"/>
        <v>2.3303246644056324</v>
      </c>
      <c r="BH16" s="239">
        <f t="shared" ca="1" si="16"/>
        <v>10.705791044776117</v>
      </c>
      <c r="BI16" s="271">
        <f t="shared" ca="1" si="17"/>
        <v>82.124087294159949</v>
      </c>
    </row>
    <row r="17" spans="1:61" s="162" customFormat="1" ht="13.5" thickBot="1" x14ac:dyDescent="0.25">
      <c r="A17" s="163">
        <v>25</v>
      </c>
      <c r="B17" s="274">
        <f t="shared" si="18"/>
        <v>3.5</v>
      </c>
      <c r="C17" s="165">
        <f ca="1">FORECAST(B17, OFFSET(Design!$C$15:$C$17,MATCH(B17,Design!$B$15:$B$17,1)-1,0,2), OFFSET(Design!$B$15:$B$17,MATCH(B17,Design!$B$15:$B$17,1)-1,0,2))+(N17-25)*Design!$B$18/1000</f>
        <v>0.45174585649565629</v>
      </c>
      <c r="D17" s="216">
        <f ca="1">IF(100*(Design!$C$28+C17+B17*IF(ISBLANK(Design!$B$40),Constants!$C$6,Design!$B$40)/1000*(1+Constants!$C$29/100*(O17-25)))/($B$2+C17-B17*P17/1000)&gt;Design!$C$35,Design!$C$35,100*(Design!$C$28+C17+B17*IF(ISBLANK(Design!$B$40),Constants!$C$6,Design!$B$40)/1000*(1+Constants!$C$29/100*(O17-25)))/($B$2+C17-B17*P17/1000))</f>
        <v>49.231614542055297</v>
      </c>
      <c r="E17" s="166">
        <f ca="1">IF(($B$2-B17*IF(ISBLANK(Design!$B$40),Constants!$C$6,Design!$B$40)/1000*(1+Constants!$C$29/100*(O17-25))-Design!$C$28) / (IF(ISBLANK(Design!$B$39),Design!$B$38,Design!$B$39)/1000000) * D17/100/(IF(ISBLANK(Design!$B$32),Design!$B$31,Design!$B$32)*1000000)&lt;0,0,($B$2-B17*IF(ISBLANK(Design!$B$40),Constants!$C$6,Design!$B$40)/1000*(1+Constants!$C$29/100*(O17-25))-Design!$C$28) / (IF(ISBLANK(Design!$B$39),Design!$B$38,Design!$B$39)/1000000) * D17/100/(IF(ISBLANK(Design!$B$32),Design!$B$31,Design!$B$32)*1000000))</f>
        <v>0.66948592417832575</v>
      </c>
      <c r="F17" s="207">
        <f>$B$2*Constants!$C$18/1000+IF(ISBLANK(Design!$B$32),Design!$B$31,Design!$B$32)*1000000*Constants!$D$22/1000000000*($B$2-Constants!$C$21)</f>
        <v>7.7879999999999998E-3</v>
      </c>
      <c r="G17" s="207">
        <f>$B$2*B17*($B$2/(Constants!$C$23*1000000000)*IF(ISBLANK(Design!$B$32),Design!$B$31,Design!$B$32)*1000000/2+$B$2/(Constants!$C$24*1000000000)*IF(ISBLANK(Design!$B$32),Design!$B$31,Design!$B$32)*1000000/2)</f>
        <v>0.13222222222222221</v>
      </c>
      <c r="H17" s="207">
        <f t="shared" ca="1" si="0"/>
        <v>1.1681509463380157</v>
      </c>
      <c r="I17" s="207">
        <f>Constants!$D$22/1000000000*Constants!$C$21*IF(ISBLANK(Design!$B$32),Design!$B$31,Design!$B$32)*1000000</f>
        <v>1.2499999999999999E-2</v>
      </c>
      <c r="J17" s="207">
        <f t="shared" ca="1" si="1"/>
        <v>1.3206611685602379</v>
      </c>
      <c r="K17" s="209">
        <f t="shared" ca="1" si="2"/>
        <v>0.8027042720060299</v>
      </c>
      <c r="L17" s="209">
        <f ca="1">B17^2*Design!$B$40/1000*(1+(O17-25)*(Constants!$C$29/100))</f>
        <v>0.28823435260903968</v>
      </c>
      <c r="M17" s="209">
        <f>0.5*Snubber!$B$16/1000000000000*$B$2^2*Design!$B$32*1000000</f>
        <v>7.5200000000000006E-3</v>
      </c>
      <c r="N17" s="210">
        <f ca="1">$A17+K17*Design!$B$19</f>
        <v>70.754143504343702</v>
      </c>
      <c r="O17" s="208">
        <f ca="1">J17*Design!$C$12+A17</f>
        <v>69.902479731048089</v>
      </c>
      <c r="P17" s="208">
        <f ca="1">Constants!$D$19+Constants!$D$19*Constants!$C$20/100*(O17-25)</f>
        <v>193.10638054180617</v>
      </c>
      <c r="Q17" s="209">
        <f ca="1">(1-Constants!$C$17/1000000000*Design!$B$32*1000000) * ($B$2+C17-B17*P17/1000) - (C17+B17*Design!$B$40/1000)</f>
        <v>6.86533399187371</v>
      </c>
      <c r="R17" s="209">
        <f ca="1">IF(Q17&gt;Design!$C$28,Design!$C$28,Q17)</f>
        <v>3.2940895522388054</v>
      </c>
      <c r="S17" s="209">
        <f t="shared" ca="1" si="3"/>
        <v>2.4191197931753075</v>
      </c>
      <c r="T17" s="209">
        <f t="shared" ca="1" si="4"/>
        <v>11.529313432835819</v>
      </c>
      <c r="U17" s="265">
        <f t="shared" ca="1" si="5"/>
        <v>82.656691586951013</v>
      </c>
      <c r="V17" s="223">
        <f t="shared" si="19"/>
        <v>3.5</v>
      </c>
      <c r="W17" s="167">
        <f ca="1">FORECAST(V17, OFFSET(Design!$C$15:$C$17,MATCH(V17,Design!$B$15:$B$17,1)-1,0,2), OFFSET(Design!$B$15:$B$17,MATCH(V17,Design!$B$15:$B$17,1)-1,0,2))+(AH17-25)*Design!$B$18/1000</f>
        <v>0.43832553374009842</v>
      </c>
      <c r="X17" s="228">
        <f ca="1">IF(100*(Design!$C$28+W17+V17*IF(ISBLANK(Design!$B$40),Constants!$C$6,Design!$B$40)/1000*(1+Constants!$C$29/100*(AI17-25)))/($V$2+W17-V17*AJ17/1000)&gt;Design!$C$35,Design!$C$35,100*(Design!$C$28+W17+V17*IF(ISBLANK(Design!$B$40),Constants!$C$6,Design!$B$40)/1000*(1+Constants!$C$29/100*(AI17-25)))/($V$2+W17-V17*AJ17/1000))</f>
        <v>32.330233323734717</v>
      </c>
      <c r="Y17" s="168">
        <f ca="1">($V$2-V17*IF(ISBLANK(Design!$B$40),Constants!$C$6,Design!$B$40)/1000*(1+Constants!$C$29/100*(AI17-25))-Design!$C$28) / (IF(ISBLANK(Design!$B$39),Design!$B$38,Design!$B$39)/1000000) * X17/100/(IF(ISBLANK(Design!$B$32),Design!$B$31,Design!$B$32)*1000000)</f>
        <v>0.8202342180539629</v>
      </c>
      <c r="Z17" s="225">
        <f>$V$2*Constants!$C$18/1000+IF(ISBLANK(Design!$B$32),Design!$B$31,Design!$B$32)*1000000*Constants!$D$22/1000000000*($V$2-Constants!$C$21)</f>
        <v>1.7932E-2</v>
      </c>
      <c r="AA17" s="225">
        <f>$V$2*V17*($V$2/(Constants!$C$23*1000000000)*IF(ISBLANK(Design!$B$32),Design!$B$31,Design!$B$32)*1000000/2+$V$2/(Constants!$C$24*1000000000)*IF(ISBLANK(Design!$B$32),Design!$B$31,Design!$B$32)*1000000/2)</f>
        <v>0.29750000000000004</v>
      </c>
      <c r="AB17" s="225">
        <f t="shared" ca="1" si="6"/>
        <v>0.73479335233759524</v>
      </c>
      <c r="AC17" s="225">
        <f>Constants!$D$22/1000000000*Constants!$C$21*IF(ISBLANK(Design!$B$32),Design!$B$31,Design!$B$32)*1000000</f>
        <v>1.2499999999999999E-2</v>
      </c>
      <c r="AD17" s="225">
        <f t="shared" ca="1" si="7"/>
        <v>1.0627253523375952</v>
      </c>
      <c r="AE17" s="229">
        <f t="shared" ca="1" si="8"/>
        <v>1.0381485308754665</v>
      </c>
      <c r="AF17" s="229">
        <f ca="1">V17^2*Design!$B$40/1000*(1+(AI17-25)*(Constants!$C$29/100))</f>
        <v>0.27979033358694061</v>
      </c>
      <c r="AG17" s="229">
        <f>0.5*Snubber!$B$16/1000000000000*$V$2^2*Design!$B$32*1000000</f>
        <v>1.6920000000000001E-2</v>
      </c>
      <c r="AH17" s="230">
        <f ca="1">$A17+AE17*Design!$B$19</f>
        <v>84.174466259901592</v>
      </c>
      <c r="AI17" s="226">
        <f ca="1">AD17*Design!$C$12+$A17</f>
        <v>61.132661979478236</v>
      </c>
      <c r="AJ17" s="226">
        <f ca="1">Constants!$D$19+Constants!$D$19*Constants!$C$20/100*(AI17-25)</f>
        <v>184.68735550029911</v>
      </c>
      <c r="AK17" s="229">
        <f ca="1">(1-Constants!$C$17/1000000000*Design!$B$32*1000000) * ($V$2+W17-V17*AJ17/1000) - (W17+V17*Design!$B$40/1000)</f>
        <v>10.6939982662745</v>
      </c>
      <c r="AL17" s="229">
        <f ca="1">IF(AK17&gt;Design!$C$28,Design!$C$28,AK17)</f>
        <v>3.2940895522388054</v>
      </c>
      <c r="AM17" s="229">
        <f t="shared" ca="1" si="9"/>
        <v>2.3975842168000021</v>
      </c>
      <c r="AN17" s="229">
        <f t="shared" ca="1" si="10"/>
        <v>11.529313432835819</v>
      </c>
      <c r="AO17" s="269">
        <f t="shared" ca="1" si="11"/>
        <v>82.78450608946136</v>
      </c>
      <c r="AP17" s="237">
        <f t="shared" si="20"/>
        <v>3.5</v>
      </c>
      <c r="AQ17" s="169">
        <f ca="1">FORECAST(AP17, OFFSET(Design!$C$15:$C$17,MATCH(AP17,Design!$B$15:$B$17,1)-1,0,2), OFFSET(Design!$B$15:$B$17,MATCH(AP17,Design!$B$15:$B$17,1)-1,0,2))+(BB17-25)*Design!$B$18/1000</f>
        <v>0.43209416586418892</v>
      </c>
      <c r="AR17" s="242">
        <f ca="1">IF(100*(Design!$C$28+AQ17+AP17*IF(ISBLANK(Design!$B$40),Constants!$C$6,Design!$B$40)/1000*(1+Constants!$C$29/100*(BC17-25)))/($AP$2+AQ17-AP17*BD17/1000)&gt;Design!$C$35,Design!$C$35,100*(Design!$C$28+AQ17+AP17*IF(ISBLANK(Design!$B$40),Constants!$C$6,Design!$B$40)/1000*(1+Constants!$C$29/100*(BC17-25)))/($AP$2+AQ17-AP17*BD17/1000))</f>
        <v>24.125614608795011</v>
      </c>
      <c r="AS17" s="170">
        <f ca="1">($AP$2-AP17*IF(ISBLANK(Design!$B$40),Constants!$C$6,Design!$B$40)/1000*(1+Constants!$C$29/100*(BC17-25))-Design!$C$28) / (IF(ISBLANK(Design!$B$39),Design!$B$38,Design!$B$39)/1000000) * AR17/100/(IF(ISBLANK(Design!$B$32),Design!$B$31,Design!$B$32)*1000000)</f>
        <v>0.89586886792849496</v>
      </c>
      <c r="AT17" s="239">
        <f>$AP$2*Constants!$C$18/1000+IF(ISBLANK(Design!$B$32),Design!$B$31,Design!$B$32)*1000000*Constants!$D$22/1000000000*($AP$2-Constants!$C$21)</f>
        <v>2.8076E-2</v>
      </c>
      <c r="AU17" s="239">
        <f>$AP$2*AP17*($AP$2/(Constants!$C$23*1000000000)*IF(ISBLANK(Design!$B$32),Design!$B$31,Design!$B$32)*1000000/2+$AP$2/(Constants!$C$24*1000000000)*IF(ISBLANK(Design!$B$32),Design!$B$31,Design!$B$32)*1000000/2)</f>
        <v>0.52888888888888885</v>
      </c>
      <c r="AV17" s="239">
        <f t="shared" ca="1" si="12"/>
        <v>0.55476849956076091</v>
      </c>
      <c r="AW17" s="239">
        <f>Constants!$D$22/1000000000*Constants!$C$21*IF(ISBLANK(Design!$B$32),Design!$B$31,Design!$B$32)*1000000</f>
        <v>1.2499999999999999E-2</v>
      </c>
      <c r="AX17" s="239">
        <f t="shared" ca="1" si="13"/>
        <v>1.1242333884496498</v>
      </c>
      <c r="AY17" s="243">
        <f t="shared" ca="1" si="14"/>
        <v>1.1474707743124752</v>
      </c>
      <c r="AZ17" s="243">
        <f ca="1">AP17^2*Design!$B$40/1000*(1+(BC17-25)*(Constants!$C$29/100))</f>
        <v>0.28180391601433735</v>
      </c>
      <c r="BA17" s="243">
        <f>0.5*Snubber!$B$16/1000000000000*$AP$2^2*Design!$B$32*1000000</f>
        <v>3.0080000000000003E-2</v>
      </c>
      <c r="BB17" s="244">
        <f ca="1">$A17+AY17*Design!$B$19</f>
        <v>90.405834135811091</v>
      </c>
      <c r="BC17" s="240">
        <f ca="1">AX17*Design!$C$12+$A17</f>
        <v>63.223935207288093</v>
      </c>
      <c r="BD17" s="240">
        <f ca="1">Constants!$D$19+Constants!$D$19*Constants!$C$20/100*(BC17-25)</f>
        <v>186.69497779899658</v>
      </c>
      <c r="BE17" s="243">
        <f ca="1">(1-Constants!$C$17/1000000000*Design!$B$32*1000000) * ($AP$2+AQ17-AP17*BD17/1000) - (AQ17+AP17*Design!$B$40/1000)</f>
        <v>14.487634490525126</v>
      </c>
      <c r="BF17" s="243">
        <f ca="1">IF(BE17&gt;Design!$C$28,Design!$C$28,BE17)</f>
        <v>3.2940895522388054</v>
      </c>
      <c r="BG17" s="243">
        <f t="shared" ca="1" si="15"/>
        <v>2.5835880787764625</v>
      </c>
      <c r="BH17" s="243">
        <f t="shared" ca="1" si="16"/>
        <v>11.529313432835819</v>
      </c>
      <c r="BI17" s="272">
        <f t="shared" ca="1" si="17"/>
        <v>81.693430818243485</v>
      </c>
    </row>
    <row r="18" spans="1:61" ht="15.75" thickBot="1" x14ac:dyDescent="0.3">
      <c r="A18" s="198" t="s">
        <v>210</v>
      </c>
      <c r="B18" s="198" t="s">
        <v>92</v>
      </c>
      <c r="C18" s="199" t="s">
        <v>235</v>
      </c>
      <c r="D18" s="211" t="s">
        <v>233</v>
      </c>
      <c r="E18" s="211" t="s">
        <v>234</v>
      </c>
      <c r="F18" s="211" t="s">
        <v>93</v>
      </c>
      <c r="G18" s="211" t="s">
        <v>94</v>
      </c>
      <c r="H18" s="211" t="s">
        <v>95</v>
      </c>
      <c r="I18" s="211" t="s">
        <v>198</v>
      </c>
      <c r="J18" s="211" t="s">
        <v>252</v>
      </c>
      <c r="K18" s="211" t="s">
        <v>254</v>
      </c>
      <c r="L18" s="211" t="s">
        <v>255</v>
      </c>
      <c r="M18" s="211" t="s">
        <v>268</v>
      </c>
      <c r="N18" s="211" t="s">
        <v>284</v>
      </c>
      <c r="O18" s="211" t="s">
        <v>285</v>
      </c>
      <c r="P18" s="211" t="s">
        <v>110</v>
      </c>
      <c r="Q18" s="211" t="s">
        <v>246</v>
      </c>
      <c r="R18" s="211" t="s">
        <v>253</v>
      </c>
      <c r="S18" s="245" t="s">
        <v>256</v>
      </c>
      <c r="T18" s="211" t="s">
        <v>257</v>
      </c>
      <c r="U18" s="266" t="s">
        <v>241</v>
      </c>
      <c r="V18" s="199" t="s">
        <v>92</v>
      </c>
      <c r="W18" s="199" t="s">
        <v>235</v>
      </c>
      <c r="X18" s="211" t="s">
        <v>233</v>
      </c>
      <c r="Y18" s="211" t="s">
        <v>234</v>
      </c>
      <c r="Z18" s="211" t="s">
        <v>93</v>
      </c>
      <c r="AA18" s="211" t="s">
        <v>94</v>
      </c>
      <c r="AB18" s="211" t="s">
        <v>95</v>
      </c>
      <c r="AC18" s="211" t="s">
        <v>198</v>
      </c>
      <c r="AD18" s="211" t="s">
        <v>252</v>
      </c>
      <c r="AE18" s="211" t="s">
        <v>254</v>
      </c>
      <c r="AF18" s="211" t="s">
        <v>255</v>
      </c>
      <c r="AG18" s="211" t="s">
        <v>268</v>
      </c>
      <c r="AH18" s="211" t="s">
        <v>284</v>
      </c>
      <c r="AI18" s="211" t="s">
        <v>285</v>
      </c>
      <c r="AJ18" s="211" t="s">
        <v>110</v>
      </c>
      <c r="AK18" s="211" t="s">
        <v>246</v>
      </c>
      <c r="AL18" s="211" t="s">
        <v>253</v>
      </c>
      <c r="AM18" s="211" t="s">
        <v>256</v>
      </c>
      <c r="AN18" s="211" t="s">
        <v>257</v>
      </c>
      <c r="AO18" s="266" t="s">
        <v>241</v>
      </c>
      <c r="AP18" s="199" t="s">
        <v>92</v>
      </c>
      <c r="AQ18" s="199" t="s">
        <v>235</v>
      </c>
      <c r="AR18" s="211" t="s">
        <v>233</v>
      </c>
      <c r="AS18" s="211" t="s">
        <v>234</v>
      </c>
      <c r="AT18" s="211" t="s">
        <v>93</v>
      </c>
      <c r="AU18" s="211" t="s">
        <v>94</v>
      </c>
      <c r="AV18" s="211" t="s">
        <v>95</v>
      </c>
      <c r="AW18" s="211" t="s">
        <v>198</v>
      </c>
      <c r="AX18" s="211" t="s">
        <v>252</v>
      </c>
      <c r="AY18" s="211" t="s">
        <v>254</v>
      </c>
      <c r="AZ18" s="211" t="s">
        <v>255</v>
      </c>
      <c r="BA18" s="211" t="s">
        <v>268</v>
      </c>
      <c r="BB18" s="211" t="s">
        <v>284</v>
      </c>
      <c r="BC18" s="211" t="s">
        <v>285</v>
      </c>
      <c r="BD18" s="211" t="s">
        <v>110</v>
      </c>
      <c r="BE18" s="211" t="s">
        <v>246</v>
      </c>
      <c r="BF18" s="211" t="s">
        <v>253</v>
      </c>
      <c r="BG18" s="211" t="s">
        <v>256</v>
      </c>
      <c r="BH18" s="211" t="s">
        <v>257</v>
      </c>
      <c r="BI18" s="266" t="s">
        <v>241</v>
      </c>
    </row>
    <row r="19" spans="1:61" ht="12.75" customHeight="1" x14ac:dyDescent="0.25">
      <c r="A19" s="201">
        <f>Design!$D$13</f>
        <v>85</v>
      </c>
      <c r="B19" s="273">
        <v>0.25</v>
      </c>
      <c r="C19" s="203">
        <f ca="1">FORECAST(B19, OFFSET(Design!$C$15:$C$17,MATCH(B19,Design!$B$15:$B$17,1)-1,0,2), OFFSET(Design!$B$15:$B$17,MATCH(B19,Design!$B$15:$B$17,1)-1,0,2))+(N19-25)*Design!$B$18/1000</f>
        <v>0.26177712536879927</v>
      </c>
      <c r="D19" s="214">
        <f ca="1">IF(100*(Design!$C$28+C19+B19*IF(ISBLANK(Design!$B$40),Constants!$C$6,Design!$B$40)/1000*(1+Constants!$C$29/100*(O19-25)))/($B$2+C19-B19*P19/1000)&gt;Design!$C$35,Design!$C$35,100*(Design!$C$28+C19+B19*IF(ISBLANK(Design!$B$40),Constants!$C$6,Design!$B$40)/1000*(1+Constants!$C$29/100*(O19-25)))/($B$2+C19-B19*P19/1000))</f>
        <v>43.389273976638691</v>
      </c>
      <c r="E19" s="204">
        <f ca="1">IF(($B$2-B19*IF(ISBLANK(Design!$B$40),Constants!$C$6,Design!$B$40)/1000*(1+Constants!$C$29/100*(O19-25))-Design!$C$28) / (IF(ISBLANK(Design!$B$39),Design!$B$38,Design!$B$39)/1000000) * D19/100/(IF(ISBLANK(Design!$B$32),Design!$B$31,Design!$B$32)*1000000)&lt;0,0,($B$2-B19*IF(ISBLANK(Design!$B$40),Constants!$C$6,Design!$B$40)/1000*(1+Constants!$C$29/100*(O19-25))-Design!$C$28) / (IF(ISBLANK(Design!$B$39),Design!$B$38,Design!$B$39)/1000000) * D19/100/(IF(ISBLANK(Design!$B$32),Design!$B$31,Design!$B$32)*1000000))</f>
        <v>0.59975538409673834</v>
      </c>
      <c r="F19" s="205">
        <f>$B$2*Constants!$C$18/1000+IF(ISBLANK(Design!$B$32),Design!$B$31,Design!$B$32)*1000000*Constants!$D$22/1000000000*($B$2-Constants!$C$21)</f>
        <v>7.7879999999999998E-3</v>
      </c>
      <c r="G19" s="205">
        <f>$B$2*B19*($B$2/(Constants!$C$23*1000000000)*IF(ISBLANK(Design!$B$32),Design!$B$31,Design!$B$32)*1000000/2+$B$2/(Constants!$C$24*1000000000)*IF(ISBLANK(Design!$B$32),Design!$B$31,Design!$B$32)*1000000/2)</f>
        <v>9.4444444444444445E-3</v>
      </c>
      <c r="H19" s="205">
        <f t="shared" ref="H19:H32" ca="1" si="21">IF($D$86,1,D19/100*(B19^2+E19^2/12)*P19/1000)</f>
        <v>8.3797534455801962E-3</v>
      </c>
      <c r="I19" s="205">
        <f>Constants!$D$22/1000000000*Constants!$C$21*IF(ISBLANK(Design!$B$32),Design!$B$31,Design!$B$32)*1000000</f>
        <v>1.2499999999999999E-2</v>
      </c>
      <c r="J19" s="205">
        <f t="shared" ref="J19:J32" ca="1" si="22">SUM(F19:I19)</f>
        <v>3.8112197890024638E-2</v>
      </c>
      <c r="K19" s="205">
        <f t="shared" ref="K19:K32" ca="1" si="23">B19*C19*(1-D19/100)</f>
        <v>3.7048482808590494E-2</v>
      </c>
      <c r="L19" s="205">
        <f ca="1">B19^2*Design!$B$40/1000*(1+(O19-25)*(Constants!$C$29/100))</f>
        <v>1.5511156898525814E-3</v>
      </c>
      <c r="M19" s="205">
        <f>0.5*Snubber!$B$16/1000000000000*$B$2^2*Design!$B$32*1000000</f>
        <v>7.5200000000000006E-3</v>
      </c>
      <c r="N19" s="206">
        <f ca="1">$A19+K19*Design!$B$19</f>
        <v>87.111763520089653</v>
      </c>
      <c r="O19" s="206">
        <f ca="1">J19*Design!$C$12+A19</f>
        <v>86.295814728260837</v>
      </c>
      <c r="P19" s="206">
        <f ca="1">Constants!$D$19+Constants!$D$19*Constants!$C$20/100*(O19-25)</f>
        <v>208.84398213913039</v>
      </c>
      <c r="Q19" s="205">
        <f ca="1">(1-Constants!$C$17/1000000000*Design!$B$32*1000000) * ($B$2+C19-B19*P19/1000) - (C19+B19*Design!$B$40/1000)</f>
        <v>7.5323106979735162</v>
      </c>
      <c r="R19" s="205">
        <f ca="1">IF(Q19&gt;Design!$C$28,Design!$C$28,Q19)</f>
        <v>3.2940895522388054</v>
      </c>
      <c r="S19" s="205">
        <f t="shared" ref="S19:S32" ca="1" si="24">SUM(J19:M19)</f>
        <v>8.4231796388467714E-2</v>
      </c>
      <c r="T19" s="205">
        <f t="shared" ref="T19:T32" ca="1" si="25">R19*B19</f>
        <v>0.82352238805970135</v>
      </c>
      <c r="U19" s="263">
        <f t="shared" ref="U19:U32" ca="1" si="26">100*T19/(T19+S19)</f>
        <v>90.720858374266498</v>
      </c>
      <c r="V19" s="217">
        <v>0.25</v>
      </c>
      <c r="W19" s="218">
        <f ca="1">FORECAST(V19, OFFSET(Design!$C$15:$C$17,MATCH(V19,Design!$B$15:$B$17,1)-1,0,2), OFFSET(Design!$B$15:$B$17,MATCH(V19,Design!$B$15:$B$17,1)-1,0,2))+(AH19-25)*Design!$B$18/1000</f>
        <v>0.26125207017539354</v>
      </c>
      <c r="X19" s="219">
        <f ca="1">IF(100*(Design!$C$28+W19+V19*IF(ISBLANK(Design!$B$40),Constants!$C$6,Design!$B$40)/1000*(1+Constants!$C$29/100*(AI19-25)))/($V$2+W19-V19*AJ19/1000)&gt;Design!$C$35,Design!$C$35,100*(Design!$C$28+W19+V19*IF(ISBLANK(Design!$B$40),Constants!$C$6,Design!$B$40)/1000*(1+Constants!$C$29/100*(AI19-25)))/($V$2+W19-V19*AJ19/1000))</f>
        <v>29.171887673562811</v>
      </c>
      <c r="Y19" s="220">
        <f ca="1">($V$2-V19*IF(ISBLANK(Design!$B$40),Constants!$C$6,Design!$B$40)/1000*(1+Constants!$C$29/100*(AI19-25))-Design!$C$28) / (IF(ISBLANK(Design!$B$39),Design!$B$38,Design!$B$39)/1000000) * X19/100/(IF(ISBLANK(Design!$B$32),Design!$B$31,Design!$B$32)*1000000)</f>
        <v>0.74643073989618092</v>
      </c>
      <c r="Z19" s="221">
        <f>$V$2*Constants!$C$18/1000+IF(ISBLANK(Design!$B$32),Design!$B$31,Design!$B$32)*1000000*Constants!$D$22/1000000000*($V$2-Constants!$C$21)</f>
        <v>1.7932E-2</v>
      </c>
      <c r="AA19" s="221">
        <f>$V$2*V19*($V$2/(Constants!$C$23*1000000000)*IF(ISBLANK(Design!$B$32),Design!$B$31,Design!$B$32)*1000000/2+$V$2/(Constants!$C$24*1000000000)*IF(ISBLANK(Design!$B$32),Design!$B$31,Design!$B$32)*1000000/2)</f>
        <v>2.1250000000000002E-2</v>
      </c>
      <c r="AB19" s="221">
        <f t="shared" ref="AB19:AB32" ca="1" si="27">IF($D$86,1,X19/100*(V19^2+Y19^2/12)*AJ19/1000)</f>
        <v>6.6573958884738049E-3</v>
      </c>
      <c r="AC19" s="221">
        <f>Constants!$D$22/1000000000*Constants!$C$21*IF(ISBLANK(Design!$B$32),Design!$B$31,Design!$B$32)*1000000</f>
        <v>1.2499999999999999E-2</v>
      </c>
      <c r="AD19" s="221">
        <f t="shared" ref="AD19:AD32" ca="1" si="28">SUM(Z19:AC19)</f>
        <v>5.8339395888473804E-2</v>
      </c>
      <c r="AE19" s="221">
        <f t="shared" ref="AE19:AE32" ca="1" si="29">V19*W19*(1-X19/100)</f>
        <v>4.6259977429742562E-2</v>
      </c>
      <c r="AF19" s="221">
        <f ca="1">V19^2*Design!$B$40/1000*(1+(AI19-25)*(Constants!$C$29/100))</f>
        <v>1.5544941375982724E-3</v>
      </c>
      <c r="AG19" s="221">
        <f>0.5*Snubber!$B$16/1000000000000*$V$2^2*Design!$B$32*1000000</f>
        <v>1.6920000000000001E-2</v>
      </c>
      <c r="AH19" s="222">
        <f ca="1">$A19+AE19*Design!$B$19</f>
        <v>87.63681871349533</v>
      </c>
      <c r="AI19" s="222">
        <f ca="1">AD19*Design!$C$12+$A19</f>
        <v>86.983539460208107</v>
      </c>
      <c r="AJ19" s="222">
        <f ca="1">Constants!$D$19+Constants!$D$19*Constants!$C$20/100*(AI19-25)</f>
        <v>209.50419788179977</v>
      </c>
      <c r="AK19" s="221">
        <f ca="1">(1-Constants!$C$17/1000000000*Design!$B$32*1000000) * ($V$2+W19-V19*AJ19/1000) - (W19+V19*Design!$B$40/1000)</f>
        <v>11.332180149494302</v>
      </c>
      <c r="AL19" s="221">
        <f ca="1">IF(AK19&gt;Design!$C$28,Design!$C$28,AK19)</f>
        <v>3.2940895522388054</v>
      </c>
      <c r="AM19" s="221">
        <f t="shared" ref="AM19:AM32" ca="1" si="30">SUM(AD19:AG19)</f>
        <v>0.12307386745581464</v>
      </c>
      <c r="AN19" s="221">
        <f t="shared" ref="AN19:AN32" ca="1" si="31">AL19*V19</f>
        <v>0.82352238805970135</v>
      </c>
      <c r="AO19" s="267">
        <f t="shared" ref="AO19:AO32" ca="1" si="32">100*AN19/(AN19+AM19)</f>
        <v>86.998272311061626</v>
      </c>
      <c r="AP19" s="231">
        <v>0.25</v>
      </c>
      <c r="AQ19" s="232">
        <f ca="1">FORECAST(AP19, OFFSET(Design!$C$15:$C$17,MATCH(AP19,Design!$B$15:$B$17,1)-1,0,2), OFFSET(Design!$B$15:$B$17,MATCH(AP19,Design!$B$15:$B$17,1)-1,0,2))+(BB19-25)*Design!$B$18/1000</f>
        <v>0.26098697758441275</v>
      </c>
      <c r="AR19" s="233">
        <f ca="1">IF(100*(Design!$C$28+AQ19+AP19*IF(ISBLANK(Design!$B$40),Constants!$C$6,Design!$B$40)/1000*(1+Constants!$C$29/100*(BC19-25)))/($AP$2+AQ19-AP19*BD19/1000)&gt;Design!$C$35,Design!$C$35,100*(Design!$C$28+AQ19+AP19*IF(ISBLANK(Design!$B$40),Constants!$C$6,Design!$B$40)/1000*(1+Constants!$C$29/100*(BC19-25)))/($AP$2+AQ19-AP19*BD19/1000))</f>
        <v>21.972007781935009</v>
      </c>
      <c r="AS19" s="234">
        <f ca="1">($AP$2-AP19*IF(ISBLANK(Design!$B$40),Constants!$C$6,Design!$B$40)/1000*(1+Constants!$C$29/100*(BC19-25))-Design!$C$28) / (IF(ISBLANK(Design!$B$39),Design!$B$38,Design!$B$39)/1000000) * AR19/100/(IF(ISBLANK(Design!$B$32),Design!$B$31,Design!$B$32)*1000000)</f>
        <v>0.82069813977939121</v>
      </c>
      <c r="AT19" s="235">
        <f>$AP$2*Constants!$C$18/1000+IF(ISBLANK(Design!$B$32),Design!$B$31,Design!$B$32)*1000000*Constants!$D$22/1000000000*($AP$2-Constants!$C$21)</f>
        <v>2.8076E-2</v>
      </c>
      <c r="AU19" s="235">
        <f>$AP$2*AP19*($AP$2/(Constants!$C$23*1000000000)*IF(ISBLANK(Design!$B$32),Design!$B$31,Design!$B$32)*1000000/2+$AP$2/(Constants!$C$24*1000000000)*IF(ISBLANK(Design!$B$32),Design!$B$31,Design!$B$32)*1000000/2)</f>
        <v>3.7777777777777778E-2</v>
      </c>
      <c r="AV19" s="235">
        <f t="shared" ref="AV19:AV32" ca="1" si="33">IF($D$86,1,AR19/100*(AP19^2+AS19^2/12)*BD19/1000)</f>
        <v>5.4824451786814046E-3</v>
      </c>
      <c r="AW19" s="235">
        <f>Constants!$D$22/1000000000*Constants!$C$21*IF(ISBLANK(Design!$B$32),Design!$B$31,Design!$B$32)*1000000</f>
        <v>1.2499999999999999E-2</v>
      </c>
      <c r="AX19" s="235">
        <f t="shared" ref="AX19:AX32" ca="1" si="34">SUM(AT19:AW19)</f>
        <v>8.3836222956459178E-2</v>
      </c>
      <c r="AY19" s="235">
        <f t="shared" ref="AY19:AY32" ca="1" si="35">AP19*AQ19*(1-AR19/100)</f>
        <v>5.0910724639932146E-2</v>
      </c>
      <c r="AZ19" s="235">
        <f ca="1">AP19^2*Design!$B$40/1000*(1+(BC19-25)*(Constants!$C$29/100))</f>
        <v>1.5587527451393027E-3</v>
      </c>
      <c r="BA19" s="235">
        <f>0.5*Snubber!$B$16/1000000000000*$AP$2^2*Design!$B$32*1000000</f>
        <v>3.0080000000000003E-2</v>
      </c>
      <c r="BB19" s="236">
        <f ca="1">$A19+AY19*Design!$B$19</f>
        <v>87.90191130447613</v>
      </c>
      <c r="BC19" s="236">
        <f ca="1">AX19*Design!$C$12+$A19</f>
        <v>87.850431580519611</v>
      </c>
      <c r="BD19" s="236">
        <f ca="1">Constants!$D$19+Constants!$D$19*Constants!$C$20/100*(BC19-25)</f>
        <v>210.33641431729882</v>
      </c>
      <c r="BE19" s="235">
        <f ca="1">(1-Constants!$C$17/1000000000*Design!$B$32*1000000) * ($AP$2+AQ19-AP19*BD19/1000) - (AQ19+AP19*Design!$B$40/1000)</f>
        <v>15.131995752720419</v>
      </c>
      <c r="BF19" s="235">
        <f ca="1">IF(BE19&gt;Design!$C$28,Design!$C$28,BE19)</f>
        <v>3.2940895522388054</v>
      </c>
      <c r="BG19" s="235">
        <f t="shared" ref="BG19:BG32" ca="1" si="36">SUM(AX19:BA19)</f>
        <v>0.16638570034153063</v>
      </c>
      <c r="BH19" s="235">
        <f t="shared" ref="BH19:BH32" ca="1" si="37">BF19*AP19</f>
        <v>0.82352238805970135</v>
      </c>
      <c r="BI19" s="270">
        <f t="shared" ref="BI19:BI32" ca="1" si="38">100*BH19/(BH19+BG19)</f>
        <v>83.191803128888992</v>
      </c>
    </row>
    <row r="20" spans="1:61" ht="12.75" customHeight="1" x14ac:dyDescent="0.25">
      <c r="A20" s="154">
        <f>Design!$D$13</f>
        <v>85</v>
      </c>
      <c r="B20" s="274">
        <f>B19+0.25</f>
        <v>0.5</v>
      </c>
      <c r="C20" s="156">
        <f ca="1">FORECAST(B20, OFFSET(Design!$C$15:$C$17,MATCH(B20,Design!$B$15:$B$17,1)-1,0,2), OFFSET(Design!$B$15:$B$17,MATCH(B20,Design!$B$15:$B$17,1)-1,0,2))+(N20-25)*Design!$B$18/1000</f>
        <v>0.27887169107737586</v>
      </c>
      <c r="D20" s="215">
        <f ca="1">IF(100*(Design!$C$28+C20+B20*IF(ISBLANK(Design!$B$40),Constants!$C$6,Design!$B$40)/1000*(1+Constants!$C$29/100*(O20-25)))/($B$2+C20-B20*P20/1000)&gt;Design!$C$35,Design!$C$35,100*(Design!$C$28+C20+B20*IF(ISBLANK(Design!$B$40),Constants!$C$6,Design!$B$40)/1000*(1+Constants!$C$29/100*(O20-25)))/($B$2+C20-B20*P20/1000))</f>
        <v>43.863484141604225</v>
      </c>
      <c r="E20" s="157">
        <f ca="1">IF(($B$2-B20*IF(ISBLANK(Design!$B$40),Constants!$C$6,Design!$B$40)/1000*(1+Constants!$C$29/100*(O20-25))-Design!$C$28) / (IF(ISBLANK(Design!$B$39),Design!$B$38,Design!$B$39)/1000000) * D20/100/(IF(ISBLANK(Design!$B$32),Design!$B$31,Design!$B$32)*1000000)&lt;0,0,($B$2-B20*IF(ISBLANK(Design!$B$40),Constants!$C$6,Design!$B$40)/1000*(1+Constants!$C$29/100*(O20-25))-Design!$C$28) / (IF(ISBLANK(Design!$B$39),Design!$B$38,Design!$B$39)/1000000) * D20/100/(IF(ISBLANK(Design!$B$32),Design!$B$31,Design!$B$32)*1000000))</f>
        <v>0.60550516044122449</v>
      </c>
      <c r="F20" s="207">
        <f>$B$2*Constants!$C$18/1000+IF(ISBLANK(Design!$B$32),Design!$B$31,Design!$B$32)*1000000*Constants!$D$22/1000000000*($B$2-Constants!$C$21)</f>
        <v>7.7879999999999998E-3</v>
      </c>
      <c r="G20" s="207">
        <f>$B$2*B20*($B$2/(Constants!$C$23*1000000000)*IF(ISBLANK(Design!$B$32),Design!$B$31,Design!$B$32)*1000000/2+$B$2/(Constants!$C$24*1000000000)*IF(ISBLANK(Design!$B$32),Design!$B$31,Design!$B$32)*1000000/2)</f>
        <v>1.8888888888888889E-2</v>
      </c>
      <c r="H20" s="207">
        <f t="shared" ca="1" si="21"/>
        <v>2.580835189068012E-2</v>
      </c>
      <c r="I20" s="207">
        <f>Constants!$D$22/1000000000*Constants!$C$21*IF(ISBLANK(Design!$B$32),Design!$B$31,Design!$B$32)*1000000</f>
        <v>1.2499999999999999E-2</v>
      </c>
      <c r="J20" s="207">
        <f t="shared" ca="1" si="22"/>
        <v>6.4985240779569006E-2</v>
      </c>
      <c r="K20" s="207">
        <f t="shared" ca="1" si="23"/>
        <v>7.8274425543113785E-2</v>
      </c>
      <c r="L20" s="207">
        <f ca="1">B20^2*Design!$B$40/1000*(1+(O20-25)*(Constants!$C$29/100))</f>
        <v>6.2224166393648299E-3</v>
      </c>
      <c r="M20" s="207">
        <f>0.5*Snubber!$B$16/1000000000000*$B$2^2*Design!$B$32*1000000</f>
        <v>7.5200000000000006E-3</v>
      </c>
      <c r="N20" s="208">
        <f ca="1">$A20+K20*Design!$B$19</f>
        <v>89.461642255957486</v>
      </c>
      <c r="O20" s="208">
        <f ca="1">J20*Design!$C$12+A20</f>
        <v>87.209498186505343</v>
      </c>
      <c r="P20" s="208">
        <f ca="1">Constants!$D$19+Constants!$D$19*Constants!$C$20/100*(O20-25)</f>
        <v>209.72111825904511</v>
      </c>
      <c r="Q20" s="207">
        <f ca="1">(1-Constants!$C$17/1000000000*Design!$B$32*1000000) * ($B$2+C20-B20*P20/1000) - (C20+B20*Design!$B$40/1000)</f>
        <v>7.4764388842730849</v>
      </c>
      <c r="R20" s="207">
        <f ca="1">IF(Q20&gt;Design!$C$28,Design!$C$28,Q20)</f>
        <v>3.2940895522388054</v>
      </c>
      <c r="S20" s="207">
        <f t="shared" ca="1" si="24"/>
        <v>0.1570020829620476</v>
      </c>
      <c r="T20" s="207">
        <f t="shared" ca="1" si="25"/>
        <v>1.6470447761194027</v>
      </c>
      <c r="U20" s="264">
        <f t="shared" ca="1" si="26"/>
        <v>91.297228108476801</v>
      </c>
      <c r="V20" s="223">
        <f>V19+0.25</f>
        <v>0.5</v>
      </c>
      <c r="W20" s="158">
        <f ca="1">FORECAST(V20, OFFSET(Design!$C$15:$C$17,MATCH(V20,Design!$B$15:$B$17,1)-1,0,2), OFFSET(Design!$B$15:$B$17,MATCH(V20,Design!$B$15:$B$17,1)-1,0,2))+(AH20-25)*Design!$B$18/1000</f>
        <v>0.27774840943417306</v>
      </c>
      <c r="X20" s="224">
        <f ca="1">IF(100*(Design!$C$28+W20+V20*IF(ISBLANK(Design!$B$40),Constants!$C$6,Design!$B$40)/1000*(1+Constants!$C$29/100*(AI20-25)))/($V$2+W20-V20*AJ20/1000)&gt;Design!$C$35,Design!$C$35,100*(Design!$C$28+W20+V20*IF(ISBLANK(Design!$B$40),Constants!$C$6,Design!$B$40)/1000*(1+Constants!$C$29/100*(AI20-25)))/($V$2+W20-V20*AJ20/1000))</f>
        <v>29.446133472010164</v>
      </c>
      <c r="Y20" s="159">
        <f ca="1">($V$2-V20*IF(ISBLANK(Design!$B$40),Constants!$C$6,Design!$B$40)/1000*(1+Constants!$C$29/100*(AI20-25))-Design!$C$28) / (IF(ISBLANK(Design!$B$39),Design!$B$38,Design!$B$39)/1000000) * X20/100/(IF(ISBLANK(Design!$B$32),Design!$B$31,Design!$B$32)*1000000)</f>
        <v>0.7529056204419603</v>
      </c>
      <c r="Z20" s="225">
        <f>$V$2*Constants!$C$18/1000+IF(ISBLANK(Design!$B$32),Design!$B$31,Design!$B$32)*1000000*Constants!$D$22/1000000000*($V$2-Constants!$C$21)</f>
        <v>1.7932E-2</v>
      </c>
      <c r="AA20" s="225">
        <f>$V$2*V20*($V$2/(Constants!$C$23*1000000000)*IF(ISBLANK(Design!$B$32),Design!$B$31,Design!$B$32)*1000000/2+$V$2/(Constants!$C$24*1000000000)*IF(ISBLANK(Design!$B$32),Design!$B$31,Design!$B$32)*1000000/2)</f>
        <v>4.2500000000000003E-2</v>
      </c>
      <c r="AB20" s="225">
        <f t="shared" ca="1" si="27"/>
        <v>1.8431274932999023E-2</v>
      </c>
      <c r="AC20" s="225">
        <f>Constants!$D$22/1000000000*Constants!$C$21*IF(ISBLANK(Design!$B$32),Design!$B$31,Design!$B$32)*1000000</f>
        <v>1.2499999999999999E-2</v>
      </c>
      <c r="AD20" s="225">
        <f t="shared" ca="1" si="28"/>
        <v>9.136327493299902E-2</v>
      </c>
      <c r="AE20" s="225">
        <f t="shared" ca="1" si="29"/>
        <v>9.798112103790059E-2</v>
      </c>
      <c r="AF20" s="225">
        <f ca="1">V20^2*Design!$B$40/1000*(1+(AI20-25)*(Constants!$C$29/100))</f>
        <v>6.2400398039827365E-3</v>
      </c>
      <c r="AG20" s="225">
        <f>0.5*Snubber!$B$16/1000000000000*$V$2^2*Design!$B$32*1000000</f>
        <v>1.6920000000000001E-2</v>
      </c>
      <c r="AH20" s="226">
        <f ca="1">$A20+AE20*Design!$B$19</f>
        <v>90.58492389916033</v>
      </c>
      <c r="AI20" s="226">
        <f ca="1">AD20*Design!$C$12+$A20</f>
        <v>88.106351347721969</v>
      </c>
      <c r="AJ20" s="226">
        <f ca="1">Constants!$D$19+Constants!$D$19*Constants!$C$20/100*(AI20-25)</f>
        <v>210.58209729381309</v>
      </c>
      <c r="AK20" s="225">
        <f ca="1">(1-Constants!$C$17/1000000000*Design!$B$32*1000000) * ($V$2+W20-V20*AJ20/1000) - (W20+V20*Design!$B$40/1000)</f>
        <v>11.27608608331373</v>
      </c>
      <c r="AL20" s="225">
        <f ca="1">IF(AK20&gt;Design!$C$28,Design!$C$28,AK20)</f>
        <v>3.2940895522388054</v>
      </c>
      <c r="AM20" s="225">
        <f t="shared" ca="1" si="30"/>
        <v>0.21250443577488234</v>
      </c>
      <c r="AN20" s="225">
        <f t="shared" ca="1" si="31"/>
        <v>1.6470447761194027</v>
      </c>
      <c r="AO20" s="268">
        <f t="shared" ca="1" si="32"/>
        <v>88.572260716971911</v>
      </c>
      <c r="AP20" s="237">
        <f>AP19+0.25</f>
        <v>0.5</v>
      </c>
      <c r="AQ20" s="160">
        <f ca="1">FORECAST(AP20, OFFSET(Design!$C$15:$C$17,MATCH(AP20,Design!$B$15:$B$17,1)-1,0,2), OFFSET(Design!$B$15:$B$17,MATCH(AP20,Design!$B$15:$B$17,1)-1,0,2))+(BB20-25)*Design!$B$18/1000</f>
        <v>0.27718429141647077</v>
      </c>
      <c r="AR20" s="238">
        <f ca="1">IF(100*(Design!$C$28+AQ20+AP20*IF(ISBLANK(Design!$B$40),Constants!$C$6,Design!$B$40)/1000*(1+Constants!$C$29/100*(BC20-25)))/($AP$2+AQ20-AP20*BD20/1000)&gt;Design!$C$35,Design!$C$35,100*(Design!$C$28+AQ20+AP20*IF(ISBLANK(Design!$B$40),Constants!$C$6,Design!$B$40)/1000*(1+Constants!$C$29/100*(BC20-25)))/($AP$2+AQ20-AP20*BD20/1000))</f>
        <v>22.161585842594931</v>
      </c>
      <c r="AS20" s="161">
        <f ca="1">($AP$2-AP20*IF(ISBLANK(Design!$B$40),Constants!$C$6,Design!$B$40)/1000*(1+Constants!$C$29/100*(BC20-25))-Design!$C$28) / (IF(ISBLANK(Design!$B$39),Design!$B$38,Design!$B$39)/1000000) * AR20/100/(IF(ISBLANK(Design!$B$32),Design!$B$31,Design!$B$32)*1000000)</f>
        <v>0.82736878351385323</v>
      </c>
      <c r="AT20" s="239">
        <f>$AP$2*Constants!$C$18/1000+IF(ISBLANK(Design!$B$32),Design!$B$31,Design!$B$32)*1000000*Constants!$D$22/1000000000*($AP$2-Constants!$C$21)</f>
        <v>2.8076E-2</v>
      </c>
      <c r="AU20" s="239">
        <f>$AP$2*AP20*($AP$2/(Constants!$C$23*1000000000)*IF(ISBLANK(Design!$B$32),Design!$B$31,Design!$B$32)*1000000/2+$AP$2/(Constants!$C$24*1000000000)*IF(ISBLANK(Design!$B$32),Design!$B$31,Design!$B$32)*1000000/2)</f>
        <v>7.5555555555555556E-2</v>
      </c>
      <c r="AV20" s="239">
        <f t="shared" ca="1" si="33"/>
        <v>1.4416304429332037E-2</v>
      </c>
      <c r="AW20" s="239">
        <f>Constants!$D$22/1000000000*Constants!$C$21*IF(ISBLANK(Design!$B$32),Design!$B$31,Design!$B$32)*1000000</f>
        <v>1.2499999999999999E-2</v>
      </c>
      <c r="AX20" s="239">
        <f t="shared" ca="1" si="34"/>
        <v>0.1305478599848876</v>
      </c>
      <c r="AY20" s="239">
        <f t="shared" ca="1" si="35"/>
        <v>0.10787792836601055</v>
      </c>
      <c r="AZ20" s="239">
        <f ca="1">AP20^2*Design!$B$40/1000*(1+(BC20-25)*(Constants!$C$29/100))</f>
        <v>6.2662190252559041E-3</v>
      </c>
      <c r="BA20" s="239">
        <f>0.5*Snubber!$B$16/1000000000000*$AP$2^2*Design!$B$32*1000000</f>
        <v>3.0080000000000003E-2</v>
      </c>
      <c r="BB20" s="240">
        <f ca="1">$A20+AY20*Design!$B$19</f>
        <v>91.1490419168626</v>
      </c>
      <c r="BC20" s="240">
        <f ca="1">AX20*Design!$C$12+$A20</f>
        <v>89.438627239486181</v>
      </c>
      <c r="BD20" s="240">
        <f ca="1">Constants!$D$19+Constants!$D$19*Constants!$C$20/100*(BC20-25)</f>
        <v>211.86108214990674</v>
      </c>
      <c r="BE20" s="239">
        <f ca="1">(1-Constants!$C$17/1000000000*Design!$B$32*1000000) * ($AP$2+AQ20-AP20*BD20/1000) - (AQ20+AP20*Design!$B$40/1000)</f>
        <v>15.075506771407969</v>
      </c>
      <c r="BF20" s="239">
        <f ca="1">IF(BE20&gt;Design!$C$28,Design!$C$28,BE20)</f>
        <v>3.2940895522388054</v>
      </c>
      <c r="BG20" s="239">
        <f t="shared" ca="1" si="36"/>
        <v>0.27477200737615409</v>
      </c>
      <c r="BH20" s="239">
        <f t="shared" ca="1" si="37"/>
        <v>1.6470447761194027</v>
      </c>
      <c r="BI20" s="271">
        <f t="shared" ca="1" si="38"/>
        <v>85.702486848076305</v>
      </c>
    </row>
    <row r="21" spans="1:61" ht="12.75" customHeight="1" x14ac:dyDescent="0.25">
      <c r="A21" s="154">
        <f>Design!$D$13</f>
        <v>85</v>
      </c>
      <c r="B21" s="274">
        <f t="shared" ref="B21:B31" si="39">B20+0.25</f>
        <v>0.75</v>
      </c>
      <c r="C21" s="156">
        <f ca="1">FORECAST(B21, OFFSET(Design!$C$15:$C$17,MATCH(B21,Design!$B$15:$B$17,1)-1,0,2), OFFSET(Design!$B$15:$B$17,MATCH(B21,Design!$B$15:$B$17,1)-1,0,2))+(N21-25)*Design!$B$18/1000</f>
        <v>0.29574135740371532</v>
      </c>
      <c r="D21" s="215">
        <f ca="1">IF(100*(Design!$C$28+C21+B21*IF(ISBLANK(Design!$B$40),Constants!$C$6,Design!$B$40)/1000*(1+Constants!$C$29/100*(O21-25)))/($B$2+C21-B21*P21/1000)&gt;Design!$C$35,Design!$C$35,100*(Design!$C$28+C21+B21*IF(ISBLANK(Design!$B$40),Constants!$C$6,Design!$B$40)/1000*(1+Constants!$C$29/100*(O21-25)))/($B$2+C21-B21*P21/1000))</f>
        <v>44.345075684374805</v>
      </c>
      <c r="E21" s="157">
        <f ca="1">IF(($B$2-B21*IF(ISBLANK(Design!$B$40),Constants!$C$6,Design!$B$40)/1000*(1+Constants!$C$29/100*(O21-25))-Design!$C$28) / (IF(ISBLANK(Design!$B$39),Design!$B$38,Design!$B$39)/1000000) * D21/100/(IF(ISBLANK(Design!$B$32),Design!$B$31,Design!$B$32)*1000000)&lt;0,0,($B$2-B21*IF(ISBLANK(Design!$B$40),Constants!$C$6,Design!$B$40)/1000*(1+Constants!$C$29/100*(O21-25))-Design!$C$28) / (IF(ISBLANK(Design!$B$39),Design!$B$38,Design!$B$39)/1000000) * D21/100/(IF(ISBLANK(Design!$B$32),Design!$B$31,Design!$B$32)*1000000))</f>
        <v>0.61133138767641282</v>
      </c>
      <c r="F21" s="207">
        <f>$B$2*Constants!$C$18/1000+IF(ISBLANK(Design!$B$32),Design!$B$31,Design!$B$32)*1000000*Constants!$D$22/1000000000*($B$2-Constants!$C$21)</f>
        <v>7.7879999999999998E-3</v>
      </c>
      <c r="G21" s="207">
        <f>$B$2*B21*($B$2/(Constants!$C$23*1000000000)*IF(ISBLANK(Design!$B$32),Design!$B$31,Design!$B$32)*1000000/2+$B$2/(Constants!$C$24*1000000000)*IF(ISBLANK(Design!$B$32),Design!$B$31,Design!$B$32)*1000000/2)</f>
        <v>2.8333333333333335E-2</v>
      </c>
      <c r="H21" s="207">
        <f t="shared" ca="1" si="21"/>
        <v>5.5546138748258561E-2</v>
      </c>
      <c r="I21" s="207">
        <f>Constants!$D$22/1000000000*Constants!$C$21*IF(ISBLANK(Design!$B$32),Design!$B$31,Design!$B$32)*1000000</f>
        <v>1.2499999999999999E-2</v>
      </c>
      <c r="J21" s="207">
        <f t="shared" ca="1" si="22"/>
        <v>0.1041674720815919</v>
      </c>
      <c r="K21" s="207">
        <f t="shared" ca="1" si="23"/>
        <v>0.12344597147478029</v>
      </c>
      <c r="L21" s="207">
        <f ca="1">B21^2*Design!$B$40/1000*(1+(O21-25)*(Constants!$C$29/100))</f>
        <v>1.4059337148219851E-2</v>
      </c>
      <c r="M21" s="207">
        <f>0.5*Snubber!$B$16/1000000000000*$B$2^2*Design!$B$32*1000000</f>
        <v>7.5200000000000006E-3</v>
      </c>
      <c r="N21" s="208">
        <f ca="1">$A21+K21*Design!$B$19</f>
        <v>92.036420374062473</v>
      </c>
      <c r="O21" s="208">
        <f ca="1">J21*Design!$C$12+A21</f>
        <v>88.541694050774126</v>
      </c>
      <c r="P21" s="208">
        <f ca="1">Constants!$D$19+Constants!$D$19*Constants!$C$20/100*(O21-25)</f>
        <v>211.00002628874316</v>
      </c>
      <c r="Q21" s="207">
        <f ca="1">(1-Constants!$C$17/1000000000*Design!$B$32*1000000) * ($B$2+C21-B21*P21/1000) - (C21+B21*Design!$B$40/1000)</f>
        <v>7.4198754133990832</v>
      </c>
      <c r="R21" s="207">
        <f ca="1">IF(Q21&gt;Design!$C$28,Design!$C$28,Q21)</f>
        <v>3.2940895522388054</v>
      </c>
      <c r="S21" s="207">
        <f t="shared" ca="1" si="24"/>
        <v>0.24919278070459205</v>
      </c>
      <c r="T21" s="207">
        <f t="shared" ca="1" si="25"/>
        <v>2.470567164179104</v>
      </c>
      <c r="U21" s="264">
        <f t="shared" ca="1" si="26"/>
        <v>90.837692084797283</v>
      </c>
      <c r="V21" s="223">
        <f t="shared" ref="V21:V32" si="40">V20+0.25</f>
        <v>0.75</v>
      </c>
      <c r="W21" s="158">
        <f ca="1">FORECAST(V21, OFFSET(Design!$C$15:$C$17,MATCH(V21,Design!$B$15:$B$17,1)-1,0,2), OFFSET(Design!$B$15:$B$17,MATCH(V21,Design!$B$15:$B$17,1)-1,0,2))+(AH21-25)*Design!$B$18/1000</f>
        <v>0.29394656966972493</v>
      </c>
      <c r="X21" s="224">
        <f ca="1">IF(100*(Design!$C$28+W21+V21*IF(ISBLANK(Design!$B$40),Constants!$C$6,Design!$B$40)/1000*(1+Constants!$C$29/100*(AI21-25)))/($V$2+W21-V21*AJ21/1000)&gt;Design!$C$35,Design!$C$35,100*(Design!$C$28+W21+V21*IF(ISBLANK(Design!$B$40),Constants!$C$6,Design!$B$40)/1000*(1+Constants!$C$29/100*(AI21-25)))/($V$2+W21-V21*AJ21/1000))</f>
        <v>29.722613306240596</v>
      </c>
      <c r="Y21" s="159">
        <f ca="1">($V$2-V21*IF(ISBLANK(Design!$B$40),Constants!$C$6,Design!$B$40)/1000*(1+Constants!$C$29/100*(AI21-25))-Design!$C$28) / (IF(ISBLANK(Design!$B$39),Design!$B$38,Design!$B$39)/1000000) * X21/100/(IF(ISBLANK(Design!$B$32),Design!$B$31,Design!$B$32)*1000000)</f>
        <v>0.75942217577007665</v>
      </c>
      <c r="Z21" s="225">
        <f>$V$2*Constants!$C$18/1000+IF(ISBLANK(Design!$B$32),Design!$B$31,Design!$B$32)*1000000*Constants!$D$22/1000000000*($V$2-Constants!$C$21)</f>
        <v>1.7932E-2</v>
      </c>
      <c r="AA21" s="225">
        <f>$V$2*V21*($V$2/(Constants!$C$23*1000000000)*IF(ISBLANK(Design!$B$32),Design!$B$31,Design!$B$32)*1000000/2+$V$2/(Constants!$C$24*1000000000)*IF(ISBLANK(Design!$B$32),Design!$B$31,Design!$B$32)*1000000/2)</f>
        <v>6.3750000000000001E-2</v>
      </c>
      <c r="AB21" s="225">
        <f t="shared" ca="1" si="27"/>
        <v>3.8459773826478992E-2</v>
      </c>
      <c r="AC21" s="225">
        <f>Constants!$D$22/1000000000*Constants!$C$21*IF(ISBLANK(Design!$B$32),Design!$B$31,Design!$B$32)*1000000</f>
        <v>1.2499999999999999E-2</v>
      </c>
      <c r="AD21" s="225">
        <f t="shared" ca="1" si="28"/>
        <v>0.13264177382647901</v>
      </c>
      <c r="AE21" s="225">
        <f t="shared" ca="1" si="29"/>
        <v>0.15493347557987511</v>
      </c>
      <c r="AF21" s="225">
        <f ca="1">V21^2*Design!$B$40/1000*(1+(AI21-25)*(Constants!$C$29/100))</f>
        <v>1.4102140430460309E-2</v>
      </c>
      <c r="AG21" s="225">
        <f>0.5*Snubber!$B$16/1000000000000*$V$2^2*Design!$B$32*1000000</f>
        <v>1.6920000000000001E-2</v>
      </c>
      <c r="AH21" s="226">
        <f ca="1">$A21+AE21*Design!$B$19</f>
        <v>93.831208108052877</v>
      </c>
      <c r="AI21" s="226">
        <f ca="1">AD21*Design!$C$12+$A21</f>
        <v>89.509820310100281</v>
      </c>
      <c r="AJ21" s="226">
        <f ca="1">Constants!$D$19+Constants!$D$19*Constants!$C$20/100*(AI21-25)</f>
        <v>211.92942749769628</v>
      </c>
      <c r="AK21" s="225">
        <f ca="1">(1-Constants!$C$17/1000000000*Design!$B$32*1000000) * ($V$2+W21-V21*AJ21/1000) - (W21+V21*Design!$B$40/1000)</f>
        <v>11.219302954424403</v>
      </c>
      <c r="AL21" s="225">
        <f ca="1">IF(AK21&gt;Design!$C$28,Design!$C$28,AK21)</f>
        <v>3.2940895522388054</v>
      </c>
      <c r="AM21" s="225">
        <f t="shared" ca="1" si="30"/>
        <v>0.31859738983681446</v>
      </c>
      <c r="AN21" s="225">
        <f t="shared" ca="1" si="31"/>
        <v>2.470567164179104</v>
      </c>
      <c r="AO21" s="268">
        <f t="shared" ca="1" si="32"/>
        <v>88.577318273384449</v>
      </c>
      <c r="AP21" s="237">
        <f t="shared" ref="AP21:AP32" si="41">AP20+0.25</f>
        <v>0.75</v>
      </c>
      <c r="AQ21" s="160">
        <f ca="1">FORECAST(AP21, OFFSET(Design!$C$15:$C$17,MATCH(AP21,Design!$B$15:$B$17,1)-1,0,2), OFFSET(Design!$B$15:$B$17,MATCH(AP21,Design!$B$15:$B$17,1)-1,0,2))+(BB21-25)*Design!$B$18/1000</f>
        <v>0.29305014097865867</v>
      </c>
      <c r="AR21" s="238">
        <f ca="1">IF(100*(Design!$C$28+AQ21+AP21*IF(ISBLANK(Design!$B$40),Constants!$C$6,Design!$B$40)/1000*(1+Constants!$C$29/100*(BC21-25)))/($AP$2+AQ21-AP21*BD21/1000)&gt;Design!$C$35,Design!$C$35,100*(Design!$C$28+AQ21+AP21*IF(ISBLANK(Design!$B$40),Constants!$C$6,Design!$B$40)/1000*(1+Constants!$C$29/100*(BC21-25)))/($AP$2+AQ21-AP21*BD21/1000))</f>
        <v>22.352175341526905</v>
      </c>
      <c r="AS21" s="161">
        <f ca="1">($AP$2-AP21*IF(ISBLANK(Design!$B$40),Constants!$C$6,Design!$B$40)/1000*(1+Constants!$C$29/100*(BC21-25))-Design!$C$28) / (IF(ISBLANK(Design!$B$39),Design!$B$38,Design!$B$39)/1000000) * AR21/100/(IF(ISBLANK(Design!$B$32),Design!$B$31,Design!$B$32)*1000000)</f>
        <v>0.83406521649859311</v>
      </c>
      <c r="AT21" s="239">
        <f>$AP$2*Constants!$C$18/1000+IF(ISBLANK(Design!$B$32),Design!$B$31,Design!$B$32)*1000000*Constants!$D$22/1000000000*($AP$2-Constants!$C$21)</f>
        <v>2.8076E-2</v>
      </c>
      <c r="AU21" s="239">
        <f>$AP$2*AP21*($AP$2/(Constants!$C$23*1000000000)*IF(ISBLANK(Design!$B$32),Design!$B$31,Design!$B$32)*1000000/2+$AP$2/(Constants!$C$24*1000000000)*IF(ISBLANK(Design!$B$32),Design!$B$31,Design!$B$32)*1000000/2)</f>
        <v>0.11333333333333334</v>
      </c>
      <c r="AV21" s="239">
        <f t="shared" ca="1" si="33"/>
        <v>2.9622651490715617E-2</v>
      </c>
      <c r="AW21" s="239">
        <f>Constants!$D$22/1000000000*Constants!$C$21*IF(ISBLANK(Design!$B$32),Design!$B$31,Design!$B$32)*1000000</f>
        <v>1.2499999999999999E-2</v>
      </c>
      <c r="AX21" s="239">
        <f t="shared" ca="1" si="34"/>
        <v>0.18353198482404895</v>
      </c>
      <c r="AY21" s="239">
        <f t="shared" ca="1" si="35"/>
        <v>0.17066029472138783</v>
      </c>
      <c r="AZ21" s="239">
        <f ca="1">AP21^2*Design!$B$40/1000*(1+(BC21-25)*(Constants!$C$29/100))</f>
        <v>1.417863986788713E-2</v>
      </c>
      <c r="BA21" s="239">
        <f>0.5*Snubber!$B$16/1000000000000*$AP$2^2*Design!$B$32*1000000</f>
        <v>3.0080000000000003E-2</v>
      </c>
      <c r="BB21" s="240">
        <f ca="1">$A21+AY21*Design!$B$19</f>
        <v>94.727636799119111</v>
      </c>
      <c r="BC21" s="240">
        <f ca="1">AX21*Design!$C$12+$A21</f>
        <v>91.240087484017664</v>
      </c>
      <c r="BD21" s="240">
        <f ca="1">Constants!$D$19+Constants!$D$19*Constants!$C$20/100*(BC21-25)</f>
        <v>213.59048398465694</v>
      </c>
      <c r="BE21" s="239">
        <f ca="1">(1-Constants!$C$17/1000000000*Design!$B$32*1000000) * ($AP$2+AQ21-AP21*BD21/1000) - (AQ21+AP21*Design!$B$40/1000)</f>
        <v>15.018164273111999</v>
      </c>
      <c r="BF21" s="239">
        <f ca="1">IF(BE21&gt;Design!$C$28,Design!$C$28,BE21)</f>
        <v>3.2940895522388054</v>
      </c>
      <c r="BG21" s="239">
        <f t="shared" ca="1" si="36"/>
        <v>0.39845091941332389</v>
      </c>
      <c r="BH21" s="239">
        <f t="shared" ca="1" si="37"/>
        <v>2.470567164179104</v>
      </c>
      <c r="BI21" s="271">
        <f t="shared" ca="1" si="38"/>
        <v>86.111941165794079</v>
      </c>
    </row>
    <row r="22" spans="1:61" ht="12.75" customHeight="1" x14ac:dyDescent="0.25">
      <c r="A22" s="154">
        <f>Design!$D$13</f>
        <v>85</v>
      </c>
      <c r="B22" s="274">
        <f t="shared" si="39"/>
        <v>1</v>
      </c>
      <c r="C22" s="156">
        <f ca="1">FORECAST(B22, OFFSET(Design!$C$15:$C$17,MATCH(B22,Design!$B$15:$B$17,1)-1,0,2), OFFSET(Design!$B$15:$B$17,MATCH(B22,Design!$B$15:$B$17,1)-1,0,2))+(N22-25)*Design!$B$18/1000</f>
        <v>0.31239939696364782</v>
      </c>
      <c r="D22" s="215">
        <f ca="1">IF(100*(Design!$C$28+C22+B22*IF(ISBLANK(Design!$B$40),Constants!$C$6,Design!$B$40)/1000*(1+Constants!$C$29/100*(O22-25)))/($B$2+C22-B22*P22/1000)&gt;Design!$C$35,Design!$C$35,100*(Design!$C$28+C22+B22*IF(ISBLANK(Design!$B$40),Constants!$C$6,Design!$B$40)/1000*(1+Constants!$C$29/100*(O22-25)))/($B$2+C22-B22*P22/1000))</f>
        <v>44.836555585815816</v>
      </c>
      <c r="E22" s="157">
        <f ca="1">IF(($B$2-B22*IF(ISBLANK(Design!$B$40),Constants!$C$6,Design!$B$40)/1000*(1+Constants!$C$29/100*(O22-25))-Design!$C$28) / (IF(ISBLANK(Design!$B$39),Design!$B$38,Design!$B$39)/1000000) * D22/100/(IF(ISBLANK(Design!$B$32),Design!$B$31,Design!$B$32)*1000000)&lt;0,0,($B$2-B22*IF(ISBLANK(Design!$B$40),Constants!$C$6,Design!$B$40)/1000*(1+Constants!$C$29/100*(O22-25))-Design!$C$28) / (IF(ISBLANK(Design!$B$39),Design!$B$38,Design!$B$39)/1000000) * D22/100/(IF(ISBLANK(Design!$B$32),Design!$B$31,Design!$B$32)*1000000))</f>
        <v>0.61726437444314197</v>
      </c>
      <c r="F22" s="207">
        <f>$B$2*Constants!$C$18/1000+IF(ISBLANK(Design!$B$32),Design!$B$31,Design!$B$32)*1000000*Constants!$D$22/1000000000*($B$2-Constants!$C$21)</f>
        <v>7.7879999999999998E-3</v>
      </c>
      <c r="G22" s="207">
        <f>$B$2*B22*($B$2/(Constants!$C$23*1000000000)*IF(ISBLANK(Design!$B$32),Design!$B$31,Design!$B$32)*1000000/2+$B$2/(Constants!$C$24*1000000000)*IF(ISBLANK(Design!$B$32),Design!$B$31,Design!$B$32)*1000000/2)</f>
        <v>3.7777777777777778E-2</v>
      </c>
      <c r="H22" s="207">
        <f t="shared" ca="1" si="21"/>
        <v>9.8398626223352492E-2</v>
      </c>
      <c r="I22" s="207">
        <f>Constants!$D$22/1000000000*Constants!$C$21*IF(ISBLANK(Design!$B$32),Design!$B$31,Design!$B$32)*1000000</f>
        <v>1.2499999999999999E-2</v>
      </c>
      <c r="J22" s="207">
        <f t="shared" ca="1" si="22"/>
        <v>0.15646440400113026</v>
      </c>
      <c r="K22" s="207">
        <f t="shared" ca="1" si="23"/>
        <v>0.17233026769428844</v>
      </c>
      <c r="L22" s="207">
        <f ca="1">B22^2*Design!$B$40/1000*(1+(O22-25)*(Constants!$C$29/100))</f>
        <v>2.5134135473252623E-2</v>
      </c>
      <c r="M22" s="207">
        <f>0.5*Snubber!$B$16/1000000000000*$B$2^2*Design!$B$32*1000000</f>
        <v>7.5200000000000006E-3</v>
      </c>
      <c r="N22" s="208">
        <f ca="1">$A22+K22*Design!$B$19</f>
        <v>94.82282525857444</v>
      </c>
      <c r="O22" s="208">
        <f ca="1">J22*Design!$C$12+A22</f>
        <v>90.31978973603843</v>
      </c>
      <c r="P22" s="208">
        <f ca="1">Constants!$D$19+Constants!$D$19*Constants!$C$20/100*(O22-25)</f>
        <v>212.7069981465969</v>
      </c>
      <c r="Q22" s="207">
        <f ca="1">(1-Constants!$C$17/1000000000*Design!$B$32*1000000) * ($B$2+C22-B22*P22/1000) - (C22+B22*Design!$B$40/1000)</f>
        <v>7.3623083819125501</v>
      </c>
      <c r="R22" s="207">
        <f ca="1">IF(Q22&gt;Design!$C$28,Design!$C$28,Q22)</f>
        <v>3.2940895522388054</v>
      </c>
      <c r="S22" s="207">
        <f t="shared" ca="1" si="24"/>
        <v>0.36144880716867134</v>
      </c>
      <c r="T22" s="207">
        <f t="shared" ca="1" si="25"/>
        <v>3.2940895522388054</v>
      </c>
      <c r="U22" s="264">
        <f t="shared" ca="1" si="26"/>
        <v>90.112296148158649</v>
      </c>
      <c r="V22" s="223">
        <f t="shared" si="40"/>
        <v>1</v>
      </c>
      <c r="W22" s="158">
        <f ca="1">FORECAST(V22, OFFSET(Design!$C$15:$C$17,MATCH(V22,Design!$B$15:$B$17,1)-1,0,2), OFFSET(Design!$B$15:$B$17,MATCH(V22,Design!$B$15:$B$17,1)-1,0,2))+(AH22-25)*Design!$B$18/1000</f>
        <v>0.30985922390208509</v>
      </c>
      <c r="X22" s="224">
        <f ca="1">IF(100*(Design!$C$28+W22+V22*IF(ISBLANK(Design!$B$40),Constants!$C$6,Design!$B$40)/1000*(1+Constants!$C$29/100*(AI22-25)))/($V$2+W22-V22*AJ22/1000)&gt;Design!$C$35,Design!$C$35,100*(Design!$C$28+W22+V22*IF(ISBLANK(Design!$B$40),Constants!$C$6,Design!$B$40)/1000*(1+Constants!$C$29/100*(AI22-25)))/($V$2+W22-V22*AJ22/1000))</f>
        <v>30.002178202264787</v>
      </c>
      <c r="Y22" s="159">
        <f ca="1">($V$2-V22*IF(ISBLANK(Design!$B$40),Constants!$C$6,Design!$B$40)/1000*(1+Constants!$C$29/100*(AI22-25))-Design!$C$28) / (IF(ISBLANK(Design!$B$39),Design!$B$38,Design!$B$39)/1000000) * X22/100/(IF(ISBLANK(Design!$B$32),Design!$B$31,Design!$B$32)*1000000)</f>
        <v>0.76600029210233989</v>
      </c>
      <c r="Z22" s="225">
        <f>$V$2*Constants!$C$18/1000+IF(ISBLANK(Design!$B$32),Design!$B$31,Design!$B$32)*1000000*Constants!$D$22/1000000000*($V$2-Constants!$C$21)</f>
        <v>1.7932E-2</v>
      </c>
      <c r="AA22" s="225">
        <f>$V$2*V22*($V$2/(Constants!$C$23*1000000000)*IF(ISBLANK(Design!$B$32),Design!$B$31,Design!$B$32)*1000000/2+$V$2/(Constants!$C$24*1000000000)*IF(ISBLANK(Design!$B$32),Design!$B$31,Design!$B$32)*1000000/2)</f>
        <v>8.5000000000000006E-2</v>
      </c>
      <c r="AB22" s="225">
        <f t="shared" ca="1" si="27"/>
        <v>6.7205982172208314E-2</v>
      </c>
      <c r="AC22" s="225">
        <f>Constants!$D$22/1000000000*Constants!$C$21*IF(ISBLANK(Design!$B$32),Design!$B$31,Design!$B$32)*1000000</f>
        <v>1.2499999999999999E-2</v>
      </c>
      <c r="AD22" s="225">
        <f t="shared" ca="1" si="28"/>
        <v>0.18263798217220834</v>
      </c>
      <c r="AE22" s="225">
        <f t="shared" ca="1" si="29"/>
        <v>0.21689470737082689</v>
      </c>
      <c r="AF22" s="225">
        <f ca="1">V22^2*Design!$B$40/1000*(1+(AI22-25)*(Constants!$C$29/100))</f>
        <v>2.5204081743557011E-2</v>
      </c>
      <c r="AG22" s="225">
        <f>0.5*Snubber!$B$16/1000000000000*$V$2^2*Design!$B$32*1000000</f>
        <v>1.6920000000000001E-2</v>
      </c>
      <c r="AH22" s="226">
        <f ca="1">$A22+AE22*Design!$B$19</f>
        <v>97.362998320137137</v>
      </c>
      <c r="AI22" s="226">
        <f ca="1">AD22*Design!$C$12+$A22</f>
        <v>91.209691393855081</v>
      </c>
      <c r="AJ22" s="226">
        <f ca="1">Constants!$D$19+Constants!$D$19*Constants!$C$20/100*(AI22-25)</f>
        <v>213.56130373810089</v>
      </c>
      <c r="AK22" s="225">
        <f ca="1">(1-Constants!$C$17/1000000000*Design!$B$32*1000000) * ($V$2+W22-V22*AJ22/1000) - (W22+V22*Design!$B$40/1000)</f>
        <v>11.161623800253698</v>
      </c>
      <c r="AL22" s="225">
        <f ca="1">IF(AK22&gt;Design!$C$28,Design!$C$28,AK22)</f>
        <v>3.2940895522388054</v>
      </c>
      <c r="AM22" s="225">
        <f t="shared" ca="1" si="30"/>
        <v>0.44165677128659225</v>
      </c>
      <c r="AN22" s="225">
        <f t="shared" ca="1" si="31"/>
        <v>3.2940895522388054</v>
      </c>
      <c r="AO22" s="268">
        <f t="shared" ca="1" si="32"/>
        <v>88.177549195315706</v>
      </c>
      <c r="AP22" s="237">
        <f t="shared" si="41"/>
        <v>1</v>
      </c>
      <c r="AQ22" s="160">
        <f ca="1">FORECAST(AP22, OFFSET(Design!$C$15:$C$17,MATCH(AP22,Design!$B$15:$B$17,1)-1,0,2), OFFSET(Design!$B$15:$B$17,MATCH(AP22,Design!$B$15:$B$17,1)-1,0,2))+(BB22-25)*Design!$B$18/1000</f>
        <v>0.3085976949787016</v>
      </c>
      <c r="AR22" s="238">
        <f ca="1">IF(100*(Design!$C$28+AQ22+AP22*IF(ISBLANK(Design!$B$40),Constants!$C$6,Design!$B$40)/1000*(1+Constants!$C$29/100*(BC22-25)))/($AP$2+AQ22-AP22*BD22/1000)&gt;Design!$C$35,Design!$C$35,100*(Design!$C$28+AQ22+AP22*IF(ISBLANK(Design!$B$40),Constants!$C$6,Design!$B$40)/1000*(1+Constants!$C$29/100*(BC22-25)))/($AP$2+AQ22-AP22*BD22/1000))</f>
        <v>22.544206377668029</v>
      </c>
      <c r="AS22" s="161">
        <f ca="1">($AP$2-AP22*IF(ISBLANK(Design!$B$40),Constants!$C$6,Design!$B$40)/1000*(1+Constants!$C$29/100*(BC22-25))-Design!$C$28) / (IF(ISBLANK(Design!$B$39),Design!$B$38,Design!$B$39)/1000000) * AR22/100/(IF(ISBLANK(Design!$B$32),Design!$B$31,Design!$B$32)*1000000)</f>
        <v>0.8408024006447572</v>
      </c>
      <c r="AT22" s="239">
        <f>$AP$2*Constants!$C$18/1000+IF(ISBLANK(Design!$B$32),Design!$B$31,Design!$B$32)*1000000*Constants!$D$22/1000000000*($AP$2-Constants!$C$21)</f>
        <v>2.8076E-2</v>
      </c>
      <c r="AU22" s="239">
        <f>$AP$2*AP22*($AP$2/(Constants!$C$23*1000000000)*IF(ISBLANK(Design!$B$32),Design!$B$31,Design!$B$32)*1000000/2+$AP$2/(Constants!$C$24*1000000000)*IF(ISBLANK(Design!$B$32),Design!$B$31,Design!$B$32)*1000000/2)</f>
        <v>0.15111111111111111</v>
      </c>
      <c r="AV22" s="239">
        <f t="shared" ca="1" si="33"/>
        <v>5.1453511800820244E-2</v>
      </c>
      <c r="AW22" s="239">
        <f>Constants!$D$22/1000000000*Constants!$C$21*IF(ISBLANK(Design!$B$32),Design!$B$31,Design!$B$32)*1000000</f>
        <v>1.2499999999999999E-2</v>
      </c>
      <c r="AX22" s="239">
        <f t="shared" ca="1" si="34"/>
        <v>0.24314062291193136</v>
      </c>
      <c r="AY22" s="239">
        <f t="shared" ca="1" si="35"/>
        <v>0.23902679374597663</v>
      </c>
      <c r="AZ22" s="239">
        <f ca="1">AP22^2*Design!$B$40/1000*(1+(BC22-25)*(Constants!$C$29/100))</f>
        <v>2.5365769000669846E-2</v>
      </c>
      <c r="BA22" s="239">
        <f>0.5*Snubber!$B$16/1000000000000*$AP$2^2*Design!$B$32*1000000</f>
        <v>3.0080000000000003E-2</v>
      </c>
      <c r="BB22" s="240">
        <f ca="1">$A22+AY22*Design!$B$19</f>
        <v>98.624527243520674</v>
      </c>
      <c r="BC22" s="240">
        <f ca="1">AX22*Design!$C$12+$A22</f>
        <v>93.266781179005662</v>
      </c>
      <c r="BD22" s="240">
        <f ca="1">Constants!$D$19+Constants!$D$19*Constants!$C$20/100*(BC22-25)</f>
        <v>215.53610993184543</v>
      </c>
      <c r="BE22" s="239">
        <f ca="1">(1-Constants!$C$17/1000000000*Design!$B$32*1000000) * ($AP$2+AQ22-AP22*BD22/1000) - (AQ22+AP22*Design!$B$40/1000)</f>
        <v>14.959810810815808</v>
      </c>
      <c r="BF22" s="239">
        <f ca="1">IF(BE22&gt;Design!$C$28,Design!$C$28,BE22)</f>
        <v>3.2940895522388054</v>
      </c>
      <c r="BG22" s="239">
        <f t="shared" ca="1" si="36"/>
        <v>0.53761318565857785</v>
      </c>
      <c r="BH22" s="239">
        <f t="shared" ca="1" si="37"/>
        <v>3.2940895522388054</v>
      </c>
      <c r="BI22" s="271">
        <f t="shared" ca="1" si="38"/>
        <v>85.969339940143982</v>
      </c>
    </row>
    <row r="23" spans="1:61" ht="12.75" customHeight="1" x14ac:dyDescent="0.25">
      <c r="A23" s="154">
        <f>Design!$D$13</f>
        <v>85</v>
      </c>
      <c r="B23" s="274">
        <f t="shared" si="39"/>
        <v>1.25</v>
      </c>
      <c r="C23" s="156">
        <f ca="1">FORECAST(B23, OFFSET(Design!$C$15:$C$17,MATCH(B23,Design!$B$15:$B$17,1)-1,0,2), OFFSET(Design!$B$15:$B$17,MATCH(B23,Design!$B$15:$B$17,1)-1,0,2))+(N23-25)*Design!$B$18/1000</f>
        <v>0.3288593438824286</v>
      </c>
      <c r="D23" s="215">
        <f ca="1">IF(100*(Design!$C$28+C23+B23*IF(ISBLANK(Design!$B$40),Constants!$C$6,Design!$B$40)/1000*(1+Constants!$C$29/100*(O23-25)))/($B$2+C23-B23*P23/1000)&gt;Design!$C$35,Design!$C$35,100*(Design!$C$28+C23+B23*IF(ISBLANK(Design!$B$40),Constants!$C$6,Design!$B$40)/1000*(1+Constants!$C$29/100*(O23-25)))/($B$2+C23-B23*P23/1000))</f>
        <v>45.340796279636216</v>
      </c>
      <c r="E23" s="157">
        <f ca="1">IF(($B$2-B23*IF(ISBLANK(Design!$B$40),Constants!$C$6,Design!$B$40)/1000*(1+Constants!$C$29/100*(O23-25))-Design!$C$28) / (IF(ISBLANK(Design!$B$39),Design!$B$38,Design!$B$39)/1000000) * D23/100/(IF(ISBLANK(Design!$B$32),Design!$B$31,Design!$B$32)*1000000)&lt;0,0,($B$2-B23*IF(ISBLANK(Design!$B$40),Constants!$C$6,Design!$B$40)/1000*(1+Constants!$C$29/100*(O23-25))-Design!$C$28) / (IF(ISBLANK(Design!$B$39),Design!$B$38,Design!$B$39)/1000000) * D23/100/(IF(ISBLANK(Design!$B$32),Design!$B$31,Design!$B$32)*1000000))</f>
        <v>0.6233387159310807</v>
      </c>
      <c r="F23" s="207">
        <f>$B$2*Constants!$C$18/1000+IF(ISBLANK(Design!$B$32),Design!$B$31,Design!$B$32)*1000000*Constants!$D$22/1000000000*($B$2-Constants!$C$21)</f>
        <v>7.7879999999999998E-3</v>
      </c>
      <c r="G23" s="207">
        <f>$B$2*B23*($B$2/(Constants!$C$23*1000000000)*IF(ISBLANK(Design!$B$32),Design!$B$31,Design!$B$32)*1000000/2+$B$2/(Constants!$C$24*1000000000)*IF(ISBLANK(Design!$B$32),Design!$B$31,Design!$B$32)*1000000/2)</f>
        <v>4.7222222222222221E-2</v>
      </c>
      <c r="H23" s="207">
        <f t="shared" ca="1" si="21"/>
        <v>0.15538293267492642</v>
      </c>
      <c r="I23" s="207">
        <f>Constants!$D$22/1000000000*Constants!$C$21*IF(ISBLANK(Design!$B$32),Design!$B$31,Design!$B$32)*1000000</f>
        <v>1.2499999999999999E-2</v>
      </c>
      <c r="J23" s="207">
        <f t="shared" ca="1" si="22"/>
        <v>0.22289315489714867</v>
      </c>
      <c r="K23" s="207">
        <f t="shared" ca="1" si="23"/>
        <v>0.22468987340768545</v>
      </c>
      <c r="L23" s="207">
        <f ca="1">B23^2*Design!$B$40/1000*(1+(O23-25)*(Constants!$C$29/100))</f>
        <v>3.9549468229917409E-2</v>
      </c>
      <c r="M23" s="207">
        <f>0.5*Snubber!$B$16/1000000000000*$B$2^2*Design!$B$32*1000000</f>
        <v>7.5200000000000006E-3</v>
      </c>
      <c r="N23" s="208">
        <f ca="1">$A23+K23*Design!$B$19</f>
        <v>97.807322784238067</v>
      </c>
      <c r="O23" s="208">
        <f ca="1">J23*Design!$C$12+A23</f>
        <v>92.578367266503051</v>
      </c>
      <c r="P23" s="208">
        <f ca="1">Constants!$D$19+Constants!$D$19*Constants!$C$20/100*(O23-25)</f>
        <v>214.87523257584292</v>
      </c>
      <c r="Q23" s="207">
        <f ca="1">(1-Constants!$C$17/1000000000*Design!$B$32*1000000) * ($B$2+C23-B23*P23/1000) - (C23+B23*Design!$B$40/1000)</f>
        <v>7.3033926941220653</v>
      </c>
      <c r="R23" s="207">
        <f ca="1">IF(Q23&gt;Design!$C$28,Design!$C$28,Q23)</f>
        <v>3.2940895522388054</v>
      </c>
      <c r="S23" s="207">
        <f t="shared" ca="1" si="24"/>
        <v>0.49465249653475152</v>
      </c>
      <c r="T23" s="207">
        <f t="shared" ca="1" si="25"/>
        <v>4.1176119402985067</v>
      </c>
      <c r="U23" s="264">
        <f t="shared" ca="1" si="26"/>
        <v>89.27527891539593</v>
      </c>
      <c r="V23" s="223">
        <f t="shared" si="40"/>
        <v>1.25</v>
      </c>
      <c r="W23" s="158">
        <f ca="1">FORECAST(V23, OFFSET(Design!$C$15:$C$17,MATCH(V23,Design!$B$15:$B$17,1)-1,0,2), OFFSET(Design!$B$15:$B$17,MATCH(V23,Design!$B$15:$B$17,1)-1,0,2))+(AH23-25)*Design!$B$18/1000</f>
        <v>0.32549869413680854</v>
      </c>
      <c r="X23" s="224">
        <f ca="1">IF(100*(Design!$C$28+W23+V23*IF(ISBLANK(Design!$B$40),Constants!$C$6,Design!$B$40)/1000*(1+Constants!$C$29/100*(AI23-25)))/($V$2+W23-V23*AJ23/1000)&gt;Design!$C$35,Design!$C$35,100*(Design!$C$28+W23+V23*IF(ISBLANK(Design!$B$40),Constants!$C$6,Design!$B$40)/1000*(1+Constants!$C$29/100*(AI23-25)))/($V$2+W23-V23*AJ23/1000))</f>
        <v>30.285768641397887</v>
      </c>
      <c r="Y23" s="159">
        <f ca="1">($V$2-V23*IF(ISBLANK(Design!$B$40),Constants!$C$6,Design!$B$40)/1000*(1+Constants!$C$29/100*(AI23-25))-Design!$C$28) / (IF(ISBLANK(Design!$B$39),Design!$B$38,Design!$B$39)/1000000) * X23/100/(IF(ISBLANK(Design!$B$32),Design!$B$31,Design!$B$32)*1000000)</f>
        <v>0.77266187469528047</v>
      </c>
      <c r="Z23" s="225">
        <f>$V$2*Constants!$C$18/1000+IF(ISBLANK(Design!$B$32),Design!$B$31,Design!$B$32)*1000000*Constants!$D$22/1000000000*($V$2-Constants!$C$21)</f>
        <v>1.7932E-2</v>
      </c>
      <c r="AA23" s="225">
        <f>$V$2*V23*($V$2/(Constants!$C$23*1000000000)*IF(ISBLANK(Design!$B$32),Design!$B$31,Design!$B$32)*1000000/2+$V$2/(Constants!$C$24*1000000000)*IF(ISBLANK(Design!$B$32),Design!$B$31,Design!$B$32)*1000000/2)</f>
        <v>0.10625000000000001</v>
      </c>
      <c r="AB23" s="225">
        <f t="shared" ca="1" si="27"/>
        <v>0.10522280735703694</v>
      </c>
      <c r="AC23" s="225">
        <f>Constants!$D$22/1000000000*Constants!$C$21*IF(ISBLANK(Design!$B$32),Design!$B$31,Design!$B$32)*1000000</f>
        <v>1.2499999999999999E-2</v>
      </c>
      <c r="AD23" s="225">
        <f t="shared" ca="1" si="28"/>
        <v>0.24190480735703696</v>
      </c>
      <c r="AE23" s="225">
        <f t="shared" ca="1" si="29"/>
        <v>0.28364864087470415</v>
      </c>
      <c r="AF23" s="225">
        <f ca="1">V23^2*Design!$B$40/1000*(1+(AI23-25)*(Constants!$C$29/100))</f>
        <v>3.9628853761220231E-2</v>
      </c>
      <c r="AG23" s="225">
        <f>0.5*Snubber!$B$16/1000000000000*$V$2^2*Design!$B$32*1000000</f>
        <v>1.6920000000000001E-2</v>
      </c>
      <c r="AH23" s="226">
        <f ca="1">$A23+AE23*Design!$B$19</f>
        <v>101.16797252985813</v>
      </c>
      <c r="AI23" s="226">
        <f ca="1">AD23*Design!$C$12+$A23</f>
        <v>93.22476345013925</v>
      </c>
      <c r="AJ23" s="226">
        <f ca="1">Constants!$D$19+Constants!$D$19*Constants!$C$20/100*(AI23-25)</f>
        <v>215.49577291213367</v>
      </c>
      <c r="AK23" s="225">
        <f ca="1">(1-Constants!$C$17/1000000000*Design!$B$32*1000000) * ($V$2+W23-V23*AJ23/1000) - (W23+V23*Design!$B$40/1000)</f>
        <v>11.102823834960001</v>
      </c>
      <c r="AL23" s="225">
        <f ca="1">IF(AK23&gt;Design!$C$28,Design!$C$28,AK23)</f>
        <v>3.2940895522388054</v>
      </c>
      <c r="AM23" s="225">
        <f t="shared" ca="1" si="30"/>
        <v>0.58210230199296142</v>
      </c>
      <c r="AN23" s="225">
        <f t="shared" ca="1" si="31"/>
        <v>4.1176119402985067</v>
      </c>
      <c r="AO23" s="268">
        <f t="shared" ca="1" si="32"/>
        <v>87.614091581254485</v>
      </c>
      <c r="AP23" s="237">
        <f t="shared" si="41"/>
        <v>1.25</v>
      </c>
      <c r="AQ23" s="160">
        <f ca="1">FORECAST(AP23, OFFSET(Design!$C$15:$C$17,MATCH(AP23,Design!$B$15:$B$17,1)-1,0,2), OFFSET(Design!$B$15:$B$17,MATCH(AP23,Design!$B$15:$B$17,1)-1,0,2))+(BB23-25)*Design!$B$18/1000</f>
        <v>0.32383959743789481</v>
      </c>
      <c r="AR23" s="238">
        <f ca="1">IF(100*(Design!$C$28+AQ23+AP23*IF(ISBLANK(Design!$B$40),Constants!$C$6,Design!$B$40)/1000*(1+Constants!$C$29/100*(BC23-25)))/($AP$2+AQ23-AP23*BD23/1000)&gt;Design!$C$35,Design!$C$35,100*(Design!$C$28+AQ23+AP23*IF(ISBLANK(Design!$B$40),Constants!$C$6,Design!$B$40)/1000*(1+Constants!$C$29/100*(BC23-25)))/($AP$2+AQ23-AP23*BD23/1000))</f>
        <v>22.73814493862227</v>
      </c>
      <c r="AS23" s="161">
        <f ca="1">($AP$2-AP23*IF(ISBLANK(Design!$B$40),Constants!$C$6,Design!$B$40)/1000*(1+Constants!$C$29/100*(BC23-25))-Design!$C$28) / (IF(ISBLANK(Design!$B$39),Design!$B$38,Design!$B$39)/1000000) * AR23/100/(IF(ISBLANK(Design!$B$32),Design!$B$31,Design!$B$32)*1000000)</f>
        <v>0.84759649597479014</v>
      </c>
      <c r="AT23" s="239">
        <f>$AP$2*Constants!$C$18/1000+IF(ISBLANK(Design!$B$32),Design!$B$31,Design!$B$32)*1000000*Constants!$D$22/1000000000*($AP$2-Constants!$C$21)</f>
        <v>2.8076E-2</v>
      </c>
      <c r="AU23" s="239">
        <f>$AP$2*AP23*($AP$2/(Constants!$C$23*1000000000)*IF(ISBLANK(Design!$B$32),Design!$B$31,Design!$B$32)*1000000/2+$AP$2/(Constants!$C$24*1000000000)*IF(ISBLANK(Design!$B$32),Design!$B$31,Design!$B$32)*1000000/2)</f>
        <v>0.18888888888888888</v>
      </c>
      <c r="AV23" s="239">
        <f t="shared" ca="1" si="33"/>
        <v>8.0312871018837287E-2</v>
      </c>
      <c r="AW23" s="239">
        <f>Constants!$D$22/1000000000*Constants!$C$21*IF(ISBLANK(Design!$B$32),Design!$B$31,Design!$B$32)*1000000</f>
        <v>1.2499999999999999E-2</v>
      </c>
      <c r="AX23" s="239">
        <f t="shared" ca="1" si="34"/>
        <v>0.30977775990772616</v>
      </c>
      <c r="AY23" s="239">
        <f t="shared" ca="1" si="35"/>
        <v>0.31275560050476919</v>
      </c>
      <c r="AZ23" s="239">
        <f ca="1">AP23^2*Design!$B$40/1000*(1+(BC23-25)*(Constants!$C$29/100))</f>
        <v>3.9912265758714698E-2</v>
      </c>
      <c r="BA23" s="239">
        <f>0.5*Snubber!$B$16/1000000000000*$AP$2^2*Design!$B$32*1000000</f>
        <v>3.0080000000000003E-2</v>
      </c>
      <c r="BB23" s="240">
        <f ca="1">$A23+AY23*Design!$B$19</f>
        <v>102.82706922877185</v>
      </c>
      <c r="BC23" s="240">
        <f ca="1">AX23*Design!$C$12+$A23</f>
        <v>95.532443836862683</v>
      </c>
      <c r="BD23" s="240">
        <f ca="1">Constants!$D$19+Constants!$D$19*Constants!$C$20/100*(BC23-25)</f>
        <v>217.71114608338817</v>
      </c>
      <c r="BE23" s="239">
        <f ca="1">(1-Constants!$C$17/1000000000*Design!$B$32*1000000) * ($AP$2+AQ23-AP23*BD23/1000) - (AQ23+AP23*Design!$B$40/1000)</f>
        <v>14.900276034154082</v>
      </c>
      <c r="BF23" s="239">
        <f ca="1">IF(BE23&gt;Design!$C$28,Design!$C$28,BE23)</f>
        <v>3.2940895522388054</v>
      </c>
      <c r="BG23" s="239">
        <f t="shared" ca="1" si="36"/>
        <v>0.69252562617121005</v>
      </c>
      <c r="BH23" s="239">
        <f t="shared" ca="1" si="37"/>
        <v>4.1176119402985067</v>
      </c>
      <c r="BI23" s="271">
        <f t="shared" ca="1" si="38"/>
        <v>85.602789595901882</v>
      </c>
    </row>
    <row r="24" spans="1:61" ht="12.75" customHeight="1" x14ac:dyDescent="0.25">
      <c r="A24" s="154">
        <f>Design!$D$13</f>
        <v>85</v>
      </c>
      <c r="B24" s="274">
        <f t="shared" si="39"/>
        <v>1.5</v>
      </c>
      <c r="C24" s="156">
        <f ca="1">FORECAST(B24, OFFSET(Design!$C$15:$C$17,MATCH(B24,Design!$B$15:$B$17,1)-1,0,2), OFFSET(Design!$B$15:$B$17,MATCH(B24,Design!$B$15:$B$17,1)-1,0,2))+(N24-25)*Design!$B$18/1000</f>
        <v>0.34513524107044519</v>
      </c>
      <c r="D24" s="215">
        <f ca="1">IF(100*(Design!$C$28+C24+B24*IF(ISBLANK(Design!$B$40),Constants!$C$6,Design!$B$40)/1000*(1+Constants!$C$29/100*(O24-25)))/($B$2+C24-B24*P24/1000)&gt;Design!$C$35,Design!$C$35,100*(Design!$C$28+C24+B24*IF(ISBLANK(Design!$B$40),Constants!$C$6,Design!$B$40)/1000*(1+Constants!$C$29/100*(O24-25)))/($B$2+C24-B24*P24/1000))</f>
        <v>45.861141099978013</v>
      </c>
      <c r="E24" s="157">
        <f ca="1">IF(($B$2-B24*IF(ISBLANK(Design!$B$40),Constants!$C$6,Design!$B$40)/1000*(1+Constants!$C$29/100*(O24-25))-Design!$C$28) / (IF(ISBLANK(Design!$B$39),Design!$B$38,Design!$B$39)/1000000) * D24/100/(IF(ISBLANK(Design!$B$32),Design!$B$31,Design!$B$32)*1000000)&lt;0,0,($B$2-B24*IF(ISBLANK(Design!$B$40),Constants!$C$6,Design!$B$40)/1000*(1+Constants!$C$29/100*(O24-25))-Design!$C$28) / (IF(ISBLANK(Design!$B$39),Design!$B$38,Design!$B$39)/1000000) * D24/100/(IF(ISBLANK(Design!$B$32),Design!$B$31,Design!$B$32)*1000000))</f>
        <v>0.62959454600617082</v>
      </c>
      <c r="F24" s="207">
        <f>$B$2*Constants!$C$18/1000+IF(ISBLANK(Design!$B$32),Design!$B$31,Design!$B$32)*1000000*Constants!$D$22/1000000000*($B$2-Constants!$C$21)</f>
        <v>7.7879999999999998E-3</v>
      </c>
      <c r="G24" s="207">
        <f>$B$2*B24*($B$2/(Constants!$C$23*1000000000)*IF(ISBLANK(Design!$B$32),Design!$B$31,Design!$B$32)*1000000/2+$B$2/(Constants!$C$24*1000000000)*IF(ISBLANK(Design!$B$32),Design!$B$31,Design!$B$32)*1000000/2)</f>
        <v>5.6666666666666671E-2</v>
      </c>
      <c r="H24" s="207">
        <f t="shared" ca="1" si="21"/>
        <v>0.22777648654411098</v>
      </c>
      <c r="I24" s="207">
        <f>Constants!$D$22/1000000000*Constants!$C$21*IF(ISBLANK(Design!$B$32),Design!$B$31,Design!$B$32)*1000000</f>
        <v>1.2499999999999999E-2</v>
      </c>
      <c r="J24" s="207">
        <f t="shared" ca="1" si="22"/>
        <v>0.30473115321077765</v>
      </c>
      <c r="K24" s="207">
        <f t="shared" ca="1" si="23"/>
        <v>0.2802784217660686</v>
      </c>
      <c r="L24" s="207">
        <f ca="1">B24^2*Design!$B$40/1000*(1+(O24-25)*(Constants!$C$29/100))</f>
        <v>5.7443317951141083E-2</v>
      </c>
      <c r="M24" s="207">
        <f>0.5*Snubber!$B$16/1000000000000*$B$2^2*Design!$B$32*1000000</f>
        <v>7.5200000000000006E-3</v>
      </c>
      <c r="N24" s="208">
        <f ca="1">$A24+K24*Design!$B$19</f>
        <v>100.97587004066591</v>
      </c>
      <c r="O24" s="208">
        <f ca="1">J24*Design!$C$12+A24</f>
        <v>95.360859209166435</v>
      </c>
      <c r="P24" s="208">
        <f ca="1">Constants!$D$19+Constants!$D$19*Constants!$C$20/100*(O24-25)</f>
        <v>217.54642484079977</v>
      </c>
      <c r="Q24" s="207">
        <f ca="1">(1-Constants!$C$17/1000000000*Design!$B$32*1000000) * ($B$2+C24-B24*P24/1000) - (C24+B24*Design!$B$40/1000)</f>
        <v>7.2427395825483369</v>
      </c>
      <c r="R24" s="207">
        <f ca="1">IF(Q24&gt;Design!$C$28,Design!$C$28,Q24)</f>
        <v>3.2940895522388054</v>
      </c>
      <c r="S24" s="207">
        <f t="shared" ca="1" si="24"/>
        <v>0.64997289292798732</v>
      </c>
      <c r="T24" s="207">
        <f t="shared" ca="1" si="25"/>
        <v>4.9411343283582081</v>
      </c>
      <c r="U24" s="264">
        <f t="shared" ca="1" si="26"/>
        <v>88.37488055221975</v>
      </c>
      <c r="V24" s="223">
        <f t="shared" si="40"/>
        <v>1.5</v>
      </c>
      <c r="W24" s="158">
        <f ca="1">FORECAST(V24, OFFSET(Design!$C$15:$C$17,MATCH(V24,Design!$B$15:$B$17,1)-1,0,2), OFFSET(Design!$B$15:$B$17,MATCH(V24,Design!$B$15:$B$17,1)-1,0,2))+(AH24-25)*Design!$B$18/1000</f>
        <v>0.34087703927271817</v>
      </c>
      <c r="X24" s="224">
        <f ca="1">IF(100*(Design!$C$28+W24+V24*IF(ISBLANK(Design!$B$40),Constants!$C$6,Design!$B$40)/1000*(1+Constants!$C$29/100*(AI24-25)))/($V$2+W24-V24*AJ24/1000)&gt;Design!$C$35,Design!$C$35,100*(Design!$C$28+W24+V24*IF(ISBLANK(Design!$B$40),Constants!$C$6,Design!$B$40)/1000*(1+Constants!$C$29/100*(AI24-25)))/($V$2+W24-V24*AJ24/1000))</f>
        <v>30.574434851853017</v>
      </c>
      <c r="Y24" s="159">
        <f ca="1">($V$2-V24*IF(ISBLANK(Design!$B$40),Constants!$C$6,Design!$B$40)/1000*(1+Constants!$C$29/100*(AI24-25))-Design!$C$28) / (IF(ISBLANK(Design!$B$39),Design!$B$38,Design!$B$39)/1000000) * X24/100/(IF(ISBLANK(Design!$B$32),Design!$B$31,Design!$B$32)*1000000)</f>
        <v>0.77943131307373625</v>
      </c>
      <c r="Z24" s="225">
        <f>$V$2*Constants!$C$18/1000+IF(ISBLANK(Design!$B$32),Design!$B$31,Design!$B$32)*1000000*Constants!$D$22/1000000000*($V$2-Constants!$C$21)</f>
        <v>1.7932E-2</v>
      </c>
      <c r="AA24" s="225">
        <f>$V$2*V24*($V$2/(Constants!$C$23*1000000000)*IF(ISBLANK(Design!$B$32),Design!$B$31,Design!$B$32)*1000000/2+$V$2/(Constants!$C$24*1000000000)*IF(ISBLANK(Design!$B$32),Design!$B$31,Design!$B$32)*1000000/2)</f>
        <v>0.1275</v>
      </c>
      <c r="AB24" s="225">
        <f t="shared" ca="1" si="27"/>
        <v>0.15316915017398222</v>
      </c>
      <c r="AC24" s="225">
        <f>Constants!$D$22/1000000000*Constants!$C$21*IF(ISBLANK(Design!$B$32),Design!$B$31,Design!$B$32)*1000000</f>
        <v>1.2499999999999999E-2</v>
      </c>
      <c r="AD24" s="225">
        <f t="shared" ca="1" si="28"/>
        <v>0.31110115017398227</v>
      </c>
      <c r="AE24" s="225">
        <f t="shared" ca="1" si="29"/>
        <v>0.35498371646303328</v>
      </c>
      <c r="AF24" s="225">
        <f ca="1">V24^2*Design!$B$40/1000*(1+(AI24-25)*(Constants!$C$29/100))</f>
        <v>5.7481620105881134E-2</v>
      </c>
      <c r="AG24" s="225">
        <f>0.5*Snubber!$B$16/1000000000000*$V$2^2*Design!$B$32*1000000</f>
        <v>1.6920000000000001E-2</v>
      </c>
      <c r="AH24" s="226">
        <f ca="1">$A24+AE24*Design!$B$19</f>
        <v>105.23407183839289</v>
      </c>
      <c r="AI24" s="226">
        <f ca="1">AD24*Design!$C$12+$A24</f>
        <v>95.577439105915403</v>
      </c>
      <c r="AJ24" s="226">
        <f ca="1">Constants!$D$19+Constants!$D$19*Constants!$C$20/100*(AI24-25)</f>
        <v>217.7543415416788</v>
      </c>
      <c r="AK24" s="225">
        <f ca="1">(1-Constants!$C$17/1000000000*Design!$B$32*1000000) * ($V$2+W24-V24*AJ24/1000) - (W24+V24*Design!$B$40/1000)</f>
        <v>11.04265621133947</v>
      </c>
      <c r="AL24" s="225">
        <f ca="1">IF(AK24&gt;Design!$C$28,Design!$C$28,AK24)</f>
        <v>3.2940895522388054</v>
      </c>
      <c r="AM24" s="225">
        <f t="shared" ca="1" si="30"/>
        <v>0.74048648674289674</v>
      </c>
      <c r="AN24" s="225">
        <f t="shared" ca="1" si="31"/>
        <v>4.9411343283582081</v>
      </c>
      <c r="AO24" s="268">
        <f t="shared" ca="1" si="32"/>
        <v>86.966985111453283</v>
      </c>
      <c r="AP24" s="237">
        <f t="shared" si="41"/>
        <v>1.5</v>
      </c>
      <c r="AQ24" s="160">
        <f ca="1">FORECAST(AP24, OFFSET(Design!$C$15:$C$17,MATCH(AP24,Design!$B$15:$B$17,1)-1,0,2), OFFSET(Design!$B$15:$B$17,MATCH(AP24,Design!$B$15:$B$17,1)-1,0,2))+(BB24-25)*Design!$B$18/1000</f>
        <v>0.3387880282926693</v>
      </c>
      <c r="AR24" s="238">
        <f ca="1">IF(100*(Design!$C$28+AQ24+AP24*IF(ISBLANK(Design!$B$40),Constants!$C$6,Design!$B$40)/1000*(1+Constants!$C$29/100*(BC24-25)))/($AP$2+AQ24-AP24*BD24/1000)&gt;Design!$C$35,Design!$C$35,100*(Design!$C$28+AQ24+AP24*IF(ISBLANK(Design!$B$40),Constants!$C$6,Design!$B$40)/1000*(1+Constants!$C$29/100*(BC24-25)))/($AP$2+AQ24-AP24*BD24/1000))</f>
        <v>22.934500002625487</v>
      </c>
      <c r="AS24" s="161">
        <f ca="1">($AP$2-AP24*IF(ISBLANK(Design!$B$40),Constants!$C$6,Design!$B$40)/1000*(1+Constants!$C$29/100*(BC24-25))-Design!$C$28) / (IF(ISBLANK(Design!$B$39),Design!$B$38,Design!$B$39)/1000000) * AR24/100/(IF(ISBLANK(Design!$B$32),Design!$B$31,Design!$B$32)*1000000)</f>
        <v>0.8544651026718918</v>
      </c>
      <c r="AT24" s="239">
        <f>$AP$2*Constants!$C$18/1000+IF(ISBLANK(Design!$B$32),Design!$B$31,Design!$B$32)*1000000*Constants!$D$22/1000000000*($AP$2-Constants!$C$21)</f>
        <v>2.8076E-2</v>
      </c>
      <c r="AU24" s="239">
        <f>$AP$2*AP24*($AP$2/(Constants!$C$23*1000000000)*IF(ISBLANK(Design!$B$32),Design!$B$31,Design!$B$32)*1000000/2+$AP$2/(Constants!$C$24*1000000000)*IF(ISBLANK(Design!$B$32),Design!$B$31,Design!$B$32)*1000000/2)</f>
        <v>0.22666666666666668</v>
      </c>
      <c r="AV24" s="239">
        <f t="shared" ca="1" si="33"/>
        <v>0.11666493242858442</v>
      </c>
      <c r="AW24" s="239">
        <f>Constants!$D$22/1000000000*Constants!$C$21*IF(ISBLANK(Design!$B$32),Design!$B$31,Design!$B$32)*1000000</f>
        <v>1.2499999999999999E-2</v>
      </c>
      <c r="AX24" s="239">
        <f t="shared" ca="1" si="34"/>
        <v>0.38390759909525113</v>
      </c>
      <c r="AY24" s="239">
        <f t="shared" ca="1" si="35"/>
        <v>0.39163303190248838</v>
      </c>
      <c r="AZ24" s="239">
        <f ca="1">AP24^2*Design!$B$40/1000*(1+(BC24-25)*(Constants!$C$29/100))</f>
        <v>5.7919398002599841E-2</v>
      </c>
      <c r="BA24" s="239">
        <f>0.5*Snubber!$B$16/1000000000000*$AP$2^2*Design!$B$32*1000000</f>
        <v>3.0080000000000003E-2</v>
      </c>
      <c r="BB24" s="240">
        <f ca="1">$A24+AY24*Design!$B$19</f>
        <v>107.32308281844183</v>
      </c>
      <c r="BC24" s="240">
        <f ca="1">AX24*Design!$C$12+$A24</f>
        <v>98.052858369238535</v>
      </c>
      <c r="BD24" s="240">
        <f ca="1">Constants!$D$19+Constants!$D$19*Constants!$C$20/100*(BC24-25)</f>
        <v>220.13074403446899</v>
      </c>
      <c r="BE24" s="239">
        <f ca="1">(1-Constants!$C$17/1000000000*Design!$B$32*1000000) * ($AP$2+AQ24-AP24*BD24/1000) - (AQ24+AP24*Design!$B$40/1000)</f>
        <v>14.839374288336247</v>
      </c>
      <c r="BF24" s="239">
        <f ca="1">IF(BE24&gt;Design!$C$28,Design!$C$28,BE24)</f>
        <v>3.2940895522388054</v>
      </c>
      <c r="BG24" s="239">
        <f t="shared" ca="1" si="36"/>
        <v>0.86354002900033933</v>
      </c>
      <c r="BH24" s="239">
        <f t="shared" ca="1" si="37"/>
        <v>4.9411343283582081</v>
      </c>
      <c r="BI24" s="271">
        <f t="shared" ca="1" si="38"/>
        <v>85.12336824019016</v>
      </c>
    </row>
    <row r="25" spans="1:61" ht="12.75" customHeight="1" x14ac:dyDescent="0.25">
      <c r="A25" s="154">
        <f>Design!$D$13</f>
        <v>85</v>
      </c>
      <c r="B25" s="274">
        <f t="shared" si="39"/>
        <v>1.75</v>
      </c>
      <c r="C25" s="156">
        <f ca="1">FORECAST(B25, OFFSET(Design!$C$15:$C$17,MATCH(B25,Design!$B$15:$B$17,1)-1,0,2), OFFSET(Design!$B$15:$B$17,MATCH(B25,Design!$B$15:$B$17,1)-1,0,2))+(N25-25)*Design!$B$18/1000</f>
        <v>0.36124195043265134</v>
      </c>
      <c r="D25" s="215">
        <f ca="1">IF(100*(Design!$C$28+C25+B25*IF(ISBLANK(Design!$B$40),Constants!$C$6,Design!$B$40)/1000*(1+Constants!$C$29/100*(O25-25)))/($B$2+C25-B25*P25/1000)&gt;Design!$C$35,Design!$C$35,100*(Design!$C$28+C25+B25*IF(ISBLANK(Design!$B$40),Constants!$C$6,Design!$B$40)/1000*(1+Constants!$C$29/100*(O25-25)))/($B$2+C25-B25*P25/1000))</f>
        <v>46.401545764312495</v>
      </c>
      <c r="E25" s="157">
        <f ca="1">IF(($B$2-B25*IF(ISBLANK(Design!$B$40),Constants!$C$6,Design!$B$40)/1000*(1+Constants!$C$29/100*(O25-25))-Design!$C$28) / (IF(ISBLANK(Design!$B$39),Design!$B$38,Design!$B$39)/1000000) * D25/100/(IF(ISBLANK(Design!$B$32),Design!$B$31,Design!$B$32)*1000000)&lt;0,0,($B$2-B25*IF(ISBLANK(Design!$B$40),Constants!$C$6,Design!$B$40)/1000*(1+Constants!$C$29/100*(O25-25))-Design!$C$28) / (IF(ISBLANK(Design!$B$39),Design!$B$38,Design!$B$39)/1000000) * D25/100/(IF(ISBLANK(Design!$B$32),Design!$B$31,Design!$B$32)*1000000))</f>
        <v>0.63607921535142609</v>
      </c>
      <c r="F25" s="207">
        <f>$B$2*Constants!$C$18/1000+IF(ISBLANK(Design!$B$32),Design!$B$31,Design!$B$32)*1000000*Constants!$D$22/1000000000*($B$2-Constants!$C$21)</f>
        <v>7.7879999999999998E-3</v>
      </c>
      <c r="G25" s="207">
        <f>$B$2*B25*($B$2/(Constants!$C$23*1000000000)*IF(ISBLANK(Design!$B$32),Design!$B$31,Design!$B$32)*1000000/2+$B$2/(Constants!$C$24*1000000000)*IF(ISBLANK(Design!$B$32),Design!$B$31,Design!$B$32)*1000000/2)</f>
        <v>6.6111111111111107E-2</v>
      </c>
      <c r="H25" s="207">
        <f t="shared" ca="1" si="21"/>
        <v>0.31718273500204908</v>
      </c>
      <c r="I25" s="207">
        <f>Constants!$D$22/1000000000*Constants!$C$21*IF(ISBLANK(Design!$B$32),Design!$B$31,Design!$B$32)*1000000</f>
        <v>1.2499999999999999E-2</v>
      </c>
      <c r="J25" s="207">
        <f t="shared" ca="1" si="22"/>
        <v>0.40358184611316023</v>
      </c>
      <c r="K25" s="207">
        <f t="shared" ca="1" si="23"/>
        <v>0.33883517759481169</v>
      </c>
      <c r="L25" s="207">
        <f ca="1">B25^2*Design!$B$40/1000*(1+(O25-25)*(Constants!$C$29/100))</f>
        <v>7.8995754634505477E-2</v>
      </c>
      <c r="M25" s="207">
        <f>0.5*Snubber!$B$16/1000000000000*$B$2^2*Design!$B$32*1000000</f>
        <v>7.5200000000000006E-3</v>
      </c>
      <c r="N25" s="208">
        <f ca="1">$A25+K25*Design!$B$19</f>
        <v>104.31360512290426</v>
      </c>
      <c r="O25" s="208">
        <f ca="1">J25*Design!$C$12+A25</f>
        <v>98.721782767847444</v>
      </c>
      <c r="P25" s="208">
        <f ca="1">Constants!$D$19+Constants!$D$19*Constants!$C$20/100*(O25-25)</f>
        <v>220.77291145713355</v>
      </c>
      <c r="Q25" s="207">
        <f ca="1">(1-Constants!$C$17/1000000000*Design!$B$32*1000000) * ($B$2+C25-B25*P25/1000) - (C25+B25*Design!$B$40/1000)</f>
        <v>7.1799029371808825</v>
      </c>
      <c r="R25" s="207">
        <f ca="1">IF(Q25&gt;Design!$C$28,Design!$C$28,Q25)</f>
        <v>3.2940895522388054</v>
      </c>
      <c r="S25" s="207">
        <f t="shared" ca="1" si="24"/>
        <v>0.82893277834247736</v>
      </c>
      <c r="T25" s="207">
        <f t="shared" ca="1" si="25"/>
        <v>5.7646567164179094</v>
      </c>
      <c r="U25" s="264">
        <f t="shared" ca="1" si="26"/>
        <v>87.428201603979261</v>
      </c>
      <c r="V25" s="223">
        <f t="shared" si="40"/>
        <v>1.75</v>
      </c>
      <c r="W25" s="158">
        <f ca="1">FORECAST(V25, OFFSET(Design!$C$15:$C$17,MATCH(V25,Design!$B$15:$B$17,1)-1,0,2), OFFSET(Design!$B$15:$B$17,MATCH(V25,Design!$B$15:$B$17,1)-1,0,2))+(AH25-25)*Design!$B$18/1000</f>
        <v>0.35600615064771612</v>
      </c>
      <c r="X25" s="224">
        <f ca="1">IF(100*(Design!$C$28+W25+V25*IF(ISBLANK(Design!$B$40),Constants!$C$6,Design!$B$40)/1000*(1+Constants!$C$29/100*(AI25-25)))/($V$2+W25-V25*AJ25/1000)&gt;Design!$C$35,Design!$C$35,100*(Design!$C$28+W25+V25*IF(ISBLANK(Design!$B$40),Constants!$C$6,Design!$B$40)/1000*(1+Constants!$C$29/100*(AI25-25)))/($V$2+W25-V25*AJ25/1000))</f>
        <v>30.869362246527256</v>
      </c>
      <c r="Y25" s="159">
        <f ca="1">($V$2-V25*IF(ISBLANK(Design!$B$40),Constants!$C$6,Design!$B$40)/1000*(1+Constants!$C$29/100*(AI25-25))-Design!$C$28) / (IF(ISBLANK(Design!$B$39),Design!$B$38,Design!$B$39)/1000000) * X25/100/(IF(ISBLANK(Design!$B$32),Design!$B$31,Design!$B$32)*1000000)</f>
        <v>0.7863360635426041</v>
      </c>
      <c r="Z25" s="225">
        <f>$V$2*Constants!$C$18/1000+IF(ISBLANK(Design!$B$32),Design!$B$31,Design!$B$32)*1000000*Constants!$D$22/1000000000*($V$2-Constants!$C$21)</f>
        <v>1.7932E-2</v>
      </c>
      <c r="AA25" s="225">
        <f>$V$2*V25*($V$2/(Constants!$C$23*1000000000)*IF(ISBLANK(Design!$B$32),Design!$B$31,Design!$B$32)*1000000/2+$V$2/(Constants!$C$24*1000000000)*IF(ISBLANK(Design!$B$32),Design!$B$31,Design!$B$32)*1000000/2)</f>
        <v>0.14875000000000002</v>
      </c>
      <c r="AB25" s="225">
        <f t="shared" ca="1" si="27"/>
        <v>0.21183026170591668</v>
      </c>
      <c r="AC25" s="225">
        <f>Constants!$D$22/1000000000*Constants!$C$21*IF(ISBLANK(Design!$B$32),Design!$B$31,Design!$B$32)*1000000</f>
        <v>1.2499999999999999E-2</v>
      </c>
      <c r="AD25" s="225">
        <f t="shared" ca="1" si="28"/>
        <v>0.39101226170591669</v>
      </c>
      <c r="AE25" s="225">
        <f t="shared" ca="1" si="29"/>
        <v>0.43069131417262141</v>
      </c>
      <c r="AF25" s="225">
        <f ca="1">V25^2*Design!$B$40/1000*(1+(AI25-25)*(Constants!$C$29/100))</f>
        <v>7.8892882327560102E-2</v>
      </c>
      <c r="AG25" s="225">
        <f>0.5*Snubber!$B$16/1000000000000*$V$2^2*Design!$B$32*1000000</f>
        <v>1.6920000000000001E-2</v>
      </c>
      <c r="AH25" s="226">
        <f ca="1">$A25+AE25*Design!$B$19</f>
        <v>109.54940490783942</v>
      </c>
      <c r="AI25" s="226">
        <f ca="1">AD25*Design!$C$12+$A25</f>
        <v>98.294416898001174</v>
      </c>
      <c r="AJ25" s="226">
        <f ca="1">Constants!$D$19+Constants!$D$19*Constants!$C$20/100*(AI25-25)</f>
        <v>220.36264022208113</v>
      </c>
      <c r="AK25" s="225">
        <f ca="1">(1-Constants!$C$17/1000000000*Design!$B$32*1000000) * ($V$2+W25-V25*AJ25/1000) - (W25+V25*Design!$B$40/1000)</f>
        <v>10.980846803098403</v>
      </c>
      <c r="AL25" s="225">
        <f ca="1">IF(AK25&gt;Design!$C$28,Design!$C$28,AK25)</f>
        <v>3.2940895522388054</v>
      </c>
      <c r="AM25" s="225">
        <f t="shared" ca="1" si="30"/>
        <v>0.91751645820609817</v>
      </c>
      <c r="AN25" s="225">
        <f t="shared" ca="1" si="31"/>
        <v>5.7646567164179094</v>
      </c>
      <c r="AO25" s="268">
        <f t="shared" ca="1" si="32"/>
        <v>86.269190662546322</v>
      </c>
      <c r="AP25" s="237">
        <f t="shared" si="41"/>
        <v>1.75</v>
      </c>
      <c r="AQ25" s="160">
        <f ca="1">FORECAST(AP25, OFFSET(Design!$C$15:$C$17,MATCH(AP25,Design!$B$15:$B$17,1)-1,0,2), OFFSET(Design!$B$15:$B$17,MATCH(AP25,Design!$B$15:$B$17,1)-1,0,2))+(BB25-25)*Design!$B$18/1000</f>
        <v>0.35345476410237187</v>
      </c>
      <c r="AR25" s="238">
        <f ca="1">IF(100*(Design!$C$28+AQ25+AP25*IF(ISBLANK(Design!$B$40),Constants!$C$6,Design!$B$40)/1000*(1+Constants!$C$29/100*(BC25-25)))/($AP$2+AQ25-AP25*BD25/1000)&gt;Design!$C$35,Design!$C$35,100*(Design!$C$28+AQ25+AP25*IF(ISBLANK(Design!$B$40),Constants!$C$6,Design!$B$40)/1000*(1+Constants!$C$29/100*(BC25-25)))/($AP$2+AQ25-AP25*BD25/1000))</f>
        <v>23.133832117748899</v>
      </c>
      <c r="AS25" s="161">
        <f ca="1">($AP$2-AP25*IF(ISBLANK(Design!$B$40),Constants!$C$6,Design!$B$40)/1000*(1+Constants!$C$29/100*(BC25-25))-Design!$C$28) / (IF(ISBLANK(Design!$B$39),Design!$B$38,Design!$B$39)/1000000) * AR25/100/(IF(ISBLANK(Design!$B$32),Design!$B$31,Design!$B$32)*1000000)</f>
        <v>0.86142755305803087</v>
      </c>
      <c r="AT25" s="239">
        <f>$AP$2*Constants!$C$18/1000+IF(ISBLANK(Design!$B$32),Design!$B$31,Design!$B$32)*1000000*Constants!$D$22/1000000000*($AP$2-Constants!$C$21)</f>
        <v>2.8076E-2</v>
      </c>
      <c r="AU25" s="239">
        <f>$AP$2*AP25*($AP$2/(Constants!$C$23*1000000000)*IF(ISBLANK(Design!$B$32),Design!$B$31,Design!$B$32)*1000000/2+$AP$2/(Constants!$C$24*1000000000)*IF(ISBLANK(Design!$B$32),Design!$B$31,Design!$B$32)*1000000/2)</f>
        <v>0.26444444444444443</v>
      </c>
      <c r="AV25" s="239">
        <f t="shared" ca="1" si="33"/>
        <v>0.16104411566543819</v>
      </c>
      <c r="AW25" s="239">
        <f>Constants!$D$22/1000000000*Constants!$C$21*IF(ISBLANK(Design!$B$32),Design!$B$31,Design!$B$32)*1000000</f>
        <v>1.2499999999999999E-2</v>
      </c>
      <c r="AX25" s="239">
        <f t="shared" ca="1" si="34"/>
        <v>0.46606456010988262</v>
      </c>
      <c r="AY25" s="239">
        <f t="shared" ca="1" si="35"/>
        <v>0.47545248163480158</v>
      </c>
      <c r="AZ25" s="239">
        <f ca="1">AP25^2*Design!$B$40/1000*(1+(BC25-25)*(Constants!$C$29/100))</f>
        <v>7.9507127224465304E-2</v>
      </c>
      <c r="BA25" s="239">
        <f>0.5*Snubber!$B$16/1000000000000*$AP$2^2*Design!$B$32*1000000</f>
        <v>3.0080000000000003E-2</v>
      </c>
      <c r="BB25" s="240">
        <f ca="1">$A25+AY25*Design!$B$19</f>
        <v>112.10079145318369</v>
      </c>
      <c r="BC25" s="240">
        <f ca="1">AX25*Design!$C$12+$A25</f>
        <v>100.846195043736</v>
      </c>
      <c r="BD25" s="240">
        <f ca="1">Constants!$D$19+Constants!$D$19*Constants!$C$20/100*(BC25-25)</f>
        <v>222.81234724198657</v>
      </c>
      <c r="BE25" s="239">
        <f ca="1">(1-Constants!$C$17/1000000000*Design!$B$32*1000000) * ($AP$2+AQ25-AP25*BD25/1000) - (AQ25+AP25*Design!$B$40/1000)</f>
        <v>14.776901734505079</v>
      </c>
      <c r="BF25" s="239">
        <f ca="1">IF(BE25&gt;Design!$C$28,Design!$C$28,BE25)</f>
        <v>3.2940895522388054</v>
      </c>
      <c r="BG25" s="239">
        <f t="shared" ca="1" si="36"/>
        <v>1.0511041689691496</v>
      </c>
      <c r="BH25" s="239">
        <f t="shared" ca="1" si="37"/>
        <v>5.7646567164179094</v>
      </c>
      <c r="BI25" s="271">
        <f t="shared" ca="1" si="38"/>
        <v>84.57832974712025</v>
      </c>
    </row>
    <row r="26" spans="1:61" ht="12.75" customHeight="1" x14ac:dyDescent="0.25">
      <c r="A26" s="154">
        <f>Design!$D$13</f>
        <v>85</v>
      </c>
      <c r="B26" s="274">
        <f t="shared" si="39"/>
        <v>2</v>
      </c>
      <c r="C26" s="156">
        <f ca="1">FORECAST(B26, OFFSET(Design!$C$15:$C$17,MATCH(B26,Design!$B$15:$B$17,1)-1,0,2), OFFSET(Design!$B$15:$B$17,MATCH(B26,Design!$B$15:$B$17,1)-1,0,2))+(N26-25)*Design!$B$18/1000</f>
        <v>0.37719555634568946</v>
      </c>
      <c r="D26" s="215">
        <f ca="1">IF(100*(Design!$C$28+C26+B26*IF(ISBLANK(Design!$B$40),Constants!$C$6,Design!$B$40)/1000*(1+Constants!$C$29/100*(O26-25)))/($B$2+C26-B26*P26/1000)&gt;Design!$C$35,Design!$C$35,100*(Design!$C$28+C26+B26*IF(ISBLANK(Design!$B$40),Constants!$C$6,Design!$B$40)/1000*(1+Constants!$C$29/100*(O26-25)))/($B$2+C26-B26*P26/1000))</f>
        <v>46.966771994406429</v>
      </c>
      <c r="E26" s="157">
        <f ca="1">IF(($B$2-B26*IF(ISBLANK(Design!$B$40),Constants!$C$6,Design!$B$40)/1000*(1+Constants!$C$29/100*(O26-25))-Design!$C$28) / (IF(ISBLANK(Design!$B$39),Design!$B$38,Design!$B$39)/1000000) * D26/100/(IF(ISBLANK(Design!$B$32),Design!$B$31,Design!$B$32)*1000000)&lt;0,0,($B$2-B26*IF(ISBLANK(Design!$B$40),Constants!$C$6,Design!$B$40)/1000*(1+Constants!$C$29/100*(O26-25))-Design!$C$28) / (IF(ISBLANK(Design!$B$39),Design!$B$38,Design!$B$39)/1000000) * D26/100/(IF(ISBLANK(Design!$B$32),Design!$B$31,Design!$B$32)*1000000))</f>
        <v>0.64284958608633269</v>
      </c>
      <c r="F26" s="207">
        <f>$B$2*Constants!$C$18/1000+IF(ISBLANK(Design!$B$32),Design!$B$31,Design!$B$32)*1000000*Constants!$D$22/1000000000*($B$2-Constants!$C$21)</f>
        <v>7.7879999999999998E-3</v>
      </c>
      <c r="G26" s="207">
        <f>$B$2*B26*($B$2/(Constants!$C$23*1000000000)*IF(ISBLANK(Design!$B$32),Design!$B$31,Design!$B$32)*1000000/2+$B$2/(Constants!$C$24*1000000000)*IF(ISBLANK(Design!$B$32),Design!$B$31,Design!$B$32)*1000000/2)</f>
        <v>7.5555555555555556E-2</v>
      </c>
      <c r="H26" s="207">
        <f t="shared" ca="1" si="21"/>
        <v>0.42562130881477428</v>
      </c>
      <c r="I26" s="207">
        <f>Constants!$D$22/1000000000*Constants!$C$21*IF(ISBLANK(Design!$B$32),Design!$B$31,Design!$B$32)*1000000</f>
        <v>1.2499999999999999E-2</v>
      </c>
      <c r="J26" s="207">
        <f t="shared" ca="1" si="22"/>
        <v>0.52146486437032979</v>
      </c>
      <c r="K26" s="207">
        <f t="shared" ca="1" si="23"/>
        <v>0.40007795884755332</v>
      </c>
      <c r="L26" s="207">
        <f ca="1">B26^2*Design!$B$40/1000*(1+(O26-25)*(Constants!$C$29/100))</f>
        <v>0.10443825081417309</v>
      </c>
      <c r="M26" s="207">
        <f>0.5*Snubber!$B$16/1000000000000*$B$2^2*Design!$B$32*1000000</f>
        <v>7.5200000000000006E-3</v>
      </c>
      <c r="N26" s="208">
        <f ca="1">$A26+K26*Design!$B$19</f>
        <v>107.80444365431055</v>
      </c>
      <c r="O26" s="208">
        <f ca="1">J26*Design!$C$12+A26</f>
        <v>102.72980538859122</v>
      </c>
      <c r="P26" s="208">
        <f ca="1">Constants!$D$19+Constants!$D$19*Constants!$C$20/100*(O26-25)</f>
        <v>224.62061317304756</v>
      </c>
      <c r="Q26" s="207">
        <f ca="1">(1-Constants!$C$17/1000000000*Design!$B$32*1000000) * ($B$2+C26-B26*P26/1000) - (C26+B26*Design!$B$40/1000)</f>
        <v>7.1143610571539257</v>
      </c>
      <c r="R26" s="207">
        <f ca="1">IF(Q26&gt;Design!$C$28,Design!$C$28,Q26)</f>
        <v>3.2940895522388054</v>
      </c>
      <c r="S26" s="207">
        <f t="shared" ca="1" si="24"/>
        <v>1.033501074032056</v>
      </c>
      <c r="T26" s="207">
        <f t="shared" ca="1" si="25"/>
        <v>6.5881791044776108</v>
      </c>
      <c r="U26" s="264">
        <f t="shared" ca="1" si="26"/>
        <v>86.439983706661565</v>
      </c>
      <c r="V26" s="223">
        <f t="shared" si="40"/>
        <v>2</v>
      </c>
      <c r="W26" s="158">
        <f ca="1">FORECAST(V26, OFFSET(Design!$C$15:$C$17,MATCH(V26,Design!$B$15:$B$17,1)-1,0,2), OFFSET(Design!$B$15:$B$17,MATCH(V26,Design!$B$15:$B$17,1)-1,0,2))+(AH26-25)*Design!$B$18/1000</f>
        <v>0.37089785931766928</v>
      </c>
      <c r="X26" s="224">
        <f ca="1">IF(100*(Design!$C$28+W26+V26*IF(ISBLANK(Design!$B$40),Constants!$C$6,Design!$B$40)/1000*(1+Constants!$C$29/100*(AI26-25)))/($V$2+W26-V26*AJ26/1000)&gt;Design!$C$35,Design!$C$35,100*(Design!$C$28+W26+V26*IF(ISBLANK(Design!$B$40),Constants!$C$6,Design!$B$40)/1000*(1+Constants!$C$29/100*(AI26-25)))/($V$2+W26-V26*AJ26/1000))</f>
        <v>31.171903693498304</v>
      </c>
      <c r="Y26" s="159">
        <f ca="1">($V$2-V26*IF(ISBLANK(Design!$B$40),Constants!$C$6,Design!$B$40)/1000*(1+Constants!$C$29/100*(AI26-25))-Design!$C$28) / (IF(ISBLANK(Design!$B$39),Design!$B$38,Design!$B$39)/1000000) * X26/100/(IF(ISBLANK(Design!$B$32),Design!$B$31,Design!$B$32)*1000000)</f>
        <v>0.79340738745162898</v>
      </c>
      <c r="Z26" s="225">
        <f>$V$2*Constants!$C$18/1000+IF(ISBLANK(Design!$B$32),Design!$B$31,Design!$B$32)*1000000*Constants!$D$22/1000000000*($V$2-Constants!$C$21)</f>
        <v>1.7932E-2</v>
      </c>
      <c r="AA26" s="225">
        <f>$V$2*V26*($V$2/(Constants!$C$23*1000000000)*IF(ISBLANK(Design!$B$32),Design!$B$31,Design!$B$32)*1000000/2+$V$2/(Constants!$C$24*1000000000)*IF(ISBLANK(Design!$B$32),Design!$B$31,Design!$B$32)*1000000/2)</f>
        <v>0.17</v>
      </c>
      <c r="AB26" s="225">
        <f t="shared" ca="1" si="27"/>
        <v>0.28214364067935216</v>
      </c>
      <c r="AC26" s="225">
        <f>Constants!$D$22/1000000000*Constants!$C$21*IF(ISBLANK(Design!$B$32),Design!$B$31,Design!$B$32)*1000000</f>
        <v>1.2499999999999999E-2</v>
      </c>
      <c r="AD26" s="225">
        <f t="shared" ca="1" si="28"/>
        <v>0.48257564067935216</v>
      </c>
      <c r="AE26" s="225">
        <f t="shared" ca="1" si="29"/>
        <v>0.51056387161983718</v>
      </c>
      <c r="AF26" s="225">
        <f ca="1">V26^2*Design!$B$40/1000*(1+(AI26-25)*(Constants!$C$29/100))</f>
        <v>0.10402254056860601</v>
      </c>
      <c r="AG26" s="225">
        <f>0.5*Snubber!$B$16/1000000000000*$V$2^2*Design!$B$32*1000000</f>
        <v>1.6920000000000001E-2</v>
      </c>
      <c r="AH26" s="226">
        <f ca="1">$A26+AE26*Design!$B$19</f>
        <v>114.10214068233071</v>
      </c>
      <c r="AI26" s="226">
        <f ca="1">AD26*Design!$C$12+$A26</f>
        <v>101.40757178309798</v>
      </c>
      <c r="AJ26" s="226">
        <f ca="1">Constants!$D$19+Constants!$D$19*Constants!$C$20/100*(AI26-25)</f>
        <v>223.35126891177407</v>
      </c>
      <c r="AK26" s="225">
        <f ca="1">(1-Constants!$C$17/1000000000*Design!$B$32*1000000) * ($V$2+W26-V26*AJ26/1000) - (W26+V26*Design!$B$40/1000)</f>
        <v>10.917087696101746</v>
      </c>
      <c r="AL26" s="225">
        <f ca="1">IF(AK26&gt;Design!$C$28,Design!$C$28,AK26)</f>
        <v>3.2940895522388054</v>
      </c>
      <c r="AM26" s="225">
        <f t="shared" ca="1" si="30"/>
        <v>1.1140820528677953</v>
      </c>
      <c r="AN26" s="225">
        <f t="shared" ca="1" si="31"/>
        <v>6.5881791044776108</v>
      </c>
      <c r="AO26" s="268">
        <f t="shared" ca="1" si="32"/>
        <v>85.535649465672421</v>
      </c>
      <c r="AP26" s="237">
        <f t="shared" si="41"/>
        <v>2</v>
      </c>
      <c r="AQ26" s="160">
        <f ca="1">FORECAST(AP26, OFFSET(Design!$C$15:$C$17,MATCH(AP26,Design!$B$15:$B$17,1)-1,0,2), OFFSET(Design!$B$15:$B$17,MATCH(AP26,Design!$B$15:$B$17,1)-1,0,2))+(BB26-25)*Design!$B$18/1000</f>
        <v>0.3678512401994366</v>
      </c>
      <c r="AR26" s="238">
        <f ca="1">IF(100*(Design!$C$28+AQ26+AP26*IF(ISBLANK(Design!$B$40),Constants!$C$6,Design!$B$40)/1000*(1+Constants!$C$29/100*(BC26-25)))/($AP$2+AQ26-AP26*BD26/1000)&gt;Design!$C$35,Design!$C$35,100*(Design!$C$28+AQ26+AP26*IF(ISBLANK(Design!$B$40),Constants!$C$6,Design!$B$40)/1000*(1+Constants!$C$29/100*(BC26-25)))/($AP$2+AQ26-AP26*BD26/1000))</f>
        <v>23.336763860214774</v>
      </c>
      <c r="AS26" s="161">
        <f ca="1">($AP$2-AP26*IF(ISBLANK(Design!$B$40),Constants!$C$6,Design!$B$40)/1000*(1+Constants!$C$29/100*(BC26-25))-Design!$C$28) / (IF(ISBLANK(Design!$B$39),Design!$B$38,Design!$B$39)/1000000) * AR26/100/(IF(ISBLANK(Design!$B$32),Design!$B$31,Design!$B$32)*1000000)</f>
        <v>0.86850526711071774</v>
      </c>
      <c r="AT26" s="239">
        <f>$AP$2*Constants!$C$18/1000+IF(ISBLANK(Design!$B$32),Design!$B$31,Design!$B$32)*1000000*Constants!$D$22/1000000000*($AP$2-Constants!$C$21)</f>
        <v>2.8076E-2</v>
      </c>
      <c r="AU26" s="239">
        <f>$AP$2*AP26*($AP$2/(Constants!$C$23*1000000000)*IF(ISBLANK(Design!$B$32),Design!$B$31,Design!$B$32)*1000000/2+$AP$2/(Constants!$C$24*1000000000)*IF(ISBLANK(Design!$B$32),Design!$B$31,Design!$B$32)*1000000/2)</f>
        <v>0.30222222222222223</v>
      </c>
      <c r="AV26" s="239">
        <f t="shared" ca="1" si="33"/>
        <v>0.2140672699553636</v>
      </c>
      <c r="AW26" s="239">
        <f>Constants!$D$22/1000000000*Constants!$C$21*IF(ISBLANK(Design!$B$32),Design!$B$31,Design!$B$32)*1000000</f>
        <v>1.2499999999999999E-2</v>
      </c>
      <c r="AX26" s="239">
        <f t="shared" ca="1" si="34"/>
        <v>0.55686549217758574</v>
      </c>
      <c r="AY26" s="239">
        <f t="shared" ca="1" si="35"/>
        <v>0.5640133298344453</v>
      </c>
      <c r="AZ26" s="239">
        <f ca="1">AP26^2*Design!$B$40/1000*(1+(BC26-25)*(Constants!$C$29/100))</f>
        <v>0.10481666936518153</v>
      </c>
      <c r="BA26" s="239">
        <f>0.5*Snubber!$B$16/1000000000000*$AP$2^2*Design!$B$32*1000000</f>
        <v>3.0080000000000003E-2</v>
      </c>
      <c r="BB26" s="240">
        <f ca="1">$A26+AY26*Design!$B$19</f>
        <v>117.14875980056338</v>
      </c>
      <c r="BC26" s="240">
        <f ca="1">AX26*Design!$C$12+$A26</f>
        <v>103.93342673403791</v>
      </c>
      <c r="BD26" s="240">
        <f ca="1">Constants!$D$19+Constants!$D$19*Constants!$C$20/100*(BC26-25)</f>
        <v>225.77608966467639</v>
      </c>
      <c r="BE26" s="239">
        <f ca="1">(1-Constants!$C$17/1000000000*Design!$B$32*1000000) * ($AP$2+AQ26-AP26*BD26/1000) - (AQ26+AP26*Design!$B$40/1000)</f>
        <v>14.712632867627141</v>
      </c>
      <c r="BF26" s="239">
        <f ca="1">IF(BE26&gt;Design!$C$28,Design!$C$28,BE26)</f>
        <v>3.2940895522388054</v>
      </c>
      <c r="BG26" s="239">
        <f t="shared" ca="1" si="36"/>
        <v>1.2557754913772128</v>
      </c>
      <c r="BH26" s="239">
        <f t="shared" ca="1" si="37"/>
        <v>6.5881791044776108</v>
      </c>
      <c r="BI26" s="271">
        <f t="shared" ca="1" si="38"/>
        <v>83.990530847273988</v>
      </c>
    </row>
    <row r="27" spans="1:61" ht="12.75" customHeight="1" x14ac:dyDescent="0.25">
      <c r="A27" s="154">
        <f>Design!$D$13</f>
        <v>85</v>
      </c>
      <c r="B27" s="274">
        <f t="shared" si="39"/>
        <v>2.25</v>
      </c>
      <c r="C27" s="156">
        <f ca="1">FORECAST(B27, OFFSET(Design!$C$15:$C$17,MATCH(B27,Design!$B$15:$B$17,1)-1,0,2), OFFSET(Design!$B$15:$B$17,MATCH(B27,Design!$B$15:$B$17,1)-1,0,2))+(N27-25)*Design!$B$18/1000</f>
        <v>0.38061281811466907</v>
      </c>
      <c r="D27" s="215">
        <f ca="1">IF(100*(Design!$C$28+C27+B27*IF(ISBLANK(Design!$B$40),Constants!$C$6,Design!$B$40)/1000*(1+Constants!$C$29/100*(O27-25)))/($B$2+C27-B27*P27/1000)&gt;Design!$C$35,Design!$C$35,100*(Design!$C$28+C27+B27*IF(ISBLANK(Design!$B$40),Constants!$C$6,Design!$B$40)/1000*(1+Constants!$C$29/100*(O27-25)))/($B$2+C27-B27*P27/1000))</f>
        <v>47.47942156100315</v>
      </c>
      <c r="E27" s="157">
        <f ca="1">IF(($B$2-B27*IF(ISBLANK(Design!$B$40),Constants!$C$6,Design!$B$40)/1000*(1+Constants!$C$29/100*(O27-25))-Design!$C$28) / (IF(ISBLANK(Design!$B$39),Design!$B$38,Design!$B$39)/1000000) * D27/100/(IF(ISBLANK(Design!$B$32),Design!$B$31,Design!$B$32)*1000000)&lt;0,0,($B$2-B27*IF(ISBLANK(Design!$B$40),Constants!$C$6,Design!$B$40)/1000*(1+Constants!$C$29/100*(O27-25))-Design!$C$28) / (IF(ISBLANK(Design!$B$39),Design!$B$38,Design!$B$39)/1000000) * D27/100/(IF(ISBLANK(Design!$B$32),Design!$B$31,Design!$B$32)*1000000))</f>
        <v>0.64883865205684621</v>
      </c>
      <c r="F27" s="207">
        <f>$B$2*Constants!$C$18/1000+IF(ISBLANK(Design!$B$32),Design!$B$31,Design!$B$32)*1000000*Constants!$D$22/1000000000*($B$2-Constants!$C$21)</f>
        <v>7.7879999999999998E-3</v>
      </c>
      <c r="G27" s="207">
        <f>$B$2*B27*($B$2/(Constants!$C$23*1000000000)*IF(ISBLANK(Design!$B$32),Design!$B$31,Design!$B$32)*1000000/2+$B$2/(Constants!$C$24*1000000000)*IF(ISBLANK(Design!$B$32),Design!$B$31,Design!$B$32)*1000000/2)</f>
        <v>8.5000000000000006E-2</v>
      </c>
      <c r="H27" s="207">
        <f t="shared" ca="1" si="21"/>
        <v>0.5545838572387719</v>
      </c>
      <c r="I27" s="207">
        <f>Constants!$D$22/1000000000*Constants!$C$21*IF(ISBLANK(Design!$B$32),Design!$B$31,Design!$B$32)*1000000</f>
        <v>1.2499999999999999E-2</v>
      </c>
      <c r="J27" s="207">
        <f t="shared" ca="1" si="22"/>
        <v>0.65987185723877184</v>
      </c>
      <c r="K27" s="207">
        <f t="shared" ca="1" si="23"/>
        <v>0.44977512079528009</v>
      </c>
      <c r="L27" s="207">
        <f ca="1">B27^2*Design!$B$40/1000*(1+(O27-25)*(Constants!$C$29/100))</f>
        <v>0.13405217285337978</v>
      </c>
      <c r="M27" s="207">
        <f>0.5*Snubber!$B$16/1000000000000*$B$2^2*Design!$B$32*1000000</f>
        <v>7.5200000000000006E-3</v>
      </c>
      <c r="N27" s="208">
        <f ca="1">$A27+K27*Design!$B$19</f>
        <v>110.63718188533096</v>
      </c>
      <c r="O27" s="208">
        <f ca="1">J27*Design!$C$12+A27</f>
        <v>107.43564314611824</v>
      </c>
      <c r="P27" s="208">
        <f ca="1">Constants!$D$19+Constants!$D$19*Constants!$C$20/100*(O27-25)</f>
        <v>229.13821742027352</v>
      </c>
      <c r="Q27" s="207">
        <f ca="1">(1-Constants!$C$17/1000000000*Design!$B$32*1000000) * ($B$2+C27-B27*P27/1000) - (C27+B27*Design!$B$40/1000)</f>
        <v>7.0461864193584312</v>
      </c>
      <c r="R27" s="207">
        <f ca="1">IF(Q27&gt;Design!$C$28,Design!$C$28,Q27)</f>
        <v>3.2940895522388054</v>
      </c>
      <c r="S27" s="207">
        <f t="shared" ca="1" si="24"/>
        <v>1.2512191508874317</v>
      </c>
      <c r="T27" s="207">
        <f t="shared" ca="1" si="25"/>
        <v>7.4117014925373121</v>
      </c>
      <c r="U27" s="264">
        <f t="shared" ca="1" si="26"/>
        <v>85.556613036307539</v>
      </c>
      <c r="V27" s="223">
        <f t="shared" si="40"/>
        <v>2.25</v>
      </c>
      <c r="W27" s="158">
        <f ca="1">FORECAST(V27, OFFSET(Design!$C$15:$C$17,MATCH(V27,Design!$B$15:$B$17,1)-1,0,2), OFFSET(Design!$B$15:$B$17,MATCH(V27,Design!$B$15:$B$17,1)-1,0,2))+(AH27-25)*Design!$B$18/1000</f>
        <v>0.37340437948124761</v>
      </c>
      <c r="X27" s="224">
        <f ca="1">IF(100*(Design!$C$28+W27+V27*IF(ISBLANK(Design!$B$40),Constants!$C$6,Design!$B$40)/1000*(1+Constants!$C$29/100*(AI27-25)))/($V$2+W27-V27*AJ27/1000)&gt;Design!$C$35,Design!$C$35,100*(Design!$C$28+W27+V27*IF(ISBLANK(Design!$B$40),Constants!$C$6,Design!$B$40)/1000*(1+Constants!$C$29/100*(AI27-25)))/($V$2+W27-V27*AJ27/1000))</f>
        <v>31.413176452012074</v>
      </c>
      <c r="Y27" s="159">
        <f ca="1">($V$2-V27*IF(ISBLANK(Design!$B$40),Constants!$C$6,Design!$B$40)/1000*(1+Constants!$C$29/100*(AI27-25))-Design!$C$28) / (IF(ISBLANK(Design!$B$39),Design!$B$38,Design!$B$39)/1000000) * X27/100/(IF(ISBLANK(Design!$B$32),Design!$B$31,Design!$B$32)*1000000)</f>
        <v>0.79889026560073018</v>
      </c>
      <c r="Z27" s="225">
        <f>$V$2*Constants!$C$18/1000+IF(ISBLANK(Design!$B$32),Design!$B$31,Design!$B$32)*1000000*Constants!$D$22/1000000000*($V$2-Constants!$C$21)</f>
        <v>1.7932E-2</v>
      </c>
      <c r="AA27" s="225">
        <f>$V$2*V27*($V$2/(Constants!$C$23*1000000000)*IF(ISBLANK(Design!$B$32),Design!$B$31,Design!$B$32)*1000000/2+$V$2/(Constants!$C$24*1000000000)*IF(ISBLANK(Design!$B$32),Design!$B$31,Design!$B$32)*1000000/2)</f>
        <v>0.19125</v>
      </c>
      <c r="AB27" s="225">
        <f t="shared" ca="1" si="27"/>
        <v>0.36435197765602811</v>
      </c>
      <c r="AC27" s="225">
        <f>Constants!$D$22/1000000000*Constants!$C$21*IF(ISBLANK(Design!$B$32),Design!$B$31,Design!$B$32)*1000000</f>
        <v>1.2499999999999999E-2</v>
      </c>
      <c r="AD27" s="225">
        <f t="shared" ca="1" si="28"/>
        <v>0.58603397765602805</v>
      </c>
      <c r="AE27" s="225">
        <f t="shared" ca="1" si="29"/>
        <v>0.57623895646934076</v>
      </c>
      <c r="AF27" s="225">
        <f ca="1">V27^2*Design!$B$40/1000*(1+(AI27-25)*(Constants!$C$29/100))</f>
        <v>0.13305321833455785</v>
      </c>
      <c r="AG27" s="225">
        <f>0.5*Snubber!$B$16/1000000000000*$V$2^2*Design!$B$32*1000000</f>
        <v>1.6920000000000001E-2</v>
      </c>
      <c r="AH27" s="226">
        <f ca="1">$A27+AE27*Design!$B$19</f>
        <v>117.84562051875243</v>
      </c>
      <c r="AI27" s="226">
        <f ca="1">AD27*Design!$C$12+$A27</f>
        <v>104.92515524030495</v>
      </c>
      <c r="AJ27" s="226">
        <f ca="1">Constants!$D$19+Constants!$D$19*Constants!$C$20/100*(AI27-25)</f>
        <v>226.72814903069275</v>
      </c>
      <c r="AK27" s="225">
        <f ca="1">(1-Constants!$C$17/1000000000*Design!$B$32*1000000) * ($V$2+W27-V27*AJ27/1000) - (W27+V27*Design!$B$40/1000)</f>
        <v>10.851698362472831</v>
      </c>
      <c r="AL27" s="225">
        <f ca="1">IF(AK27&gt;Design!$C$28,Design!$C$28,AK27)</f>
        <v>3.2940895522388054</v>
      </c>
      <c r="AM27" s="225">
        <f t="shared" ca="1" si="30"/>
        <v>1.3122461524599267</v>
      </c>
      <c r="AN27" s="225">
        <f t="shared" ca="1" si="31"/>
        <v>7.4117014925373121</v>
      </c>
      <c r="AO27" s="268">
        <f t="shared" ca="1" si="32"/>
        <v>84.958115226511751</v>
      </c>
      <c r="AP27" s="237">
        <f t="shared" si="41"/>
        <v>2.25</v>
      </c>
      <c r="AQ27" s="160">
        <f ca="1">FORECAST(AP27, OFFSET(Design!$C$15:$C$17,MATCH(AP27,Design!$B$15:$B$17,1)-1,0,2), OFFSET(Design!$B$15:$B$17,MATCH(AP27,Design!$B$15:$B$17,1)-1,0,2))+(BB27-25)*Design!$B$18/1000</f>
        <v>0.3699472813145519</v>
      </c>
      <c r="AR27" s="238">
        <f ca="1">IF(100*(Design!$C$28+AQ27+AP27*IF(ISBLANK(Design!$B$40),Constants!$C$6,Design!$B$40)/1000*(1+Constants!$C$29/100*(BC27-25)))/($AP$2+AQ27-AP27*BD27/1000)&gt;Design!$C$35,Design!$C$35,100*(Design!$C$28+AQ27+AP27*IF(ISBLANK(Design!$B$40),Constants!$C$6,Design!$B$40)/1000*(1+Constants!$C$29/100*(BC27-25)))/($AP$2+AQ27-AP27*BD27/1000))</f>
        <v>23.485818575615241</v>
      </c>
      <c r="AS27" s="161">
        <f ca="1">($AP$2-AP27*IF(ISBLANK(Design!$B$40),Constants!$C$6,Design!$B$40)/1000*(1+Constants!$C$29/100*(BC27-25))-Design!$C$28) / (IF(ISBLANK(Design!$B$39),Design!$B$38,Design!$B$39)/1000000) * AR27/100/(IF(ISBLANK(Design!$B$32),Design!$B$31,Design!$B$32)*1000000)</f>
        <v>0.87355869711764067</v>
      </c>
      <c r="AT27" s="239">
        <f>$AP$2*Constants!$C$18/1000+IF(ISBLANK(Design!$B$32),Design!$B$31,Design!$B$32)*1000000*Constants!$D$22/1000000000*($AP$2-Constants!$C$21)</f>
        <v>2.8076E-2</v>
      </c>
      <c r="AU27" s="239">
        <f>$AP$2*AP27*($AP$2/(Constants!$C$23*1000000000)*IF(ISBLANK(Design!$B$32),Design!$B$31,Design!$B$32)*1000000/2+$AP$2/(Constants!$C$24*1000000000)*IF(ISBLANK(Design!$B$32),Design!$B$31,Design!$B$32)*1000000/2)</f>
        <v>0.34</v>
      </c>
      <c r="AV27" s="239">
        <f t="shared" ca="1" si="33"/>
        <v>0.27572006040629921</v>
      </c>
      <c r="AW27" s="239">
        <f>Constants!$D$22/1000000000*Constants!$C$21*IF(ISBLANK(Design!$B$32),Design!$B$31,Design!$B$32)*1000000</f>
        <v>1.2499999999999999E-2</v>
      </c>
      <c r="AX27" s="239">
        <f t="shared" ca="1" si="34"/>
        <v>0.65629606040629918</v>
      </c>
      <c r="AY27" s="239">
        <f t="shared" ca="1" si="35"/>
        <v>0.63688980149908936</v>
      </c>
      <c r="AZ27" s="239">
        <f ca="1">AP27^2*Design!$B$40/1000*(1+(BC27-25)*(Constants!$C$29/100))</f>
        <v>0.13400379580863833</v>
      </c>
      <c r="BA27" s="239">
        <f>0.5*Snubber!$B$16/1000000000000*$AP$2^2*Design!$B$32*1000000</f>
        <v>3.0080000000000003E-2</v>
      </c>
      <c r="BB27" s="240">
        <f ca="1">$A27+AY27*Design!$B$19</f>
        <v>121.3027186854481</v>
      </c>
      <c r="BC27" s="240">
        <f ca="1">AX27*Design!$C$12+$A27</f>
        <v>107.31406605381417</v>
      </c>
      <c r="BD27" s="240">
        <f ca="1">Constants!$D$19+Constants!$D$19*Constants!$C$20/100*(BC27-25)</f>
        <v>229.0215034116616</v>
      </c>
      <c r="BE27" s="239">
        <f ca="1">(1-Constants!$C$17/1000000000*Design!$B$32*1000000) * ($AP$2+AQ27-AP27*BD27/1000) - (AQ27+AP27*Design!$B$40/1000)</f>
        <v>14.646969172391845</v>
      </c>
      <c r="BF27" s="239">
        <f ca="1">IF(BE27&gt;Design!$C$28,Design!$C$28,BE27)</f>
        <v>3.2940895522388054</v>
      </c>
      <c r="BG27" s="239">
        <f t="shared" ca="1" si="36"/>
        <v>1.4572696577140272</v>
      </c>
      <c r="BH27" s="239">
        <f t="shared" ca="1" si="37"/>
        <v>7.4117014925373121</v>
      </c>
      <c r="BI27" s="271">
        <f t="shared" ca="1" si="38"/>
        <v>83.568898432229886</v>
      </c>
    </row>
    <row r="28" spans="1:61" ht="12.75" customHeight="1" x14ac:dyDescent="0.25">
      <c r="A28" s="154">
        <f>Design!$D$13</f>
        <v>85</v>
      </c>
      <c r="B28" s="274">
        <f t="shared" si="39"/>
        <v>2.5</v>
      </c>
      <c r="C28" s="156">
        <f ca="1">FORECAST(B28, OFFSET(Design!$C$15:$C$17,MATCH(B28,Design!$B$15:$B$17,1)-1,0,2), OFFSET(Design!$B$15:$B$17,MATCH(B28,Design!$B$15:$B$17,1)-1,0,2))+(N28-25)*Design!$B$18/1000</f>
        <v>0.38405828987136675</v>
      </c>
      <c r="D28" s="215">
        <f ca="1">IF(100*(Design!$C$28+C28+B28*IF(ISBLANK(Design!$B$40),Constants!$C$6,Design!$B$40)/1000*(1+Constants!$C$29/100*(O28-25)))/($B$2+C28-B28*P28/1000)&gt;Design!$C$35,Design!$C$35,100*(Design!$C$28+C28+B28*IF(ISBLANK(Design!$B$40),Constants!$C$6,Design!$B$40)/1000*(1+Constants!$C$29/100*(O28-25)))/($B$2+C28-B28*P28/1000))</f>
        <v>48.031079256755525</v>
      </c>
      <c r="E28" s="157">
        <f ca="1">IF(($B$2-B28*IF(ISBLANK(Design!$B$40),Constants!$C$6,Design!$B$40)/1000*(1+Constants!$C$29/100*(O28-25))-Design!$C$28) / (IF(ISBLANK(Design!$B$39),Design!$B$38,Design!$B$39)/1000000) * D28/100/(IF(ISBLANK(Design!$B$32),Design!$B$31,Design!$B$32)*1000000)&lt;0,0,($B$2-B28*IF(ISBLANK(Design!$B$40),Constants!$C$6,Design!$B$40)/1000*(1+Constants!$C$29/100*(O28-25))-Design!$C$28) / (IF(ISBLANK(Design!$B$39),Design!$B$38,Design!$B$39)/1000000) * D28/100/(IF(ISBLANK(Design!$B$32),Design!$B$31,Design!$B$32)*1000000))</f>
        <v>0.65528870739670442</v>
      </c>
      <c r="F28" s="207">
        <f>$B$2*Constants!$C$18/1000+IF(ISBLANK(Design!$B$32),Design!$B$31,Design!$B$32)*1000000*Constants!$D$22/1000000000*($B$2-Constants!$C$21)</f>
        <v>7.7879999999999998E-3</v>
      </c>
      <c r="G28" s="207">
        <f>$B$2*B28*($B$2/(Constants!$C$23*1000000000)*IF(ISBLANK(Design!$B$32),Design!$B$31,Design!$B$32)*1000000/2+$B$2/(Constants!$C$24*1000000000)*IF(ISBLANK(Design!$B$32),Design!$B$31,Design!$B$32)*1000000/2)</f>
        <v>9.4444444444444442E-2</v>
      </c>
      <c r="H28" s="207">
        <f t="shared" ca="1" si="21"/>
        <v>0.70783027106719931</v>
      </c>
      <c r="I28" s="207">
        <f>Constants!$D$22/1000000000*Constants!$C$21*IF(ISBLANK(Design!$B$32),Design!$B$31,Design!$B$32)*1000000</f>
        <v>1.2499999999999999E-2</v>
      </c>
      <c r="J28" s="207">
        <f t="shared" ca="1" si="22"/>
        <v>0.82256271551164373</v>
      </c>
      <c r="K28" s="207">
        <f t="shared" ca="1" si="23"/>
        <v>0.49897737067777675</v>
      </c>
      <c r="L28" s="207">
        <f ca="1">B28^2*Design!$B$40/1000*(1+(O28-25)*(Constants!$C$29/100))</f>
        <v>0.16821385375583323</v>
      </c>
      <c r="M28" s="207">
        <f>0.5*Snubber!$B$16/1000000000000*$B$2^2*Design!$B$32*1000000</f>
        <v>7.5200000000000006E-3</v>
      </c>
      <c r="N28" s="208">
        <f ca="1">$A28+K28*Design!$B$19</f>
        <v>113.44171012863328</v>
      </c>
      <c r="O28" s="208">
        <f ca="1">J28*Design!$C$12+A28</f>
        <v>112.96713232739589</v>
      </c>
      <c r="P28" s="208">
        <f ca="1">Constants!$D$19+Constants!$D$19*Constants!$C$20/100*(O28-25)</f>
        <v>234.44844703430005</v>
      </c>
      <c r="Q28" s="207">
        <f ca="1">(1-Constants!$C$17/1000000000*Design!$B$32*1000000) * ($B$2+C28-B28*P28/1000) - (C28+B28*Design!$B$40/1000)</f>
        <v>6.9739820237999695</v>
      </c>
      <c r="R28" s="207">
        <f ca="1">IF(Q28&gt;Design!$C$28,Design!$C$28,Q28)</f>
        <v>3.2940895522388054</v>
      </c>
      <c r="S28" s="207">
        <f t="shared" ca="1" si="24"/>
        <v>1.4972739399452537</v>
      </c>
      <c r="T28" s="207">
        <f t="shared" ca="1" si="25"/>
        <v>8.2352238805970135</v>
      </c>
      <c r="U28" s="264">
        <f t="shared" ca="1" si="26"/>
        <v>84.615727970830108</v>
      </c>
      <c r="V28" s="223">
        <f t="shared" si="40"/>
        <v>2.5</v>
      </c>
      <c r="W28" s="158">
        <f ca="1">FORECAST(V28, OFFSET(Design!$C$15:$C$17,MATCH(V28,Design!$B$15:$B$17,1)-1,0,2), OFFSET(Design!$B$15:$B$17,MATCH(V28,Design!$B$15:$B$17,1)-1,0,2))+(AH28-25)*Design!$B$18/1000</f>
        <v>0.37589686176666881</v>
      </c>
      <c r="X28" s="224">
        <f ca="1">IF(100*(Design!$C$28+W28+V28*IF(ISBLANK(Design!$B$40),Constants!$C$6,Design!$B$40)/1000*(1+Constants!$C$29/100*(AI28-25)))/($V$2+W28-V28*AJ28/1000)&gt;Design!$C$35,Design!$C$35,100*(Design!$C$28+W28+V28*IF(ISBLANK(Design!$B$40),Constants!$C$6,Design!$B$40)/1000*(1+Constants!$C$29/100*(AI28-25)))/($V$2+W28-V28*AJ28/1000))</f>
        <v>31.666328166196521</v>
      </c>
      <c r="Y28" s="159">
        <f ca="1">($V$2-V28*IF(ISBLANK(Design!$B$40),Constants!$C$6,Design!$B$40)/1000*(1+Constants!$C$29/100*(AI28-25))-Design!$C$28) / (IF(ISBLANK(Design!$B$39),Design!$B$38,Design!$B$39)/1000000) * X28/100/(IF(ISBLANK(Design!$B$32),Design!$B$31,Design!$B$32)*1000000)</f>
        <v>0.8046435033880025</v>
      </c>
      <c r="Z28" s="225">
        <f>$V$2*Constants!$C$18/1000+IF(ISBLANK(Design!$B$32),Design!$B$31,Design!$B$32)*1000000*Constants!$D$22/1000000000*($V$2-Constants!$C$21)</f>
        <v>1.7932E-2</v>
      </c>
      <c r="AA28" s="225">
        <f>$V$2*V28*($V$2/(Constants!$C$23*1000000000)*IF(ISBLANK(Design!$B$32),Design!$B$31,Design!$B$32)*1000000/2+$V$2/(Constants!$C$24*1000000000)*IF(ISBLANK(Design!$B$32),Design!$B$31,Design!$B$32)*1000000/2)</f>
        <v>0.21250000000000002</v>
      </c>
      <c r="AB28" s="225">
        <f t="shared" ca="1" si="27"/>
        <v>0.46023367125535597</v>
      </c>
      <c r="AC28" s="225">
        <f>Constants!$D$22/1000000000*Constants!$C$21*IF(ISBLANK(Design!$B$32),Design!$B$31,Design!$B$32)*1000000</f>
        <v>1.2499999999999999E-2</v>
      </c>
      <c r="AD28" s="225">
        <f t="shared" ca="1" si="28"/>
        <v>0.70316567125535601</v>
      </c>
      <c r="AE28" s="225">
        <f t="shared" ca="1" si="29"/>
        <v>0.64216031988300337</v>
      </c>
      <c r="AF28" s="225">
        <f ca="1">V28^2*Design!$B$40/1000*(1+(AI28-25)*(Constants!$C$29/100))</f>
        <v>0.16621962462414258</v>
      </c>
      <c r="AG28" s="225">
        <f>0.5*Snubber!$B$16/1000000000000*$V$2^2*Design!$B$32*1000000</f>
        <v>1.6920000000000001E-2</v>
      </c>
      <c r="AH28" s="226">
        <f ca="1">$A28+AE28*Design!$B$19</f>
        <v>121.60313823333119</v>
      </c>
      <c r="AI28" s="226">
        <f ca="1">AD28*Design!$C$12+$A28</f>
        <v>108.9076328226821</v>
      </c>
      <c r="AJ28" s="226">
        <f ca="1">Constants!$D$19+Constants!$D$19*Constants!$C$20/100*(AI28-25)</f>
        <v>230.55132750977481</v>
      </c>
      <c r="AK28" s="225">
        <f ca="1">(1-Constants!$C$17/1000000000*Design!$B$32*1000000) * ($V$2+W28-V28*AJ28/1000) - (W28+V28*Design!$B$40/1000)</f>
        <v>10.783645754075952</v>
      </c>
      <c r="AL28" s="225">
        <f ca="1">IF(AK28&gt;Design!$C$28,Design!$C$28,AK28)</f>
        <v>3.2940895522388054</v>
      </c>
      <c r="AM28" s="225">
        <f t="shared" ca="1" si="30"/>
        <v>1.5284656157625018</v>
      </c>
      <c r="AN28" s="225">
        <f t="shared" ca="1" si="31"/>
        <v>8.2352238805970135</v>
      </c>
      <c r="AO28" s="268">
        <f t="shared" ca="1" si="32"/>
        <v>84.345409424046068</v>
      </c>
      <c r="AP28" s="237">
        <f t="shared" si="41"/>
        <v>2.5</v>
      </c>
      <c r="AQ28" s="160">
        <f ca="1">FORECAST(AP28, OFFSET(Design!$C$15:$C$17,MATCH(AP28,Design!$B$15:$B$17,1)-1,0,2), OFFSET(Design!$B$15:$B$17,MATCH(AP28,Design!$B$15:$B$17,1)-1,0,2))+(BB28-25)*Design!$B$18/1000</f>
        <v>0.3720198349233742</v>
      </c>
      <c r="AR28" s="238">
        <f ca="1">IF(100*(Design!$C$28+AQ28+AP28*IF(ISBLANK(Design!$B$40),Constants!$C$6,Design!$B$40)/1000*(1+Constants!$C$29/100*(BC28-25)))/($AP$2+AQ28-AP28*BD28/1000)&gt;Design!$C$35,Design!$C$35,100*(Design!$C$28+AQ28+AP28*IF(ISBLANK(Design!$B$40),Constants!$C$6,Design!$B$40)/1000*(1+Constants!$C$29/100*(BC28-25)))/($AP$2+AQ28-AP28*BD28/1000))</f>
        <v>23.640809654794495</v>
      </c>
      <c r="AS28" s="161">
        <f ca="1">($AP$2-AP28*IF(ISBLANK(Design!$B$40),Constants!$C$6,Design!$B$40)/1000*(1+Constants!$C$29/100*(BC28-25))-Design!$C$28) / (IF(ISBLANK(Design!$B$39),Design!$B$38,Design!$B$39)/1000000) * AR28/100/(IF(ISBLANK(Design!$B$32),Design!$B$31,Design!$B$32)*1000000)</f>
        <v>0.87881273565977869</v>
      </c>
      <c r="AT28" s="239">
        <f>$AP$2*Constants!$C$18/1000+IF(ISBLANK(Design!$B$32),Design!$B$31,Design!$B$32)*1000000*Constants!$D$22/1000000000*($AP$2-Constants!$C$21)</f>
        <v>2.8076E-2</v>
      </c>
      <c r="AU28" s="239">
        <f>$AP$2*AP28*($AP$2/(Constants!$C$23*1000000000)*IF(ISBLANK(Design!$B$32),Design!$B$31,Design!$B$32)*1000000/2+$AP$2/(Constants!$C$24*1000000000)*IF(ISBLANK(Design!$B$32),Design!$B$31,Design!$B$32)*1000000/2)</f>
        <v>0.37777777777777777</v>
      </c>
      <c r="AV28" s="239">
        <f t="shared" ca="1" si="33"/>
        <v>0.34719883984312022</v>
      </c>
      <c r="AW28" s="239">
        <f>Constants!$D$22/1000000000*Constants!$C$21*IF(ISBLANK(Design!$B$32),Design!$B$31,Design!$B$32)*1000000</f>
        <v>1.2499999999999999E-2</v>
      </c>
      <c r="AX28" s="239">
        <f t="shared" ca="1" si="34"/>
        <v>0.76555261762089799</v>
      </c>
      <c r="AY28" s="239">
        <f t="shared" ca="1" si="35"/>
        <v>0.71017833467764657</v>
      </c>
      <c r="AZ28" s="239">
        <f ca="1">AP28^2*Design!$B$40/1000*(1+(BC28-25)*(Constants!$C$29/100))</f>
        <v>0.16726164259581305</v>
      </c>
      <c r="BA28" s="239">
        <f>0.5*Snubber!$B$16/1000000000000*$AP$2^2*Design!$B$32*1000000</f>
        <v>3.0080000000000003E-2</v>
      </c>
      <c r="BB28" s="240">
        <f ca="1">$A28+AY28*Design!$B$19</f>
        <v>125.48016507662585</v>
      </c>
      <c r="BC28" s="240">
        <f ca="1">AX28*Design!$C$12+$A28</f>
        <v>111.02878899911053</v>
      </c>
      <c r="BD28" s="240">
        <f ca="1">Constants!$D$19+Constants!$D$19*Constants!$C$20/100*(BC28-25)</f>
        <v>232.58763743914611</v>
      </c>
      <c r="BE28" s="239">
        <f ca="1">(1-Constants!$C$17/1000000000*Design!$B$32*1000000) * ($AP$2+AQ28-AP28*BD28/1000) - (AQ28+AP28*Design!$B$40/1000)</f>
        <v>14.57900336933586</v>
      </c>
      <c r="BF28" s="239">
        <f ca="1">IF(BE28&gt;Design!$C$28,Design!$C$28,BE28)</f>
        <v>3.2940895522388054</v>
      </c>
      <c r="BG28" s="239">
        <f t="shared" ca="1" si="36"/>
        <v>1.6730725948943577</v>
      </c>
      <c r="BH28" s="239">
        <f t="shared" ca="1" si="37"/>
        <v>8.2352238805970135</v>
      </c>
      <c r="BI28" s="271">
        <f t="shared" ca="1" si="38"/>
        <v>83.114427398970349</v>
      </c>
    </row>
    <row r="29" spans="1:61" ht="12.75" customHeight="1" x14ac:dyDescent="0.25">
      <c r="A29" s="154">
        <f>Design!$D$13</f>
        <v>85</v>
      </c>
      <c r="B29" s="274">
        <f t="shared" si="39"/>
        <v>2.75</v>
      </c>
      <c r="C29" s="156">
        <f ca="1">FORECAST(B29, OFFSET(Design!$C$15:$C$17,MATCH(B29,Design!$B$15:$B$17,1)-1,0,2), OFFSET(Design!$B$15:$B$17,MATCH(B29,Design!$B$15:$B$17,1)-1,0,2))+(N29-25)*Design!$B$18/1000</f>
        <v>0.38754445615772803</v>
      </c>
      <c r="D29" s="215">
        <f ca="1">IF(100*(Design!$C$28+C29+B29*IF(ISBLANK(Design!$B$40),Constants!$C$6,Design!$B$40)/1000*(1+Constants!$C$29/100*(O29-25)))/($B$2+C29-B29*P29/1000)&gt;Design!$C$35,Design!$C$35,100*(Design!$C$28+C29+B29*IF(ISBLANK(Design!$B$40),Constants!$C$6,Design!$B$40)/1000*(1+Constants!$C$29/100*(O29-25)))/($B$2+C29-B29*P29/1000))</f>
        <v>48.630814748451257</v>
      </c>
      <c r="E29" s="157">
        <f ca="1">IF(($B$2-B29*IF(ISBLANK(Design!$B$40),Constants!$C$6,Design!$B$40)/1000*(1+Constants!$C$29/100*(O29-25))-Design!$C$28) / (IF(ISBLANK(Design!$B$39),Design!$B$38,Design!$B$39)/1000000) * D29/100/(IF(ISBLANK(Design!$B$32),Design!$B$31,Design!$B$32)*1000000)&lt;0,0,($B$2-B29*IF(ISBLANK(Design!$B$40),Constants!$C$6,Design!$B$40)/1000*(1+Constants!$C$29/100*(O29-25))-Design!$C$28) / (IF(ISBLANK(Design!$B$39),Design!$B$38,Design!$B$39)/1000000) * D29/100/(IF(ISBLANK(Design!$B$32),Design!$B$31,Design!$B$32)*1000000))</f>
        <v>0.66230767647034561</v>
      </c>
      <c r="F29" s="207">
        <f>$B$2*Constants!$C$18/1000+IF(ISBLANK(Design!$B$32),Design!$B$31,Design!$B$32)*1000000*Constants!$D$22/1000000000*($B$2-Constants!$C$21)</f>
        <v>7.7879999999999998E-3</v>
      </c>
      <c r="G29" s="207">
        <f>$B$2*B29*($B$2/(Constants!$C$23*1000000000)*IF(ISBLANK(Design!$B$32),Design!$B$31,Design!$B$32)*1000000/2+$B$2/(Constants!$C$24*1000000000)*IF(ISBLANK(Design!$B$32),Design!$B$31,Design!$B$32)*1000000/2)</f>
        <v>0.10388888888888889</v>
      </c>
      <c r="H29" s="207">
        <f t="shared" ca="1" si="21"/>
        <v>0.88944577148318071</v>
      </c>
      <c r="I29" s="207">
        <f>Constants!$D$22/1000000000*Constants!$C$21*IF(ISBLANK(Design!$B$32),Design!$B$31,Design!$B$32)*1000000</f>
        <v>1.2499999999999999E-2</v>
      </c>
      <c r="J29" s="207">
        <f t="shared" ca="1" si="22"/>
        <v>1.0136226603720695</v>
      </c>
      <c r="K29" s="207">
        <f t="shared" ca="1" si="23"/>
        <v>0.5474656814433686</v>
      </c>
      <c r="L29" s="207">
        <f ca="1">B29^2*Design!$B$40/1000*(1+(O29-25)*(Constants!$C$29/100))</f>
        <v>0.20740008930668602</v>
      </c>
      <c r="M29" s="207">
        <f>0.5*Snubber!$B$16/1000000000000*$B$2^2*Design!$B$32*1000000</f>
        <v>7.5200000000000006E-3</v>
      </c>
      <c r="N29" s="208">
        <f ca="1">$A29+K29*Design!$B$19</f>
        <v>116.20554384227201</v>
      </c>
      <c r="O29" s="208">
        <f ca="1">J29*Design!$C$12+A29</f>
        <v>119.46317045265036</v>
      </c>
      <c r="P29" s="208">
        <f ca="1">Constants!$D$19+Constants!$D$19*Constants!$C$20/100*(O29-25)</f>
        <v>240.68464363454433</v>
      </c>
      <c r="Q29" s="207">
        <f ca="1">(1-Constants!$C$17/1000000000*Design!$B$32*1000000) * ($B$2+C29-B29*P29/1000) - (C29+B29*Design!$B$40/1000)</f>
        <v>6.8968341456968663</v>
      </c>
      <c r="R29" s="207">
        <f ca="1">IF(Q29&gt;Design!$C$28,Design!$C$28,Q29)</f>
        <v>3.2940895522388054</v>
      </c>
      <c r="S29" s="207">
        <f t="shared" ca="1" si="24"/>
        <v>1.776008431122124</v>
      </c>
      <c r="T29" s="207">
        <f t="shared" ca="1" si="25"/>
        <v>9.0587462686567157</v>
      </c>
      <c r="U29" s="264">
        <f t="shared" ca="1" si="26"/>
        <v>83.608226671173497</v>
      </c>
      <c r="V29" s="223">
        <f t="shared" si="40"/>
        <v>2.75</v>
      </c>
      <c r="W29" s="158">
        <f ca="1">FORECAST(V29, OFFSET(Design!$C$15:$C$17,MATCH(V29,Design!$B$15:$B$17,1)-1,0,2), OFFSET(Design!$B$15:$B$17,MATCH(V29,Design!$B$15:$B$17,1)-1,0,2))+(AH29-25)*Design!$B$18/1000</f>
        <v>0.3783790565901558</v>
      </c>
      <c r="X29" s="224">
        <f ca="1">IF(100*(Design!$C$28+W29+V29*IF(ISBLANK(Design!$B$40),Constants!$C$6,Design!$B$40)/1000*(1+Constants!$C$29/100*(AI29-25)))/($V$2+W29-V29*AJ29/1000)&gt;Design!$C$35,Design!$C$35,100*(Design!$C$28+W29+V29*IF(ISBLANK(Design!$B$40),Constants!$C$6,Design!$B$40)/1000*(1+Constants!$C$29/100*(AI29-25)))/($V$2+W29-V29*AJ29/1000))</f>
        <v>31.933368476128624</v>
      </c>
      <c r="Y29" s="159">
        <f ca="1">($V$2-V29*IF(ISBLANK(Design!$B$40),Constants!$C$6,Design!$B$40)/1000*(1+Constants!$C$29/100*(AI29-25))-Design!$C$28) / (IF(ISBLANK(Design!$B$39),Design!$B$38,Design!$B$39)/1000000) * X29/100/(IF(ISBLANK(Design!$B$32),Design!$B$31,Design!$B$32)*1000000)</f>
        <v>0.81071321279809372</v>
      </c>
      <c r="Z29" s="225">
        <f>$V$2*Constants!$C$18/1000+IF(ISBLANK(Design!$B$32),Design!$B$31,Design!$B$32)*1000000*Constants!$D$22/1000000000*($V$2-Constants!$C$21)</f>
        <v>1.7932E-2</v>
      </c>
      <c r="AA29" s="225">
        <f>$V$2*V29*($V$2/(Constants!$C$23*1000000000)*IF(ISBLANK(Design!$B$32),Design!$B$31,Design!$B$32)*1000000/2+$V$2/(Constants!$C$24*1000000000)*IF(ISBLANK(Design!$B$32),Design!$B$31,Design!$B$32)*1000000/2)</f>
        <v>0.23375000000000001</v>
      </c>
      <c r="AB29" s="225">
        <f t="shared" ca="1" si="27"/>
        <v>0.57131104042967962</v>
      </c>
      <c r="AC29" s="225">
        <f>Constants!$D$22/1000000000*Constants!$C$21*IF(ISBLANK(Design!$B$32),Design!$B$31,Design!$B$32)*1000000</f>
        <v>1.2499999999999999E-2</v>
      </c>
      <c r="AD29" s="225">
        <f t="shared" ca="1" si="28"/>
        <v>0.83549304042967965</v>
      </c>
      <c r="AE29" s="225">
        <f t="shared" ca="1" si="29"/>
        <v>0.70826216508498585</v>
      </c>
      <c r="AF29" s="225">
        <f ca="1">V29^2*Design!$B$40/1000*(1+(AI29-25)*(Constants!$C$29/100))</f>
        <v>0.20380008523440982</v>
      </c>
      <c r="AG29" s="225">
        <f>0.5*Snubber!$B$16/1000000000000*$V$2^2*Design!$B$32*1000000</f>
        <v>1.6920000000000001E-2</v>
      </c>
      <c r="AH29" s="226">
        <f ca="1">$A29+AE29*Design!$B$19</f>
        <v>125.37094340984419</v>
      </c>
      <c r="AI29" s="226">
        <f ca="1">AD29*Design!$C$12+$A29</f>
        <v>113.40676337460911</v>
      </c>
      <c r="AJ29" s="226">
        <f ca="1">Constants!$D$19+Constants!$D$19*Constants!$C$20/100*(AI29-25)</f>
        <v>234.87049283962475</v>
      </c>
      <c r="AK29" s="225">
        <f ca="1">(1-Constants!$C$17/1000000000*Design!$B$32*1000000) * ($V$2+W29-V29*AJ29/1000) - (W29+V29*Design!$B$40/1000)</f>
        <v>10.712481884626973</v>
      </c>
      <c r="AL29" s="225">
        <f ca="1">IF(AK29&gt;Design!$C$28,Design!$C$28,AK29)</f>
        <v>3.2940895522388054</v>
      </c>
      <c r="AM29" s="225">
        <f t="shared" ca="1" si="30"/>
        <v>1.7644752907490753</v>
      </c>
      <c r="AN29" s="225">
        <f t="shared" ca="1" si="31"/>
        <v>9.0587462686567157</v>
      </c>
      <c r="AO29" s="268">
        <f t="shared" ca="1" si="32"/>
        <v>83.697318944601292</v>
      </c>
      <c r="AP29" s="237">
        <f t="shared" si="41"/>
        <v>2.75</v>
      </c>
      <c r="AQ29" s="160">
        <f ca="1">FORECAST(AP29, OFFSET(Design!$C$15:$C$17,MATCH(AP29,Design!$B$15:$B$17,1)-1,0,2), OFFSET(Design!$B$15:$B$17,MATCH(AP29,Design!$B$15:$B$17,1)-1,0,2))+(BB29-25)*Design!$B$18/1000</f>
        <v>0.37407112713735285</v>
      </c>
      <c r="AR29" s="238">
        <f ca="1">IF(100*(Design!$C$28+AQ29+AP29*IF(ISBLANK(Design!$B$40),Constants!$C$6,Design!$B$40)/1000*(1+Constants!$C$29/100*(BC29-25)))/($AP$2+AQ29-AP29*BD29/1000)&gt;Design!$C$35,Design!$C$35,100*(Design!$C$28+AQ29+AP29*IF(ISBLANK(Design!$B$40),Constants!$C$6,Design!$B$40)/1000*(1+Constants!$C$29/100*(BC29-25)))/($AP$2+AQ29-AP29*BD29/1000))</f>
        <v>23.802544205793176</v>
      </c>
      <c r="AS29" s="161">
        <f ca="1">($AP$2-AP29*IF(ISBLANK(Design!$B$40),Constants!$C$6,Design!$B$40)/1000*(1+Constants!$C$29/100*(BC29-25))-Design!$C$28) / (IF(ISBLANK(Design!$B$39),Design!$B$38,Design!$B$39)/1000000) * AR29/100/(IF(ISBLANK(Design!$B$32),Design!$B$31,Design!$B$32)*1000000)</f>
        <v>0.884294876518814</v>
      </c>
      <c r="AT29" s="239">
        <f>$AP$2*Constants!$C$18/1000+IF(ISBLANK(Design!$B$32),Design!$B$31,Design!$B$32)*1000000*Constants!$D$22/1000000000*($AP$2-Constants!$C$21)</f>
        <v>2.8076E-2</v>
      </c>
      <c r="AU29" s="239">
        <f>$AP$2*AP29*($AP$2/(Constants!$C$23*1000000000)*IF(ISBLANK(Design!$B$32),Design!$B$31,Design!$B$32)*1000000/2+$AP$2/(Constants!$C$24*1000000000)*IF(ISBLANK(Design!$B$32),Design!$B$31,Design!$B$32)*1000000/2)</f>
        <v>0.41555555555555557</v>
      </c>
      <c r="AV29" s="239">
        <f t="shared" ca="1" si="33"/>
        <v>0.42939050978450843</v>
      </c>
      <c r="AW29" s="239">
        <f>Constants!$D$22/1000000000*Constants!$C$21*IF(ISBLANK(Design!$B$32),Design!$B$31,Design!$B$32)*1000000</f>
        <v>1.2499999999999999E-2</v>
      </c>
      <c r="AX29" s="239">
        <f t="shared" ca="1" si="34"/>
        <v>0.88552206534006395</v>
      </c>
      <c r="AY29" s="239">
        <f t="shared" ca="1" si="35"/>
        <v>0.78383987478328299</v>
      </c>
      <c r="AZ29" s="239">
        <f ca="1">AP29^2*Design!$B$40/1000*(1+(BC29-25)*(Constants!$C$29/100))</f>
        <v>0.20481117307857433</v>
      </c>
      <c r="BA29" s="239">
        <f>0.5*Snubber!$B$16/1000000000000*$AP$2^2*Design!$B$32*1000000</f>
        <v>3.0080000000000003E-2</v>
      </c>
      <c r="BB29" s="240">
        <f ca="1">$A29+AY29*Design!$B$19</f>
        <v>129.67887286264713</v>
      </c>
      <c r="BC29" s="240">
        <f ca="1">AX29*Design!$C$12+$A29</f>
        <v>115.10775022156217</v>
      </c>
      <c r="BD29" s="240">
        <f ca="1">Constants!$D$19+Constants!$D$19*Constants!$C$20/100*(BC29-25)</f>
        <v>236.50344021269967</v>
      </c>
      <c r="BE29" s="239">
        <f ca="1">(1-Constants!$C$17/1000000000*Design!$B$32*1000000) * ($AP$2+AQ29-AP29*BD29/1000) - (AQ29+AP29*Design!$B$40/1000)</f>
        <v>14.508431206087453</v>
      </c>
      <c r="BF29" s="239">
        <f ca="1">IF(BE29&gt;Design!$C$28,Design!$C$28,BE29)</f>
        <v>3.2940895522388054</v>
      </c>
      <c r="BG29" s="239">
        <f t="shared" ca="1" si="36"/>
        <v>1.9042531132019216</v>
      </c>
      <c r="BH29" s="239">
        <f t="shared" ca="1" si="37"/>
        <v>9.0587462686567157</v>
      </c>
      <c r="BI29" s="271">
        <f t="shared" ca="1" si="38"/>
        <v>82.630181332008064</v>
      </c>
    </row>
    <row r="30" spans="1:61" ht="12.75" customHeight="1" x14ac:dyDescent="0.25">
      <c r="A30" s="154">
        <f>Design!$D$13</f>
        <v>85</v>
      </c>
      <c r="B30" s="274">
        <f>B29+0.25</f>
        <v>3</v>
      </c>
      <c r="C30" s="156">
        <f ca="1">FORECAST(B30, OFFSET(Design!$C$15:$C$17,MATCH(B30,Design!$B$15:$B$17,1)-1,0,2), OFFSET(Design!$B$15:$B$17,MATCH(B30,Design!$B$15:$B$17,1)-1,0,2))+(N30-25)*Design!$B$18/1000</f>
        <v>0.39108753982092792</v>
      </c>
      <c r="D30" s="215">
        <f ca="1">IF(100*(Design!$C$28+C30+B30*IF(ISBLANK(Design!$B$40),Constants!$C$6,Design!$B$40)/1000*(1+Constants!$C$29/100*(O30-25)))/($B$2+C30-B30*P30/1000)&gt;Design!$C$35,Design!$C$35,100*(Design!$C$28+C30+B30*IF(ISBLANK(Design!$B$40),Constants!$C$6,Design!$B$40)/1000*(1+Constants!$C$29/100*(O30-25)))/($B$2+C30-B30*P30/1000))</f>
        <v>49.29051417230648</v>
      </c>
      <c r="E30" s="157">
        <f ca="1">IF(($B$2-B30*IF(ISBLANK(Design!$B$40),Constants!$C$6,Design!$B$40)/1000*(1+Constants!$C$29/100*(O30-25))-Design!$C$28) / (IF(ISBLANK(Design!$B$39),Design!$B$38,Design!$B$39)/1000000) * D30/100/(IF(ISBLANK(Design!$B$32),Design!$B$31,Design!$B$32)*1000000)&lt;0,0,($B$2-B30*IF(ISBLANK(Design!$B$40),Constants!$C$6,Design!$B$40)/1000*(1+Constants!$C$29/100*(O30-25))-Design!$C$28) / (IF(ISBLANK(Design!$B$39),Design!$B$38,Design!$B$39)/1000000) * D30/100/(IF(ISBLANK(Design!$B$32),Design!$B$31,Design!$B$32)*1000000))</f>
        <v>0.67003690189016762</v>
      </c>
      <c r="F30" s="207">
        <f>$B$2*Constants!$C$18/1000+IF(ISBLANK(Design!$B$32),Design!$B$31,Design!$B$32)*1000000*Constants!$D$22/1000000000*($B$2-Constants!$C$21)</f>
        <v>7.7879999999999998E-3</v>
      </c>
      <c r="G30" s="207">
        <f>$B$2*B30*($B$2/(Constants!$C$23*1000000000)*IF(ISBLANK(Design!$B$32),Design!$B$31,Design!$B$32)*1000000/2+$B$2/(Constants!$C$24*1000000000)*IF(ISBLANK(Design!$B$32),Design!$B$31,Design!$B$32)*1000000/2)</f>
        <v>0.11333333333333334</v>
      </c>
      <c r="H30" s="207">
        <f t="shared" ca="1" si="21"/>
        <v>1.1048420260636858</v>
      </c>
      <c r="I30" s="207">
        <f>Constants!$D$22/1000000000*Constants!$C$21*IF(ISBLANK(Design!$B$32),Design!$B$31,Design!$B$32)*1000000</f>
        <v>1.2499999999999999E-2</v>
      </c>
      <c r="J30" s="207">
        <f t="shared" ca="1" si="22"/>
        <v>1.2384633593970191</v>
      </c>
      <c r="K30" s="207">
        <f t="shared" ca="1" si="23"/>
        <v>0.59495544173810611</v>
      </c>
      <c r="L30" s="207">
        <f ca="1">B30^2*Design!$B$40/1000*(1+(O30-25)*(Constants!$C$29/100))</f>
        <v>0.25223102533487335</v>
      </c>
      <c r="M30" s="207">
        <f>0.5*Snubber!$B$16/1000000000000*$B$2^2*Design!$B$32*1000000</f>
        <v>7.5200000000000006E-3</v>
      </c>
      <c r="N30" s="208">
        <f ca="1">$A30+K30*Design!$B$19</f>
        <v>118.91246017907204</v>
      </c>
      <c r="O30" s="208">
        <f ca="1">J30*Design!$C$12+A30</f>
        <v>127.10775421949864</v>
      </c>
      <c r="P30" s="208">
        <f ca="1">Constants!$D$19+Constants!$D$19*Constants!$C$20/100*(O30-25)</f>
        <v>248.02344405071869</v>
      </c>
      <c r="Q30" s="207">
        <f ca="1">(1-Constants!$C$17/1000000000*Design!$B$32*1000000) * ($B$2+C30-B30*P30/1000) - (C30+B30*Design!$B$40/1000)</f>
        <v>6.8135788074644053</v>
      </c>
      <c r="R30" s="207">
        <f ca="1">IF(Q30&gt;Design!$C$28,Design!$C$28,Q30)</f>
        <v>3.2940895522388054</v>
      </c>
      <c r="S30" s="207">
        <f t="shared" ca="1" si="24"/>
        <v>2.0931698264699987</v>
      </c>
      <c r="T30" s="207">
        <f t="shared" ca="1" si="25"/>
        <v>9.8822686567164162</v>
      </c>
      <c r="U30" s="264">
        <f t="shared" ca="1" si="26"/>
        <v>82.521142508403159</v>
      </c>
      <c r="V30" s="223">
        <f t="shared" si="40"/>
        <v>3</v>
      </c>
      <c r="W30" s="158">
        <f ca="1">FORECAST(V30, OFFSET(Design!$C$15:$C$17,MATCH(V30,Design!$B$15:$B$17,1)-1,0,2), OFFSET(Design!$B$15:$B$17,MATCH(V30,Design!$B$15:$B$17,1)-1,0,2))+(AH30-25)*Design!$B$18/1000</f>
        <v>0.38085528118390899</v>
      </c>
      <c r="X30" s="224">
        <f ca="1">IF(100*(Design!$C$28+W30+V30*IF(ISBLANK(Design!$B$40),Constants!$C$6,Design!$B$40)/1000*(1+Constants!$C$29/100*(AI30-25)))/($V$2+W30-V30*AJ30/1000)&gt;Design!$C$35,Design!$C$35,100*(Design!$C$28+W30+V30*IF(ISBLANK(Design!$B$40),Constants!$C$6,Design!$B$40)/1000*(1+Constants!$C$29/100*(AI30-25)))/($V$2+W30-V30*AJ30/1000))</f>
        <v>32.216707200697122</v>
      </c>
      <c r="Y30" s="159">
        <f ca="1">($V$2-V30*IF(ISBLANK(Design!$B$40),Constants!$C$6,Design!$B$40)/1000*(1+Constants!$C$29/100*(AI30-25))-Design!$C$28) / (IF(ISBLANK(Design!$B$39),Design!$B$38,Design!$B$39)/1000000) * X30/100/(IF(ISBLANK(Design!$B$32),Design!$B$31,Design!$B$32)*1000000)</f>
        <v>0.81715465337144655</v>
      </c>
      <c r="Z30" s="225">
        <f>$V$2*Constants!$C$18/1000+IF(ISBLANK(Design!$B$32),Design!$B$31,Design!$B$32)*1000000*Constants!$D$22/1000000000*($V$2-Constants!$C$21)</f>
        <v>1.7932E-2</v>
      </c>
      <c r="AA30" s="225">
        <f>$V$2*V30*($V$2/(Constants!$C$23*1000000000)*IF(ISBLANK(Design!$B$32),Design!$B$31,Design!$B$32)*1000000/2+$V$2/(Constants!$C$24*1000000000)*IF(ISBLANK(Design!$B$32),Design!$B$31,Design!$B$32)*1000000/2)</f>
        <v>0.255</v>
      </c>
      <c r="AB30" s="225">
        <f t="shared" ca="1" si="27"/>
        <v>0.69944329804550742</v>
      </c>
      <c r="AC30" s="225">
        <f>Constants!$D$22/1000000000*Constants!$C$21*IF(ISBLANK(Design!$B$32),Design!$B$31,Design!$B$32)*1000000</f>
        <v>1.2499999999999999E-2</v>
      </c>
      <c r="AD30" s="225">
        <f t="shared" ca="1" si="28"/>
        <v>0.98487529804550733</v>
      </c>
      <c r="AE30" s="225">
        <f t="shared" ca="1" si="29"/>
        <v>0.77446875115949199</v>
      </c>
      <c r="AF30" s="225">
        <f ca="1">V30^2*Design!$B$40/1000*(1+(AI30-25)*(Constants!$C$29/100))</f>
        <v>0.24613182671847134</v>
      </c>
      <c r="AG30" s="225">
        <f>0.5*Snubber!$B$16/1000000000000*$V$2^2*Design!$B$32*1000000</f>
        <v>1.6920000000000001E-2</v>
      </c>
      <c r="AH30" s="226">
        <f ca="1">$A30+AE30*Design!$B$19</f>
        <v>129.14471881609103</v>
      </c>
      <c r="AI30" s="226">
        <f ca="1">AD30*Design!$C$12+$A30</f>
        <v>118.48576013354725</v>
      </c>
      <c r="AJ30" s="226">
        <f ca="1">Constants!$D$19+Constants!$D$19*Constants!$C$20/100*(AI30-25)</f>
        <v>239.74632972820535</v>
      </c>
      <c r="AK30" s="225">
        <f ca="1">(1-Constants!$C$17/1000000000*Design!$B$32*1000000) * ($V$2+W30-V30*AJ30/1000) - (W30+V30*Design!$B$40/1000)</f>
        <v>10.637680196215419</v>
      </c>
      <c r="AL30" s="225">
        <f ca="1">IF(AK30&gt;Design!$C$28,Design!$C$28,AK30)</f>
        <v>3.2940895522388054</v>
      </c>
      <c r="AM30" s="225">
        <f t="shared" ca="1" si="30"/>
        <v>2.0223958759234701</v>
      </c>
      <c r="AN30" s="225">
        <f t="shared" ca="1" si="31"/>
        <v>9.8822686567164162</v>
      </c>
      <c r="AO30" s="268">
        <f t="shared" ca="1" si="32"/>
        <v>83.011735690841846</v>
      </c>
      <c r="AP30" s="237">
        <f t="shared" si="41"/>
        <v>3</v>
      </c>
      <c r="AQ30" s="160">
        <f ca="1">FORECAST(AP30, OFFSET(Design!$C$15:$C$17,MATCH(AP30,Design!$B$15:$B$17,1)-1,0,2), OFFSET(Design!$B$15:$B$17,MATCH(AP30,Design!$B$15:$B$17,1)-1,0,2))+(BB30-25)*Design!$B$18/1000</f>
        <v>0.37610354597892798</v>
      </c>
      <c r="AR30" s="238">
        <f ca="1">IF(100*(Design!$C$28+AQ30+AP30*IF(ISBLANK(Design!$B$40),Constants!$C$6,Design!$B$40)/1000*(1+Constants!$C$29/100*(BC30-25)))/($AP$2+AQ30-AP30*BD30/1000)&gt;Design!$C$35,Design!$C$35,100*(Design!$C$28+AQ30+AP30*IF(ISBLANK(Design!$B$40),Constants!$C$6,Design!$B$40)/1000*(1+Constants!$C$29/100*(BC30-25)))/($AP$2+AQ30-AP30*BD30/1000))</f>
        <v>23.971954367629078</v>
      </c>
      <c r="AS30" s="161">
        <f ca="1">($AP$2-AP30*IF(ISBLANK(Design!$B$40),Constants!$C$6,Design!$B$40)/1000*(1+Constants!$C$29/100*(BC30-25))-Design!$C$28) / (IF(ISBLANK(Design!$B$39),Design!$B$38,Design!$B$39)/1000000) * AR30/100/(IF(ISBLANK(Design!$B$32),Design!$B$31,Design!$B$32)*1000000)</f>
        <v>0.89003685429038359</v>
      </c>
      <c r="AT30" s="239">
        <f>$AP$2*Constants!$C$18/1000+IF(ISBLANK(Design!$B$32),Design!$B$31,Design!$B$32)*1000000*Constants!$D$22/1000000000*($AP$2-Constants!$C$21)</f>
        <v>2.8076E-2</v>
      </c>
      <c r="AU30" s="239">
        <f>$AP$2*AP30*($AP$2/(Constants!$C$23*1000000000)*IF(ISBLANK(Design!$B$32),Design!$B$31,Design!$B$32)*1000000/2+$AP$2/(Constants!$C$24*1000000000)*IF(ISBLANK(Design!$B$32),Design!$B$31,Design!$B$32)*1000000/2)</f>
        <v>0.45333333333333337</v>
      </c>
      <c r="AV30" s="239">
        <f t="shared" ca="1" si="33"/>
        <v>0.52333716485386161</v>
      </c>
      <c r="AW30" s="239">
        <f>Constants!$D$22/1000000000*Constants!$C$21*IF(ISBLANK(Design!$B$32),Design!$B$31,Design!$B$32)*1000000</f>
        <v>1.2499999999999999E-2</v>
      </c>
      <c r="AX30" s="239">
        <f t="shared" ca="1" si="34"/>
        <v>1.0172464981871949</v>
      </c>
      <c r="AY30" s="239">
        <f t="shared" ca="1" si="35"/>
        <v>0.85783252668547361</v>
      </c>
      <c r="AZ30" s="239">
        <f ca="1">AP30^2*Design!$B$40/1000*(1+(BC30-25)*(Constants!$C$29/100))</f>
        <v>0.24691040587579913</v>
      </c>
      <c r="BA30" s="239">
        <f>0.5*Snubber!$B$16/1000000000000*$AP$2^2*Design!$B$32*1000000</f>
        <v>3.0080000000000003E-2</v>
      </c>
      <c r="BB30" s="240">
        <f ca="1">$A30+AY30*Design!$B$19</f>
        <v>133.896454021072</v>
      </c>
      <c r="BC30" s="240">
        <f ca="1">AX30*Design!$C$12+$A30</f>
        <v>119.58638093836463</v>
      </c>
      <c r="BD30" s="240">
        <f ca="1">Constants!$D$19+Constants!$D$19*Constants!$C$20/100*(BC30-25)</f>
        <v>240.80292570083003</v>
      </c>
      <c r="BE30" s="239">
        <f ca="1">(1-Constants!$C$17/1000000000*Design!$B$32*1000000) * ($AP$2+AQ30-AP30*BD30/1000) - (AQ30+AP30*Design!$B$40/1000)</f>
        <v>14.434906484453688</v>
      </c>
      <c r="BF30" s="239">
        <f ca="1">IF(BE30&gt;Design!$C$28,Design!$C$28,BE30)</f>
        <v>3.2940895522388054</v>
      </c>
      <c r="BG30" s="239">
        <f t="shared" ca="1" si="36"/>
        <v>2.1520694307484676</v>
      </c>
      <c r="BH30" s="239">
        <f t="shared" ca="1" si="37"/>
        <v>9.8822686567164162</v>
      </c>
      <c r="BI30" s="271">
        <f t="shared" ca="1" si="38"/>
        <v>82.11725966889621</v>
      </c>
    </row>
    <row r="31" spans="1:61" ht="12.75" customHeight="1" x14ac:dyDescent="0.25">
      <c r="A31" s="154">
        <f>Design!$D$13</f>
        <v>85</v>
      </c>
      <c r="B31" s="274">
        <f t="shared" si="39"/>
        <v>3.25</v>
      </c>
      <c r="C31" s="156">
        <f ca="1">FORECAST(B31, OFFSET(Design!$C$15:$C$17,MATCH(B31,Design!$B$15:$B$17,1)-1,0,2), OFFSET(Design!$B$15:$B$17,MATCH(B31,Design!$B$15:$B$17,1)-1,0,2))+(N31-25)*Design!$B$18/1000</f>
        <v>0.39470922952752047</v>
      </c>
      <c r="D31" s="215">
        <f ca="1">IF(100*(Design!$C$28+C31+B31*IF(ISBLANK(Design!$B$40),Constants!$C$6,Design!$B$40)/1000*(1+Constants!$C$29/100*(O31-25)))/($B$2+C31-B31*P31/1000)&gt;Design!$C$35,Design!$C$35,100*(Design!$C$28+C31+B31*IF(ISBLANK(Design!$B$40),Constants!$C$6,Design!$B$40)/1000*(1+Constants!$C$29/100*(O31-25)))/($B$2+C31-B31*P31/1000))</f>
        <v>50.026219834135894</v>
      </c>
      <c r="E31" s="157">
        <f ca="1">IF(($B$2-B31*IF(ISBLANK(Design!$B$40),Constants!$C$6,Design!$B$40)/1000*(1+Constants!$C$29/100*(O31-25))-Design!$C$28) / (IF(ISBLANK(Design!$B$39),Design!$B$38,Design!$B$39)/1000000) * D31/100/(IF(ISBLANK(Design!$B$32),Design!$B$31,Design!$B$32)*1000000)&lt;0,0,($B$2-B31*IF(ISBLANK(Design!$B$40),Constants!$C$6,Design!$B$40)/1000*(1+Constants!$C$29/100*(O31-25))-Design!$C$28) / (IF(ISBLANK(Design!$B$39),Design!$B$38,Design!$B$39)/1000000) * D31/100/(IF(ISBLANK(Design!$B$32),Design!$B$31,Design!$B$32)*1000000))</f>
        <v>0.67866703573072273</v>
      </c>
      <c r="F31" s="207">
        <f>$B$2*Constants!$C$18/1000+IF(ISBLANK(Design!$B$32),Design!$B$31,Design!$B$32)*1000000*Constants!$D$22/1000000000*($B$2-Constants!$C$21)</f>
        <v>7.7879999999999998E-3</v>
      </c>
      <c r="G31" s="207">
        <f>$B$2*B31*($B$2/(Constants!$C$23*1000000000)*IF(ISBLANK(Design!$B$32),Design!$B$31,Design!$B$32)*1000000/2+$B$2/(Constants!$C$24*1000000000)*IF(ISBLANK(Design!$B$32),Design!$B$31,Design!$B$32)*1000000/2)</f>
        <v>0.12277777777777778</v>
      </c>
      <c r="H31" s="207">
        <f t="shared" ca="1" si="21"/>
        <v>1.361360486663163</v>
      </c>
      <c r="I31" s="207">
        <f>Constants!$D$22/1000000000*Constants!$C$21*IF(ISBLANK(Design!$B$32),Design!$B$31,Design!$B$32)*1000000</f>
        <v>1.2499999999999999E-2</v>
      </c>
      <c r="J31" s="207">
        <f t="shared" ca="1" si="22"/>
        <v>1.5044262644409407</v>
      </c>
      <c r="K31" s="207">
        <f t="shared" ca="1" si="23"/>
        <v>0.64106614863999178</v>
      </c>
      <c r="L31" s="207">
        <f ca="1">B31^2*Design!$B$40/1000*(1+(O31-25)*(Constants!$C$29/100))</f>
        <v>0.30352852866228391</v>
      </c>
      <c r="M31" s="207">
        <f>0.5*Snubber!$B$16/1000000000000*$B$2^2*Design!$B$32*1000000</f>
        <v>7.5200000000000006E-3</v>
      </c>
      <c r="N31" s="208">
        <f ca="1">$A31+K31*Design!$B$19</f>
        <v>121.54077047247952</v>
      </c>
      <c r="O31" s="208">
        <f ca="1">J31*Design!$C$12+A31</f>
        <v>136.15049299099198</v>
      </c>
      <c r="P31" s="208">
        <f ca="1">Constants!$D$19+Constants!$D$19*Constants!$C$20/100*(O31-25)</f>
        <v>256.7044732713523</v>
      </c>
      <c r="Q31" s="207">
        <f ca="1">(1-Constants!$C$17/1000000000*Design!$B$32*1000000) * ($B$2+C31-B31*P31/1000) - (C31+B31*Design!$B$40/1000)</f>
        <v>6.7226894772983243</v>
      </c>
      <c r="R31" s="207">
        <f ca="1">IF(Q31&gt;Design!$C$28,Design!$C$28,Q31)</f>
        <v>3.2940895522388054</v>
      </c>
      <c r="S31" s="207">
        <f t="shared" ca="1" si="24"/>
        <v>2.4565409417432162</v>
      </c>
      <c r="T31" s="207">
        <f t="shared" ca="1" si="25"/>
        <v>10.705791044776117</v>
      </c>
      <c r="U31" s="264">
        <f t="shared" ca="1" si="26"/>
        <v>81.336582725164746</v>
      </c>
      <c r="V31" s="223">
        <f t="shared" si="40"/>
        <v>3.25</v>
      </c>
      <c r="W31" s="158">
        <f ca="1">FORECAST(V31, OFFSET(Design!$C$15:$C$17,MATCH(V31,Design!$B$15:$B$17,1)-1,0,2), OFFSET(Design!$B$15:$B$17,MATCH(V31,Design!$B$15:$B$17,1)-1,0,2))+(AH31-25)*Design!$B$18/1000</f>
        <v>0.38333059277154313</v>
      </c>
      <c r="X31" s="224">
        <f ca="1">IF(100*(Design!$C$28+W31+V31*IF(ISBLANK(Design!$B$40),Constants!$C$6,Design!$B$40)/1000*(1+Constants!$C$29/100*(AI31-25)))/($V$2+W31-V31*AJ31/1000)&gt;Design!$C$35,Design!$C$35,100*(Design!$C$28+W31+V31*IF(ISBLANK(Design!$B$40),Constants!$C$6,Design!$B$40)/1000*(1+Constants!$C$29/100*(AI31-25)))/($V$2+W31-V31*AJ31/1000))</f>
        <v>32.519275028025938</v>
      </c>
      <c r="Y31" s="159">
        <f ca="1">($V$2-V31*IF(ISBLANK(Design!$B$40),Constants!$C$6,Design!$B$40)/1000*(1+Constants!$C$29/100*(AI31-25))-Design!$C$28) / (IF(ISBLANK(Design!$B$39),Design!$B$38,Design!$B$39)/1000000) * X31/100/(IF(ISBLANK(Design!$B$32),Design!$B$31,Design!$B$32)*1000000)</f>
        <v>0.82403499079840392</v>
      </c>
      <c r="Z31" s="225">
        <f>$V$2*Constants!$C$18/1000+IF(ISBLANK(Design!$B$32),Design!$B$31,Design!$B$32)*1000000*Constants!$D$22/1000000000*($V$2-Constants!$C$21)</f>
        <v>1.7932E-2</v>
      </c>
      <c r="AA31" s="225">
        <f>$V$2*V31*($V$2/(Constants!$C$23*1000000000)*IF(ISBLANK(Design!$B$32),Design!$B$31,Design!$B$32)*1000000/2+$V$2/(Constants!$C$24*1000000000)*IF(ISBLANK(Design!$B$32),Design!$B$31,Design!$B$32)*1000000/2)</f>
        <v>0.27625</v>
      </c>
      <c r="AB31" s="225">
        <f t="shared" ca="1" si="27"/>
        <v>0.8469220801360906</v>
      </c>
      <c r="AC31" s="225">
        <f>Constants!$D$22/1000000000*Constants!$C$21*IF(ISBLANK(Design!$B$32),Design!$B$31,Design!$B$32)*1000000</f>
        <v>1.2499999999999999E-2</v>
      </c>
      <c r="AD31" s="225">
        <f t="shared" ca="1" si="28"/>
        <v>1.1536040801360905</v>
      </c>
      <c r="AE31" s="225">
        <f t="shared" ca="1" si="29"/>
        <v>0.84069135488520941</v>
      </c>
      <c r="AF31" s="225">
        <f ca="1">V31^2*Design!$B$40/1000*(1+(AI31-25)*(Constants!$C$29/100))</f>
        <v>0.29362579193091948</v>
      </c>
      <c r="AG31" s="225">
        <f>0.5*Snubber!$B$16/1000000000000*$V$2^2*Design!$B$32*1000000</f>
        <v>1.6920000000000001E-2</v>
      </c>
      <c r="AH31" s="226">
        <f ca="1">$A31+AE31*Design!$B$19</f>
        <v>132.91940722845692</v>
      </c>
      <c r="AI31" s="226">
        <f ca="1">AD31*Design!$C$12+$A31</f>
        <v>124.22253872462707</v>
      </c>
      <c r="AJ31" s="226">
        <f ca="1">Constants!$D$19+Constants!$D$19*Constants!$C$20/100*(AI31-25)</f>
        <v>245.25363717564198</v>
      </c>
      <c r="AK31" s="225">
        <f ca="1">(1-Constants!$C$17/1000000000*Design!$B$32*1000000) * ($V$2+W31-V31*AJ31/1000) - (W31+V31*Design!$B$40/1000)</f>
        <v>10.558612865581628</v>
      </c>
      <c r="AL31" s="225">
        <f ca="1">IF(AK31&gt;Design!$C$28,Design!$C$28,AK31)</f>
        <v>3.2940895522388054</v>
      </c>
      <c r="AM31" s="225">
        <f t="shared" ca="1" si="30"/>
        <v>2.3048412269522194</v>
      </c>
      <c r="AN31" s="225">
        <f t="shared" ca="1" si="31"/>
        <v>10.705791044776117</v>
      </c>
      <c r="AO31" s="268">
        <f t="shared" ca="1" si="32"/>
        <v>82.284940663794174</v>
      </c>
      <c r="AP31" s="237">
        <f t="shared" si="41"/>
        <v>3.25</v>
      </c>
      <c r="AQ31" s="160">
        <f ca="1">FORECAST(AP31, OFFSET(Design!$C$15:$C$17,MATCH(AP31,Design!$B$15:$B$17,1)-1,0,2), OFFSET(Design!$B$15:$B$17,MATCH(AP31,Design!$B$15:$B$17,1)-1,0,2))+(BB31-25)*Design!$B$18/1000</f>
        <v>0.3781196878273152</v>
      </c>
      <c r="AR31" s="238">
        <f ca="1">IF(100*(Design!$C$28+AQ31+AP31*IF(ISBLANK(Design!$B$40),Constants!$C$6,Design!$B$40)/1000*(1+Constants!$C$29/100*(BC31-25)))/($AP$2+AQ31-AP31*BD31/1000)&gt;Design!$C$35,Design!$C$35,100*(Design!$C$28+AQ31+AP31*IF(ISBLANK(Design!$B$40),Constants!$C$6,Design!$B$40)/1000*(1+Constants!$C$29/100*(BC31-25)))/($AP$2+AQ31-AP31*BD31/1000))</f>
        <v>24.150126584554428</v>
      </c>
      <c r="AS31" s="161">
        <f ca="1">($AP$2-AP31*IF(ISBLANK(Design!$B$40),Constants!$C$6,Design!$B$40)/1000*(1+Constants!$C$29/100*(BC31-25))-Design!$C$28) / (IF(ISBLANK(Design!$B$39),Design!$B$38,Design!$B$39)/1000000) * AR31/100/(IF(ISBLANK(Design!$B$32),Design!$B$31,Design!$B$32)*1000000)</f>
        <v>0.89607563730251039</v>
      </c>
      <c r="AT31" s="239">
        <f>$AP$2*Constants!$C$18/1000+IF(ISBLANK(Design!$B$32),Design!$B$31,Design!$B$32)*1000000*Constants!$D$22/1000000000*($AP$2-Constants!$C$21)</f>
        <v>2.8076E-2</v>
      </c>
      <c r="AU31" s="239">
        <f>$AP$2*AP31*($AP$2/(Constants!$C$23*1000000000)*IF(ISBLANK(Design!$B$32),Design!$B$31,Design!$B$32)*1000000/2+$AP$2/(Constants!$C$24*1000000000)*IF(ISBLANK(Design!$B$32),Design!$B$31,Design!$B$32)*1000000/2)</f>
        <v>0.49111111111111111</v>
      </c>
      <c r="AV31" s="239">
        <f t="shared" ca="1" si="33"/>
        <v>0.63027004149761134</v>
      </c>
      <c r="AW31" s="239">
        <f>Constants!$D$22/1000000000*Constants!$C$21*IF(ISBLANK(Design!$B$32),Design!$B$31,Design!$B$32)*1000000</f>
        <v>1.2499999999999999E-2</v>
      </c>
      <c r="AX31" s="239">
        <f t="shared" ca="1" si="34"/>
        <v>1.1619571526087225</v>
      </c>
      <c r="AY31" s="239">
        <f t="shared" ca="1" si="35"/>
        <v>0.93211073987166371</v>
      </c>
      <c r="AZ31" s="239">
        <f ca="1">AP31^2*Design!$B$40/1000*(1+(BC31-25)*(Constants!$C$29/100))</f>
        <v>0.29386157598704571</v>
      </c>
      <c r="BA31" s="239">
        <f>0.5*Snubber!$B$16/1000000000000*$AP$2^2*Design!$B$32*1000000</f>
        <v>3.0080000000000003E-2</v>
      </c>
      <c r="BB31" s="240">
        <f ca="1">$A31+AY31*Design!$B$19</f>
        <v>138.13031217268482</v>
      </c>
      <c r="BC31" s="240">
        <f ca="1">AX31*Design!$C$12+$A31</f>
        <v>124.50654318869655</v>
      </c>
      <c r="BD31" s="240">
        <f ca="1">Constants!$D$19+Constants!$D$19*Constants!$C$20/100*(BC31-25)</f>
        <v>245.5262814611487</v>
      </c>
      <c r="BE31" s="239">
        <f ca="1">(1-Constants!$C$17/1000000000*Design!$B$32*1000000) * ($AP$2+AQ31-AP31*BD31/1000) - (AQ31+AP31*Design!$B$40/1000)</f>
        <v>14.358031621597338</v>
      </c>
      <c r="BF31" s="239">
        <f ca="1">IF(BE31&gt;Design!$C$28,Design!$C$28,BE31)</f>
        <v>3.2940895522388054</v>
      </c>
      <c r="BG31" s="239">
        <f t="shared" ca="1" si="36"/>
        <v>2.418009468467432</v>
      </c>
      <c r="BH31" s="239">
        <f t="shared" ca="1" si="37"/>
        <v>10.705791044776117</v>
      </c>
      <c r="BI31" s="271">
        <f t="shared" ca="1" si="38"/>
        <v>81.575386900864899</v>
      </c>
    </row>
    <row r="32" spans="1:61" ht="12.75" customHeight="1" thickBot="1" x14ac:dyDescent="0.3">
      <c r="A32" s="163">
        <f>Design!$D$13</f>
        <v>85</v>
      </c>
      <c r="B32" s="275">
        <f>B31+0.25</f>
        <v>3.5</v>
      </c>
      <c r="C32" s="165">
        <f ca="1">FORECAST(B32, OFFSET(Design!$C$15:$C$17,MATCH(B32,Design!$B$15:$B$17,1)-1,0,2), OFFSET(Design!$B$15:$B$17,MATCH(B32,Design!$B$15:$B$17,1)-1,0,2))+(N32-25)*Design!$B$18/1000</f>
        <v>0.3984395502313236</v>
      </c>
      <c r="D32" s="216">
        <f ca="1">IF(100*(Design!$C$28+C32+B32*IF(ISBLANK(Design!$B$40),Constants!$C$6,Design!$B$40)/1000*(1+Constants!$C$29/100*(O32-25)))/($B$2+C32-B32*P32/1000)&gt;Design!$C$35,Design!$C$35,100*(Design!$C$28+C32+B32*IF(ISBLANK(Design!$B$40),Constants!$C$6,Design!$B$40)/1000*(1+Constants!$C$29/100*(O32-25)))/($B$2+C32-B32*P32/1000))</f>
        <v>50.860368141134622</v>
      </c>
      <c r="E32" s="166">
        <f ca="1">IF(($B$2-B32*IF(ISBLANK(Design!$B$40),Constants!$C$6,Design!$B$40)/1000*(1+Constants!$C$29/100*(O32-25))-Design!$C$28) / (IF(ISBLANK(Design!$B$39),Design!$B$38,Design!$B$39)/1000000) * D32/100/(IF(ISBLANK(Design!$B$32),Design!$B$31,Design!$B$32)*1000000)&lt;0,0,($B$2-B32*IF(ISBLANK(Design!$B$40),Constants!$C$6,Design!$B$40)/1000*(1+Constants!$C$29/100*(O32-25))-Design!$C$28) / (IF(ISBLANK(Design!$B$39),Design!$B$38,Design!$B$39)/1000000) * D32/100/(IF(ISBLANK(Design!$B$32),Design!$B$31,Design!$B$32)*1000000))</f>
        <v>0.68846457890422008</v>
      </c>
      <c r="F32" s="209">
        <f>$B$2*Constants!$C$18/1000+IF(ISBLANK(Design!$B$32),Design!$B$31,Design!$B$32)*1000000*Constants!$D$22/1000000000*($B$2-Constants!$C$21)</f>
        <v>7.7879999999999998E-3</v>
      </c>
      <c r="G32" s="209">
        <f>$B$2*B32*($B$2/(Constants!$C$23*1000000000)*IF(ISBLANK(Design!$B$32),Design!$B$31,Design!$B$32)*1000000/2+$B$2/(Constants!$C$24*1000000000)*IF(ISBLANK(Design!$B$32),Design!$B$31,Design!$B$32)*1000000/2)</f>
        <v>0.13222222222222221</v>
      </c>
      <c r="H32" s="209">
        <f t="shared" ca="1" si="21"/>
        <v>1.6692731263300928</v>
      </c>
      <c r="I32" s="209">
        <f>Constants!$D$22/1000000000*Constants!$C$21*IF(ISBLANK(Design!$B$32),Design!$B$31,Design!$B$32)*1000000</f>
        <v>1.2499999999999999E-2</v>
      </c>
      <c r="J32" s="209">
        <f t="shared" ca="1" si="22"/>
        <v>1.8217833485523149</v>
      </c>
      <c r="K32" s="209">
        <f t="shared" ca="1" si="23"/>
        <v>0.68527104857326993</v>
      </c>
      <c r="L32" s="209">
        <f ca="1">B32^2*Design!$B$40/1000*(1+(O32-25)*(Constants!$C$29/100))</f>
        <v>0.36241053930322226</v>
      </c>
      <c r="M32" s="209">
        <f>0.5*Snubber!$B$16/1000000000000*$B$2^2*Design!$B$32*1000000</f>
        <v>7.5200000000000006E-3</v>
      </c>
      <c r="N32" s="210">
        <f ca="1">$A32+K32*Design!$B$19</f>
        <v>124.06044976867639</v>
      </c>
      <c r="O32" s="210">
        <f ca="1">J32*Design!$C$12+A32</f>
        <v>146.94063385077871</v>
      </c>
      <c r="P32" s="210">
        <f ca="1">Constants!$D$19+Constants!$D$19*Constants!$C$20/100*(O32-25)</f>
        <v>267.06300849674756</v>
      </c>
      <c r="Q32" s="209">
        <f ca="1">(1-Constants!$C$17/1000000000*Design!$B$32*1000000) * ($B$2+C32-B32*P32/1000) - (C32+B32*Design!$B$40/1000)</f>
        <v>6.6220935192367483</v>
      </c>
      <c r="R32" s="209">
        <f ca="1">IF(Q32&gt;Design!$C$28,Design!$C$28,Q32)</f>
        <v>3.2940895522388054</v>
      </c>
      <c r="S32" s="209">
        <f t="shared" ca="1" si="24"/>
        <v>2.8769849364288071</v>
      </c>
      <c r="T32" s="209">
        <f t="shared" ca="1" si="25"/>
        <v>11.529313432835819</v>
      </c>
      <c r="U32" s="265">
        <f t="shared" ca="1" si="26"/>
        <v>80.029672698111241</v>
      </c>
      <c r="V32" s="227">
        <f t="shared" si="40"/>
        <v>3.5</v>
      </c>
      <c r="W32" s="167">
        <f ca="1">FORECAST(V32, OFFSET(Design!$C$15:$C$17,MATCH(V32,Design!$B$15:$B$17,1)-1,0,2), OFFSET(Design!$B$15:$B$17,MATCH(V32,Design!$B$15:$B$17,1)-1,0,2))+(AH32-25)*Design!$B$18/1000</f>
        <v>0.38581102940927497</v>
      </c>
      <c r="X32" s="228">
        <f ca="1">IF(100*(Design!$C$28+W32+V32*IF(ISBLANK(Design!$B$40),Constants!$C$6,Design!$B$40)/1000*(1+Constants!$C$29/100*(AI32-25)))/($V$2+W32-V32*AJ32/1000)&gt;Design!$C$35,Design!$C$35,100*(Design!$C$28+W32+V32*IF(ISBLANK(Design!$B$40),Constants!$C$6,Design!$B$40)/1000*(1+Constants!$C$29/100*(AI32-25)))/($V$2+W32-V32*AJ32/1000))</f>
        <v>32.844692177057539</v>
      </c>
      <c r="Y32" s="168">
        <f ca="1">($V$2-V32*IF(ISBLANK(Design!$B$40),Constants!$C$6,Design!$B$40)/1000*(1+Constants!$C$29/100*(AI32-25))-Design!$C$28) / (IF(ISBLANK(Design!$B$39),Design!$B$38,Design!$B$39)/1000000) * X32/100/(IF(ISBLANK(Design!$B$32),Design!$B$31,Design!$B$32)*1000000)</f>
        <v>0.83143715104157623</v>
      </c>
      <c r="Z32" s="229">
        <f>$V$2*Constants!$C$18/1000+IF(ISBLANK(Design!$B$32),Design!$B$31,Design!$B$32)*1000000*Constants!$D$22/1000000000*($V$2-Constants!$C$21)</f>
        <v>1.7932E-2</v>
      </c>
      <c r="AA32" s="229">
        <f>$V$2*V32*($V$2/(Constants!$C$23*1000000000)*IF(ISBLANK(Design!$B$32),Design!$B$31,Design!$B$32)*1000000/2+$V$2/(Constants!$C$24*1000000000)*IF(ISBLANK(Design!$B$32),Design!$B$31,Design!$B$32)*1000000/2)</f>
        <v>0.29750000000000004</v>
      </c>
      <c r="AB32" s="229">
        <f t="shared" ca="1" si="27"/>
        <v>1.0166046215513946</v>
      </c>
      <c r="AC32" s="229">
        <f>Constants!$D$22/1000000000*Constants!$C$21*IF(ISBLANK(Design!$B$32),Design!$B$31,Design!$B$32)*1000000</f>
        <v>1.2499999999999999E-2</v>
      </c>
      <c r="AD32" s="229">
        <f t="shared" ca="1" si="28"/>
        <v>1.3445366215513948</v>
      </c>
      <c r="AE32" s="229">
        <f t="shared" ca="1" si="29"/>
        <v>0.90682404545131579</v>
      </c>
      <c r="AF32" s="229">
        <f ca="1">V32^2*Design!$B$40/1000*(1+(AI32-25)*(Constants!$C$29/100))</f>
        <v>0.34678696092606581</v>
      </c>
      <c r="AG32" s="229">
        <f>0.5*Snubber!$B$16/1000000000000*$V$2^2*Design!$B$32*1000000</f>
        <v>1.6920000000000001E-2</v>
      </c>
      <c r="AH32" s="230">
        <f ca="1">$A32+AE32*Design!$B$19</f>
        <v>136.68897059072501</v>
      </c>
      <c r="AI32" s="230">
        <f ca="1">AD32*Design!$C$12+$A32</f>
        <v>130.71424513274741</v>
      </c>
      <c r="AJ32" s="230">
        <f ca="1">Constants!$D$19+Constants!$D$19*Constants!$C$20/100*(AI32-25)</f>
        <v>251.48567532743749</v>
      </c>
      <c r="AK32" s="229">
        <f ca="1">(1-Constants!$C$17/1000000000*Design!$B$32*1000000) * ($V$2+W32-V32*AJ32/1000) - (W32+V32*Design!$B$40/1000)</f>
        <v>10.474519578065806</v>
      </c>
      <c r="AL32" s="229">
        <f ca="1">IF(AK32&gt;Design!$C$28,Design!$C$28,AK32)</f>
        <v>3.2940895522388054</v>
      </c>
      <c r="AM32" s="229">
        <f t="shared" ca="1" si="30"/>
        <v>2.6150676279287759</v>
      </c>
      <c r="AN32" s="229">
        <f t="shared" ca="1" si="31"/>
        <v>11.529313432835819</v>
      </c>
      <c r="AO32" s="269">
        <f t="shared" ca="1" si="32"/>
        <v>81.511614989059012</v>
      </c>
      <c r="AP32" s="241">
        <f t="shared" si="41"/>
        <v>3.5</v>
      </c>
      <c r="AQ32" s="169">
        <f ca="1">FORECAST(AP32, OFFSET(Design!$C$15:$C$17,MATCH(AP32,Design!$B$15:$B$17,1)-1,0,2), OFFSET(Design!$B$15:$B$17,MATCH(AP32,Design!$B$15:$B$17,1)-1,0,2))+(BB32-25)*Design!$B$18/1000</f>
        <v>0.38012241706044841</v>
      </c>
      <c r="AR32" s="242">
        <f ca="1">IF(100*(Design!$C$28+AQ32+AP32*IF(ISBLANK(Design!$B$40),Constants!$C$6,Design!$B$40)/1000*(1+Constants!$C$29/100*(BC32-25)))/($AP$2+AQ32-AP32*BD32/1000)&gt;Design!$C$35,Design!$C$35,100*(Design!$C$28+AQ32+AP32*IF(ISBLANK(Design!$B$40),Constants!$C$6,Design!$B$40)/1000*(1+Constants!$C$29/100*(BC32-25)))/($AP$2+AQ32-AP32*BD32/1000))</f>
        <v>24.338339671745487</v>
      </c>
      <c r="AS32" s="170">
        <f ca="1">($AP$2-AP32*IF(ISBLANK(Design!$B$40),Constants!$C$6,Design!$B$40)/1000*(1+Constants!$C$29/100*(BC32-25))-Design!$C$28) / (IF(ISBLANK(Design!$B$39),Design!$B$38,Design!$B$39)/1000000) * AR32/100/(IF(ISBLANK(Design!$B$32),Design!$B$31,Design!$B$32)*1000000)</f>
        <v>0.90245471840342495</v>
      </c>
      <c r="AT32" s="243">
        <f>$AP$2*Constants!$C$18/1000+IF(ISBLANK(Design!$B$32),Design!$B$31,Design!$B$32)*1000000*Constants!$D$22/1000000000*($AP$2-Constants!$C$21)</f>
        <v>2.8076E-2</v>
      </c>
      <c r="AU32" s="243">
        <f>$AP$2*AP32*($AP$2/(Constants!$C$23*1000000000)*IF(ISBLANK(Design!$B$32),Design!$B$31,Design!$B$32)*1000000/2+$AP$2/(Constants!$C$24*1000000000)*IF(ISBLANK(Design!$B$32),Design!$B$31,Design!$B$32)*1000000/2)</f>
        <v>0.52888888888888885</v>
      </c>
      <c r="AV32" s="243">
        <f t="shared" ca="1" si="33"/>
        <v>0.75165364002447721</v>
      </c>
      <c r="AW32" s="243">
        <f>Constants!$D$22/1000000000*Constants!$C$21*IF(ISBLANK(Design!$B$32),Design!$B$31,Design!$B$32)*1000000</f>
        <v>1.2499999999999999E-2</v>
      </c>
      <c r="AX32" s="243">
        <f t="shared" ca="1" si="34"/>
        <v>1.321118528913366</v>
      </c>
      <c r="AY32" s="243">
        <f t="shared" ca="1" si="35"/>
        <v>1.006624262097396</v>
      </c>
      <c r="AZ32" s="243">
        <f ca="1">AP32^2*Design!$B$40/1000*(1+(BC32-25)*(Constants!$C$29/100))</f>
        <v>0.34602032516918396</v>
      </c>
      <c r="BA32" s="243">
        <f>0.5*Snubber!$B$16/1000000000000*$AP$2^2*Design!$B$32*1000000</f>
        <v>3.0080000000000003E-2</v>
      </c>
      <c r="BB32" s="244">
        <f ca="1">$A32+AY32*Design!$B$19</f>
        <v>142.37758293955159</v>
      </c>
      <c r="BC32" s="244">
        <f ca="1">AX32*Design!$C$12+$A32</f>
        <v>129.91802998305445</v>
      </c>
      <c r="BD32" s="244">
        <f ca="1">Constants!$D$19+Constants!$D$19*Constants!$C$20/100*(BC32-25)</f>
        <v>250.72130878373227</v>
      </c>
      <c r="BE32" s="243">
        <f ca="1">(1-Constants!$C$17/1000000000*Design!$B$32*1000000) * ($AP$2+AQ32-AP32*BD32/1000) - (AQ32+AP32*Design!$B$40/1000)</f>
        <v>14.277345527441065</v>
      </c>
      <c r="BF32" s="243">
        <f ca="1">IF(BE32&gt;Design!$C$28,Design!$C$28,BE32)</f>
        <v>3.2940895522388054</v>
      </c>
      <c r="BG32" s="243">
        <f t="shared" ca="1" si="36"/>
        <v>2.7038431161799457</v>
      </c>
      <c r="BH32" s="243">
        <f t="shared" ca="1" si="37"/>
        <v>11.529313432835819</v>
      </c>
      <c r="BI32" s="272">
        <f t="shared" ca="1" si="38"/>
        <v>81.003208200032631</v>
      </c>
    </row>
    <row r="33" spans="1:7" x14ac:dyDescent="0.25">
      <c r="A33" s="172"/>
      <c r="G33" s="193"/>
    </row>
    <row r="35" spans="1:7" x14ac:dyDescent="0.25">
      <c r="G35" s="11"/>
    </row>
    <row r="83" spans="2:9" ht="15.75" thickBot="1" x14ac:dyDescent="0.3"/>
    <row r="84" spans="2:9" x14ac:dyDescent="0.25">
      <c r="B84" s="248" t="s">
        <v>211</v>
      </c>
      <c r="C84" s="190"/>
      <c r="D84" s="190"/>
      <c r="E84" s="190"/>
      <c r="F84" s="190"/>
      <c r="H84" s="302">
        <v>0</v>
      </c>
      <c r="I84" s="303">
        <v>155</v>
      </c>
    </row>
    <row r="85" spans="2:9" ht="15.75" thickBot="1" x14ac:dyDescent="0.3">
      <c r="B85" s="246" t="s">
        <v>236</v>
      </c>
      <c r="C85" s="191"/>
      <c r="D85" s="191"/>
      <c r="E85" s="191"/>
      <c r="F85" s="194"/>
      <c r="H85" s="304">
        <v>3.5</v>
      </c>
      <c r="I85" s="305">
        <v>155</v>
      </c>
    </row>
    <row r="86" spans="2:9" x14ac:dyDescent="0.25">
      <c r="B86" s="247" t="s">
        <v>212</v>
      </c>
      <c r="C86" s="192"/>
      <c r="D86" s="171">
        <v>0</v>
      </c>
      <c r="F86" s="11"/>
    </row>
  </sheetData>
  <sheetProtection password="CA84" sheet="1" objects="1" scenarios="1" selectLockedCells="1"/>
  <mergeCells count="4">
    <mergeCell ref="A1:BI1"/>
    <mergeCell ref="B2:C2"/>
    <mergeCell ref="V2:W2"/>
    <mergeCell ref="AP2:AQ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9"/>
  <sheetViews>
    <sheetView topLeftCell="A63" zoomScaleNormal="100" workbookViewId="0">
      <selection activeCell="D115" sqref="D115"/>
    </sheetView>
  </sheetViews>
  <sheetFormatPr defaultRowHeight="15" x14ac:dyDescent="0.25"/>
  <cols>
    <col min="1" max="6" width="6.7109375" style="1" customWidth="1"/>
    <col min="7" max="16" width="6.7109375" style="197" customWidth="1"/>
    <col min="17" max="47" width="6.7109375" customWidth="1"/>
  </cols>
  <sheetData>
    <row r="1" spans="1:47" ht="24" customHeight="1" thickBot="1" x14ac:dyDescent="0.3">
      <c r="A1" s="416" t="s">
        <v>177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  <c r="AR1" s="416"/>
      <c r="AS1" s="416"/>
      <c r="AT1" s="416"/>
      <c r="AU1" s="416"/>
    </row>
    <row r="2" spans="1:47" s="291" customFormat="1" ht="18" customHeight="1" x14ac:dyDescent="0.25">
      <c r="A2" s="301" t="s">
        <v>282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</row>
    <row r="3" spans="1:47" s="200" customFormat="1" thickBot="1" x14ac:dyDescent="0.3">
      <c r="A3" s="261" t="s">
        <v>210</v>
      </c>
      <c r="B3" s="298" t="s">
        <v>106</v>
      </c>
      <c r="C3" s="254" t="s">
        <v>92</v>
      </c>
      <c r="D3" s="254" t="s">
        <v>235</v>
      </c>
      <c r="E3" s="245" t="s">
        <v>233</v>
      </c>
      <c r="F3" s="245" t="s">
        <v>234</v>
      </c>
      <c r="G3" s="245" t="s">
        <v>93</v>
      </c>
      <c r="H3" s="245" t="s">
        <v>94</v>
      </c>
      <c r="I3" s="245" t="s">
        <v>95</v>
      </c>
      <c r="J3" s="245" t="s">
        <v>198</v>
      </c>
      <c r="K3" s="245" t="s">
        <v>252</v>
      </c>
      <c r="L3" s="245" t="s">
        <v>254</v>
      </c>
      <c r="M3" s="245" t="s">
        <v>284</v>
      </c>
      <c r="N3" s="245" t="s">
        <v>285</v>
      </c>
      <c r="O3" s="245" t="s">
        <v>110</v>
      </c>
      <c r="P3" s="245" t="s">
        <v>246</v>
      </c>
      <c r="Q3" s="262" t="s">
        <v>245</v>
      </c>
      <c r="R3" s="254" t="s">
        <v>92</v>
      </c>
      <c r="S3" s="254" t="s">
        <v>235</v>
      </c>
      <c r="T3" s="245" t="s">
        <v>233</v>
      </c>
      <c r="U3" s="245" t="s">
        <v>234</v>
      </c>
      <c r="V3" s="245" t="s">
        <v>93</v>
      </c>
      <c r="W3" s="245" t="s">
        <v>94</v>
      </c>
      <c r="X3" s="245" t="s">
        <v>95</v>
      </c>
      <c r="Y3" s="245" t="s">
        <v>198</v>
      </c>
      <c r="Z3" s="245" t="s">
        <v>96</v>
      </c>
      <c r="AA3" s="245" t="s">
        <v>254</v>
      </c>
      <c r="AB3" s="245" t="s">
        <v>284</v>
      </c>
      <c r="AC3" s="245" t="s">
        <v>285</v>
      </c>
      <c r="AD3" s="245" t="s">
        <v>110</v>
      </c>
      <c r="AE3" s="245" t="s">
        <v>246</v>
      </c>
      <c r="AF3" s="262" t="s">
        <v>245</v>
      </c>
      <c r="AG3" s="261" t="s">
        <v>92</v>
      </c>
      <c r="AH3" s="254" t="s">
        <v>235</v>
      </c>
      <c r="AI3" s="245" t="s">
        <v>233</v>
      </c>
      <c r="AJ3" s="245" t="s">
        <v>234</v>
      </c>
      <c r="AK3" s="245" t="s">
        <v>93</v>
      </c>
      <c r="AL3" s="245" t="s">
        <v>94</v>
      </c>
      <c r="AM3" s="245" t="s">
        <v>95</v>
      </c>
      <c r="AN3" s="245" t="s">
        <v>198</v>
      </c>
      <c r="AO3" s="245" t="s">
        <v>96</v>
      </c>
      <c r="AP3" s="245" t="s">
        <v>254</v>
      </c>
      <c r="AQ3" s="245" t="s">
        <v>284</v>
      </c>
      <c r="AR3" s="245" t="s">
        <v>285</v>
      </c>
      <c r="AS3" s="245" t="s">
        <v>110</v>
      </c>
      <c r="AT3" s="245" t="s">
        <v>246</v>
      </c>
      <c r="AU3" s="262" t="s">
        <v>245</v>
      </c>
    </row>
    <row r="4" spans="1:47" s="162" customFormat="1" ht="12.75" customHeight="1" x14ac:dyDescent="0.2">
      <c r="A4" s="201">
        <f>Design!$D$13</f>
        <v>85</v>
      </c>
      <c r="B4" s="202">
        <f t="shared" ref="B4:B43" si="0">$B5+$AU$88</f>
        <v>11.999999999999995</v>
      </c>
      <c r="C4" s="203">
        <f>Design!$D$6</f>
        <v>3.5</v>
      </c>
      <c r="D4" s="203">
        <f ca="1">FORECAST(C4, OFFSET(Design!$C$15:$C$17,MATCH(C4,Design!$B$15:$B$17,1)-1,0,2), OFFSET(Design!$B$15:$B$17,MATCH(C4,Design!$B$15:$B$17,1)-1,0,2))+(M4-25)*Design!$B$18/1000</f>
        <v>0.38581102940927503</v>
      </c>
      <c r="E4" s="214">
        <f ca="1">IF(100*(Design!$C$28+D4+C4*IF(ISBLANK(Design!$B$40),Constants!$C$6,Design!$B$40)/1000*(1+Constants!$C$29/100*(N4-25)))/($B4+D4-C4*O4/1000)&gt;Design!$C$35,Design!$C$35,100*(Design!$C$28+D4+C4*IF(ISBLANK(Design!$B$40),Constants!$C$6,Design!$B$40)/1000*(1+Constants!$C$29/100*(N4-25)))/($B4+D4-C4*O4/1000))</f>
        <v>32.844692177057553</v>
      </c>
      <c r="F4" s="204">
        <f ca="1">IF(($B4-C4*IF(ISBLANK(Design!$B$40),Constants!$C$6,Design!$B$40)/1000*(1+Constants!$C$29/100*(N4-25))-Design!$C$28)/(IF(ISBLANK(Design!$B$39),Design!$B$38,Design!$B$39)/1000000)*E4/100/(IF(ISBLANK(Design!$B$32),Design!$B$31,Design!$B$32)*1000000)&lt;0, 0, ($B4-C4*IF(ISBLANK(Design!$B$40),Constants!$C$6,Design!$B$40)/1000*(1+Constants!$C$29/100*(N4-25))-Design!$C$28)/(IF(ISBLANK(Design!$B$39),Design!$B$38,Design!$B$39)/1000000)*E4/100/(IF(ISBLANK(Design!$B$32),Design!$B$31,Design!$B$32)*1000000))</f>
        <v>0.83143715104157589</v>
      </c>
      <c r="G4" s="205">
        <f>$B4*Constants!$C$18/1000+IF(ISBLANK(Design!$B$32),Design!$B$31,Design!$B$32)*1000000*Constants!$D$22/1000000000*(IF($B4&lt;Constants!$C$21,0,$B4-Constants!$C$21))</f>
        <v>1.7931999999999986E-2</v>
      </c>
      <c r="H4" s="205">
        <f>$B4*C4*($B4/(Constants!$C$23*1000000000)*IF(ISBLANK(Design!$B$32),Design!$B$31,Design!$B$32)*1000000/2+$B4/(Constants!$C$24*1000000000)*IF(ISBLANK(Design!$B$32),Design!$B$31,Design!$B$32)*1000000/2)</f>
        <v>0.29749999999999971</v>
      </c>
      <c r="I4" s="205">
        <f t="shared" ref="I4:I44" ca="1" si="1">IF($D$115,1,E4/100*(C4^2+F4^2/12)*O4/1000)</f>
        <v>1.0166046215513951</v>
      </c>
      <c r="J4" s="205">
        <f>Constants!$D$22/1000000000*Constants!$C$21*IF(ISBLANK(Design!$B$32),Design!$B$31,Design!$B$32)*1000000</f>
        <v>1.2499999999999999E-2</v>
      </c>
      <c r="K4" s="205">
        <f ca="1">SUM(G4:J4)</f>
        <v>1.3445366215513948</v>
      </c>
      <c r="L4" s="205">
        <f ca="1">C4*D4*(1-E4/100)</f>
        <v>0.90682404545131579</v>
      </c>
      <c r="M4" s="206">
        <f ca="1">$A4+L4*Design!$B$19</f>
        <v>136.68897059072501</v>
      </c>
      <c r="N4" s="206">
        <f ca="1">K4*Design!$C$12+$A4</f>
        <v>130.71424513274741</v>
      </c>
      <c r="O4" s="206">
        <f ca="1">Constants!$D$19+Constants!$D$19*Constants!$C$20/100*(N4-25)</f>
        <v>251.48567532743749</v>
      </c>
      <c r="P4" s="205">
        <f ca="1">(1-Constants!$C$17/1000000000*Design!$B$32*1000000) * ($B4+D4-C4*O4/1000) - (D4+C4*(1+($A4-25)*Constants!$C$29/100)*IF(ISBLANK(Design!$B$40),Constants!$C$6/1000,Design!$B$40/1000))</f>
        <v>10.458013578065803</v>
      </c>
      <c r="Q4" s="212">
        <f ca="1">IF(P4&gt;Design!$C$28,Design!$C$28,P4)</f>
        <v>3.2940895522388054</v>
      </c>
      <c r="R4" s="334">
        <f>Design!$D$6*2/3</f>
        <v>2.3333333333333335</v>
      </c>
      <c r="S4" s="158">
        <f ca="1">FORECAST(R4, OFFSET(Design!$C$15:$C$17,MATCH(R4,Design!$B$15:$B$17,1)-1,0,2), OFFSET(Design!$B$15:$B$17,MATCH(R4,Design!$B$15:$B$17,1)-1,0,2))+(AB4-25)*Design!$B$18/1000</f>
        <v>0.37423659157533062</v>
      </c>
      <c r="T4" s="224">
        <f ca="1">IF(100*(Design!$C$28+S4+R4*IF(ISBLANK(Design!$B$40),Constants!$C$6,Design!$B$40)/1000*(1+Constants!$C$29/100*(AC4-25)))/($B4+S4-R4*AD4/1000)&gt;Design!$C$35,Design!$C$35,100*(Design!$C$28+S4+R4*IF(ISBLANK(Design!$B$40),Constants!$C$6,Design!$B$40)/1000*(1+Constants!$C$29/100*(AC4-25)))/($B4+S4-R4*AD4/1000))</f>
        <v>31.4961483845508</v>
      </c>
      <c r="U4" s="159">
        <f ca="1">IF(($B4-R4*IF(ISBLANK(Design!$B$40),Constants!$C$6,Design!$B$40)/1000*(1+Constants!$C$29/100*(AC4-25))-Design!$C$28)/(IF(ISBLANK(Design!$B$39),Design!$B$38,Design!$B$39)/1000000)*T4/100/(IF(ISBLANK(Design!$B$32),Design!$B$31,Design!$B$32)*1000000)&lt;0, 0, ($B4-R4*IF(ISBLANK(Design!$B$40),Constants!$C$6,Design!$B$40)/1000*(1+Constants!$C$29/100*(AC4-25))-Design!$C$28)/(IF(ISBLANK(Design!$B$39),Design!$B$38,Design!$B$39)/1000000)*T4/100/(IF(ISBLANK(Design!$B$32),Design!$B$31,Design!$B$32)*1000000))</f>
        <v>0.80077585794684303</v>
      </c>
      <c r="V4" s="159">
        <f>$B4*Constants!$C$18/1000+IF(ISBLANK(Design!$B$32),Design!$B$31,Design!$B$32)*1000000*Constants!$D$22/1000000000*(IF($B4&lt;Constants!$C$21,0,$B4-Constants!$C$21))</f>
        <v>1.7931999999999986E-2</v>
      </c>
      <c r="W4" s="225">
        <f>B4*R4*(B4/(Constants!$C$23*1000000000)*IF(ISBLANK(Design!$B$32),Design!$B$31,Design!$B$32)*1000000/2+B4/(Constants!$C$24*1000000000)*IF(ISBLANK(Design!$B$32),Design!$B$31,Design!$B$32)*1000000/2)</f>
        <v>0.19833333333333317</v>
      </c>
      <c r="X4" s="225">
        <f ca="1">IF($D$115,1,T4/100*(R4^2+U4^2/12)*AD4/1000)</f>
        <v>0.3947241796847738</v>
      </c>
      <c r="Y4" s="225">
        <f>Constants!$D$22/1000000000*Constants!$C$21*IF(ISBLANK(Design!$B$32),Design!$B$31,Design!$B$32)*1000000</f>
        <v>1.2499999999999999E-2</v>
      </c>
      <c r="Z4" s="225">
        <f ca="1">SUM(V4:Y4)</f>
        <v>0.62348951301810684</v>
      </c>
      <c r="AA4" s="225">
        <f ca="1">R4*S4*(1-T4/100)</f>
        <v>0.59818845189478476</v>
      </c>
      <c r="AB4" s="226">
        <f ca="1">$A4+AA4*Design!$B$19</f>
        <v>119.09674175800274</v>
      </c>
      <c r="AC4" s="226">
        <f ca="1">Z4*Design!$C$12+A4</f>
        <v>106.19864344261563</v>
      </c>
      <c r="AD4" s="226">
        <f ca="1">Constants!$D$19+Constants!$D$19*Constants!$C$20/100*(AC4-25)</f>
        <v>227.95069770491102</v>
      </c>
      <c r="AE4" s="225">
        <f ca="1">(1-Constants!$C$17/1000000000*Design!$B$32*1000000) * ($B4+S4-R4*AD4/1000) - (S4+R4*(1+($A4-25)*Constants!$C$29/100)*IF(ISBLANK(Design!$B$40),Constants!$C$6/1000,Design!$B$40/1000))</f>
        <v>10.818326790508676</v>
      </c>
      <c r="AF4" s="338">
        <f ca="1">IF(AE4&gt;Design!$C$28,Design!$C$28,AE4)</f>
        <v>3.2940895522388054</v>
      </c>
      <c r="AG4" s="231">
        <f>Design!$D$6/3</f>
        <v>1.1666666666666667</v>
      </c>
      <c r="AH4" s="232">
        <f ca="1">FORECAST(AG4, OFFSET(Design!$C$15:$C$17,MATCH(AG4,Design!$B$15:$B$17,1)-1,0,2), OFFSET(Design!$B$15:$B$17,MATCH(AG4,Design!$B$15:$B$17,1)-1,0,2))+(AQ4-25)*Design!$B$18/1000</f>
        <v>0.32031514238705883</v>
      </c>
      <c r="AI4" s="233">
        <f ca="1">IF(100*(Design!$C$28+AH4+AG4*IF(ISBLANK(Design!$B$40),Constants!$C$6,Design!$B$40)/1000*(1+Constants!$C$29/100*(AR4-25)))/($B4+AH4-AG4*AS4/1000)&gt;Design!$C$35,Design!$C$35,100*(Design!$C$28+AH4+AG4*IF(ISBLANK(Design!$B$40),Constants!$C$6,Design!$B$40)/1000*(1+Constants!$C$29/100*(AR4-25)))/($B4+AH4-AG4*AS4/1000))</f>
        <v>30.190728895658655</v>
      </c>
      <c r="AJ4" s="234">
        <f ca="1">IF(($B4-AG4*IF(ISBLANK(Design!$B$40),Constants!$C$6,Design!$B$40)/1000*(1+Constants!$C$29/100*(AR4-25))-Design!$C$28)/(IF(ISBLANK(Design!$B$39),Design!$B$38,Design!$B$39)/1000000)*AI4/100/(IF(ISBLANK(Design!$B$32),Design!$B$31,Design!$B$32)*1000000)&lt;0,0,($B4-AG4*IF(ISBLANK(Design!$B$40),Constants!$C$6,Design!$B$40)/1000*(1+Constants!$C$29/100*(AR4-25))-Design!$C$28)/(IF(ISBLANK(Design!$B$39),Design!$B$38,Design!$B$39)/1000000)*AI4/100/(IF(ISBLANK(Design!$B$32),Design!$B$31,Design!$B$32)*1000000))</f>
        <v>0.77043062454355982</v>
      </c>
      <c r="AK4" s="161">
        <f>$B4*Constants!$C$18/1000+IF(ISBLANK(Design!$B$32),Design!$B$31,Design!$B$32)*1000000*Constants!$D$22/1000000000*(IF($B4&lt;Constants!$C$21,0,$B4-Constants!$C$21))</f>
        <v>1.7931999999999986E-2</v>
      </c>
      <c r="AL4" s="235">
        <f>$B4*AG4*($B4/(Constants!$C$23*1000000000)*IF(ISBLANK(Design!$B$32),Design!$B$31,Design!$B$32)*1000000/2+$B4/(Constants!$C$24*1000000000)*IF(ISBLANK(Design!$B$32),Design!$B$31,Design!$B$32)*1000000/2)</f>
        <v>9.9166666666666584E-2</v>
      </c>
      <c r="AM4" s="235">
        <f t="shared" ref="AM4:AM44" ca="1" si="2">IF($D$115,1,AI4/100*(AG4^2+AJ4^2/12)*AS4/1000)</f>
        <v>9.1482174726612228E-2</v>
      </c>
      <c r="AN4" s="235">
        <f>Constants!$D$22/1000000000*Constants!$C$21*IF(ISBLANK(Design!$B$32),Design!$B$31,Design!$B$32)*1000000</f>
        <v>1.2499999999999999E-2</v>
      </c>
      <c r="AO4" s="235">
        <f ca="1">SUM(AK4:AN4)</f>
        <v>0.22108084139327883</v>
      </c>
      <c r="AP4" s="235">
        <f ca="1">AG4*AH4*(1-AI4/100)</f>
        <v>0.2608779438267787</v>
      </c>
      <c r="AQ4" s="236">
        <f ca="1">$A4+AP4*Design!$B$19</f>
        <v>99.870042798126391</v>
      </c>
      <c r="AR4" s="236">
        <f ca="1">AO4*Design!$C$12+$A4</f>
        <v>92.516748607371483</v>
      </c>
      <c r="AS4" s="236">
        <f ca="1">Constants!$D$19+Constants!$D$19*Constants!$C$20/100*(AR4-25)</f>
        <v>214.81607866307661</v>
      </c>
      <c r="AT4" s="235">
        <f ca="1">(1-Constants!$C$17/1000000000*Design!$B$32*1000000) * ($B4+AH4-AG4*AS4/1000) - (AH4+AG4*(1+($A4-25)*Constants!$C$29/100)*IF(ISBLANK(Design!$B$40),Constants!$C$6/1000,Design!$B$40/1000))</f>
        <v>11.117061089029065</v>
      </c>
      <c r="AU4" s="341">
        <f ca="1">IF(AT4&gt;Design!$C$28,Design!$C$28,AT4)</f>
        <v>3.2940895522388054</v>
      </c>
    </row>
    <row r="5" spans="1:47" s="162" customFormat="1" ht="12.75" customHeight="1" x14ac:dyDescent="0.2">
      <c r="A5" s="154">
        <f>Design!$D$13</f>
        <v>85</v>
      </c>
      <c r="B5" s="155">
        <f t="shared" si="0"/>
        <v>11.764999999999995</v>
      </c>
      <c r="C5" s="156">
        <f>C4</f>
        <v>3.5</v>
      </c>
      <c r="D5" s="156">
        <f ca="1">FORECAST(C5, OFFSET(Design!$C$15:$C$17,MATCH(C5,Design!$B$15:$B$17,1)-1,0,2), OFFSET(Design!$B$15:$B$17,MATCH(C5,Design!$B$15:$B$17,1)-1,0,2))+(M5-25)*Design!$B$18/1000</f>
        <v>0.38628138025474457</v>
      </c>
      <c r="E5" s="215">
        <f ca="1">IF(100*(Design!$C$28+D5+C5*IF(ISBLANK(Design!$B$40),Constants!$C$6,Design!$B$40)/1000*(1+Constants!$C$29/100*(N5-25)))/($B5+D5-C5*O5/1000)&gt;Design!$C$35,Design!$C$35,100*(Design!$C$28+D5+C5*IF(ISBLANK(Design!$B$40),Constants!$C$6,Design!$B$40)/1000*(1+Constants!$C$29/100*(N5-25)))/($B5+D5-C5*O5/1000))</f>
        <v>33.536807832380681</v>
      </c>
      <c r="F5" s="157">
        <f ca="1">IF(($B5-C5*IF(ISBLANK(Design!$B$40),Constants!$C$6,Design!$B$40)/1000*(1+Constants!$C$29/100*(N5-25))-Design!$C$28)/(IF(ISBLANK(Design!$B$39),Design!$B$38,Design!$B$39)/1000000)*E5/100/(IF(ISBLANK(Design!$B$32),Design!$B$31,Design!$B$32)*1000000)&lt;0, 0, ($B5-C5*IF(ISBLANK(Design!$B$40),Constants!$C$6,Design!$B$40)/1000*(1+Constants!$C$29/100*(N5-25))-Design!$C$28)/(IF(ISBLANK(Design!$B$39),Design!$B$38,Design!$B$39)/1000000)*E5/100/(IF(ISBLANK(Design!$B$32),Design!$B$31,Design!$B$32)*1000000))</f>
        <v>0.82576782048539676</v>
      </c>
      <c r="G5" s="207">
        <f>$B5*Constants!$C$18/1000+IF(ISBLANK(Design!$B$32),Design!$B$31,Design!$B$32)*1000000*Constants!$D$22/1000000000*(IF($B5&lt;Constants!$C$21,0,$B5-Constants!$C$21))</f>
        <v>1.733603999999999E-2</v>
      </c>
      <c r="H5" s="207">
        <f>B5*C5*(B5/(Constants!$C$23*1000000000)*IF(ISBLANK(Design!$B$32),Design!$B$31,Design!$B$32)*1000000/2+B5/(Constants!$C$24*1000000000)*IF(ISBLANK(Design!$B$32),Design!$B$31,Design!$B$32)*1000000/2)</f>
        <v>0.28596200998263865</v>
      </c>
      <c r="I5" s="207">
        <f t="shared" ca="1" si="1"/>
        <v>1.039396674472127</v>
      </c>
      <c r="J5" s="207">
        <f>Constants!$D$22/1000000000*Constants!$C$21*IF(ISBLANK(Design!$B$32),Design!$B$31,Design!$B$32)*1000000</f>
        <v>1.2499999999999999E-2</v>
      </c>
      <c r="K5" s="207">
        <f t="shared" ref="K5:K44" ca="1" si="3">SUM(G5:J5)</f>
        <v>1.3551947244547657</v>
      </c>
      <c r="L5" s="207">
        <f t="shared" ref="L5:L44" ca="1" si="4">C5*D5*(1-E5/100)</f>
        <v>0.89857227623255109</v>
      </c>
      <c r="M5" s="208">
        <f ca="1">A5+L5*Design!$B$19</f>
        <v>136.21861974525541</v>
      </c>
      <c r="N5" s="208">
        <f ca="1">K5*Design!$C$12+A5</f>
        <v>131.07662063146205</v>
      </c>
      <c r="O5" s="208">
        <f ca="1">Constants!$D$19+Constants!$D$19*Constants!$C$20/100*(N5-25)</f>
        <v>251.83355580620355</v>
      </c>
      <c r="P5" s="207">
        <f ca="1">(1-Constants!$C$17/1000000000*Design!$B$32*1000000) * ($B5+D5-C5*O5/1000) - (D5+C5*(1+($A5-25)*Constants!$C$29/100)*IF(ISBLANK(Design!$B$40),Constants!$C$6/1000,Design!$B$40/1000))</f>
        <v>10.23358335793163</v>
      </c>
      <c r="Q5" s="213">
        <f ca="1">IF(P5&gt;Design!$C$28,Design!$C$28,P5)</f>
        <v>3.2940895522388054</v>
      </c>
      <c r="R5" s="335">
        <f>R4</f>
        <v>2.3333333333333335</v>
      </c>
      <c r="S5" s="158">
        <f ca="1">FORECAST(R5, OFFSET(Design!$C$15:$C$17,MATCH(R5,Design!$B$15:$B$17,1)-1,0,2), OFFSET(Design!$B$15:$B$17,MATCH(R5,Design!$B$15:$B$17,1)-1,0,2))+(AB5-25)*Design!$B$18/1000</f>
        <v>0.37452843967029448</v>
      </c>
      <c r="T5" s="224">
        <f ca="1">IF(100*(Design!$C$28+S5+R5*IF(ISBLANK(Design!$B$40),Constants!$C$6,Design!$B$40)/1000*(1+Constants!$C$29/100*(AC5-25)))/($B5+S5-R5*AD5/1000)&gt;Design!$C$35,Design!$C$35,100*(Design!$C$28+S5+R5*IF(ISBLANK(Design!$B$40),Constants!$C$6,Design!$B$40)/1000*(1+Constants!$C$29/100*(AC5-25)))/($B5+S5-R5*AD5/1000))</f>
        <v>32.135425275432461</v>
      </c>
      <c r="U5" s="159">
        <f ca="1">IF(($B5-R5*IF(ISBLANK(Design!$B$40),Constants!$C$6,Design!$B$40)/1000*(1+Constants!$C$29/100*(AC5-25))-Design!$C$28)/(IF(ISBLANK(Design!$B$39),Design!$B$38,Design!$B$39)/1000000)*T5/100/(IF(ISBLANK(Design!$B$32),Design!$B$31,Design!$B$32)*1000000)&lt;0, 0, ($B5-R5*IF(ISBLANK(Design!$B$40),Constants!$C$6,Design!$B$40)/1000*(1+Constants!$C$29/100*(AC5-25))-Design!$C$28)/(IF(ISBLANK(Design!$B$39),Design!$B$38,Design!$B$39)/1000000)*T5/100/(IF(ISBLANK(Design!$B$32),Design!$B$31,Design!$B$32)*1000000))</f>
        <v>0.79481815376861242</v>
      </c>
      <c r="V5" s="159">
        <f>$B5*Constants!$C$18/1000+IF(ISBLANK(Design!$B$32),Design!$B$31,Design!$B$32)*1000000*Constants!$D$22/1000000000*(IF($B5&lt;Constants!$C$21,0,$B5-Constants!$C$21))</f>
        <v>1.733603999999999E-2</v>
      </c>
      <c r="W5" s="225">
        <f>B5*R5*(B5/(Constants!$C$23*1000000000)*IF(ISBLANK(Design!$B$32),Design!$B$31,Design!$B$32)*1000000/2+B5/(Constants!$C$24*1000000000)*IF(ISBLANK(Design!$B$32),Design!$B$31,Design!$B$32)*1000000/2)</f>
        <v>0.19064133998842578</v>
      </c>
      <c r="X5" s="225">
        <f t="shared" ref="X5:X44" ca="1" si="5">IF($D$115,1,T5/100*(R5^2+U5^2/12)*AD5/1000)</f>
        <v>0.40265740890550339</v>
      </c>
      <c r="Y5" s="225">
        <f>Constants!$D$22/1000000000*Constants!$C$21*IF(ISBLANK(Design!$B$32),Design!$B$31,Design!$B$32)*1000000</f>
        <v>1.2499999999999999E-2</v>
      </c>
      <c r="Z5" s="225">
        <f t="shared" ref="Z5:Z44" ca="1" si="6">SUM(V5:Y5)</f>
        <v>0.62313478889392915</v>
      </c>
      <c r="AA5" s="225">
        <f t="shared" ref="AA5:AA44" ca="1" si="7">R5*S5*(1-T5/100)</f>
        <v>0.59306830987787562</v>
      </c>
      <c r="AB5" s="226">
        <f ca="1">$A5+AA5*Design!$B$19</f>
        <v>118.80489366303891</v>
      </c>
      <c r="AC5" s="226">
        <f ca="1">Z5*Design!$C$12+A5</f>
        <v>106.18658282239359</v>
      </c>
      <c r="AD5" s="226">
        <f ca="1">Constants!$D$19+Constants!$D$19*Constants!$C$20/100*(AC5-25)</f>
        <v>227.93911950949786</v>
      </c>
      <c r="AE5" s="225">
        <f ca="1">(1-Constants!$C$17/1000000000*Design!$B$32*1000000) * ($B5+S5-R5*AD5/1000) - (S5+R5*(1+($A5-25)*Constants!$C$29/100)*IF(ISBLANK(Design!$B$40),Constants!$C$6/1000,Design!$B$40/1000))</f>
        <v>10.595087863103759</v>
      </c>
      <c r="AF5" s="339">
        <f ca="1">IF(AE5&gt;Design!$C$28,Design!$C$28,AE5)</f>
        <v>3.2940895522388054</v>
      </c>
      <c r="AG5" s="237">
        <f>AG4</f>
        <v>1.1666666666666667</v>
      </c>
      <c r="AH5" s="160">
        <f ca="1">FORECAST(AG5, OFFSET(Design!$C$15:$C$17,MATCH(AG5,Design!$B$15:$B$17,1)-1,0,2), OFFSET(Design!$B$15:$B$17,MATCH(AG5,Design!$B$15:$B$17,1)-1,0,2))+(AQ5-25)*Design!$B$18/1000</f>
        <v>0.32043729776994795</v>
      </c>
      <c r="AI5" s="238">
        <f ca="1">IF(100*(Design!$C$28+AH5+AG5*IF(ISBLANK(Design!$B$40),Constants!$C$6,Design!$B$40)/1000*(1+Constants!$C$29/100*(AR5-25)))/($B5+AH5-AG5*AS5/1000)&gt;Design!$C$35,Design!$C$35,100*(Design!$C$28+AH5+AG5*IF(ISBLANK(Design!$B$40),Constants!$C$6,Design!$B$40)/1000*(1+Constants!$C$29/100*(AR5-25)))/($B5+AH5-AG5*AS5/1000))</f>
        <v>30.790596278997377</v>
      </c>
      <c r="AJ5" s="161">
        <f ca="1">IF(($B5-AG5*IF(ISBLANK(Design!$B$40),Constants!$C$6,Design!$B$40)/1000*(1+Constants!$C$29/100*(AR5-25))-Design!$C$28)/(IF(ISBLANK(Design!$B$39),Design!$B$38,Design!$B$39)/1000000)*AI5/100/(IF(ISBLANK(Design!$B$32),Design!$B$31,Design!$B$32)*1000000)&lt;0,0,($B5-AG5*IF(ISBLANK(Design!$B$40),Constants!$C$6,Design!$B$40)/1000*(1+Constants!$C$29/100*(AR5-25))-Design!$C$28)/(IF(ISBLANK(Design!$B$39),Design!$B$38,Design!$B$39)/1000000)*AI5/100/(IF(ISBLANK(Design!$B$32),Design!$B$31,Design!$B$32)*1000000))</f>
        <v>0.76445753985935117</v>
      </c>
      <c r="AK5" s="161">
        <f>$B5*Constants!$C$18/1000+IF(ISBLANK(Design!$B$32),Design!$B$31,Design!$B$32)*1000000*Constants!$D$22/1000000000*(IF($B5&lt;Constants!$C$21,0,$B5-Constants!$C$21))</f>
        <v>1.733603999999999E-2</v>
      </c>
      <c r="AL5" s="239">
        <f>$B5*AG5*($B5/(Constants!$C$23*1000000000)*IF(ISBLANK(Design!$B$32),Design!$B$31,Design!$B$32)*1000000/2+$B5/(Constants!$C$24*1000000000)*IF(ISBLANK(Design!$B$32),Design!$B$31,Design!$B$32)*1000000/2)</f>
        <v>9.5320669994212889E-2</v>
      </c>
      <c r="AM5" s="239">
        <f t="shared" ca="1" si="2"/>
        <v>9.3210881056050535E-2</v>
      </c>
      <c r="AN5" s="239">
        <f>Constants!$D$22/1000000000*Constants!$C$21*IF(ISBLANK(Design!$B$32),Design!$B$31,Design!$B$32)*1000000</f>
        <v>1.2499999999999999E-2</v>
      </c>
      <c r="AO5" s="239">
        <f t="shared" ref="AO5" ca="1" si="8">SUM(AK5:AN5)</f>
        <v>0.21836759105026343</v>
      </c>
      <c r="AP5" s="239">
        <f t="shared" ref="AP5:AP44" ca="1" si="9">AG5*AH5*(1-AI5/100)</f>
        <v>0.25873486693398706</v>
      </c>
      <c r="AQ5" s="240">
        <f ca="1">$A5+AP5*Design!$B$19</f>
        <v>99.747887415237258</v>
      </c>
      <c r="AR5" s="240">
        <f ca="1">AO5*Design!$C$12+$A5</f>
        <v>92.424498095708955</v>
      </c>
      <c r="AS5" s="240">
        <f ca="1">Constants!$D$19+Constants!$D$19*Constants!$C$20/100*(AR5-25)</f>
        <v>214.7275181718806</v>
      </c>
      <c r="AT5" s="239">
        <f ca="1">(1-Constants!$C$17/1000000000*Design!$B$32*1000000) * ($B5+AH5-AG5*AS5/1000) - (AH5+AG5*(1+($A5-25)*Constants!$C$29/100)*IF(ISBLANK(Design!$B$40),Constants!$C$6/1000,Design!$B$40/1000))</f>
        <v>10.893903135804331</v>
      </c>
      <c r="AU5" s="342">
        <f ca="1">IF(AT5&gt;Design!$C$28,Design!$C$28,AT5)</f>
        <v>3.2940895522388054</v>
      </c>
    </row>
    <row r="6" spans="1:47" s="162" customFormat="1" ht="12.75" customHeight="1" x14ac:dyDescent="0.2">
      <c r="A6" s="154">
        <f>Design!$D$13</f>
        <v>85</v>
      </c>
      <c r="B6" s="155">
        <f t="shared" si="0"/>
        <v>11.529999999999996</v>
      </c>
      <c r="C6" s="156">
        <f t="shared" ref="C6:C44" si="10">C5</f>
        <v>3.5</v>
      </c>
      <c r="D6" s="156">
        <f ca="1">FORECAST(C6, OFFSET(Design!$C$15:$C$17,MATCH(C6,Design!$B$15:$B$17,1)-1,0,2), OFFSET(Design!$B$15:$B$17,MATCH(C6,Design!$B$15:$B$17,1)-1,0,2))+(M6-25)*Design!$B$18/1000</f>
        <v>0.38677356644420502</v>
      </c>
      <c r="E6" s="215">
        <f ca="1">IF(100*(Design!$C$28+D6+C6*IF(ISBLANK(Design!$B$40),Constants!$C$6,Design!$B$40)/1000*(1+Constants!$C$29/100*(N6-25)))/($B6+D6-C6*O6/1000)&gt;Design!$C$35,Design!$C$35,100*(Design!$C$28+D6+C6*IF(ISBLANK(Design!$B$40),Constants!$C$6,Design!$B$40)/1000*(1+Constants!$C$29/100*(N6-25)))/($B6+D6-C6*O6/1000))</f>
        <v>34.259251553819375</v>
      </c>
      <c r="F6" s="157">
        <f ca="1">IF(($B6-C6*IF(ISBLANK(Design!$B$40),Constants!$C$6,Design!$B$40)/1000*(1+Constants!$C$29/100*(N6-25))-Design!$C$28)/(IF(ISBLANK(Design!$B$39),Design!$B$38,Design!$B$39)/1000000)*E6/100/(IF(ISBLANK(Design!$B$32),Design!$B$31,Design!$B$32)*1000000)&lt;0, 0, ($B6-C6*IF(ISBLANK(Design!$B$40),Constants!$C$6,Design!$B$40)/1000*(1+Constants!$C$29/100*(N6-25))-Design!$C$28)/(IF(ISBLANK(Design!$B$39),Design!$B$38,Design!$B$39)/1000000)*E6/100/(IF(ISBLANK(Design!$B$32),Design!$B$31,Design!$B$32)*1000000))</f>
        <v>0.81986578780303632</v>
      </c>
      <c r="G6" s="207">
        <f>$B6*Constants!$C$18/1000+IF(ISBLANK(Design!$B$32),Design!$B$31,Design!$B$32)*1000000*Constants!$D$22/1000000000*(IF($B6&lt;Constants!$C$21,0,$B6-Constants!$C$21))</f>
        <v>1.6740079999999987E-2</v>
      </c>
      <c r="H6" s="207">
        <f>B6*C6*(B6/(Constants!$C$23*1000000000)*IF(ISBLANK(Design!$B$32),Design!$B$31,Design!$B$32)*1000000/2+B6/(Constants!$C$24*1000000000)*IF(ISBLANK(Design!$B$32),Design!$B$31,Design!$B$32)*1000000/2)</f>
        <v>0.274652206597222</v>
      </c>
      <c r="I6" s="207">
        <f t="shared" ca="1" si="1"/>
        <v>1.0633792012932228</v>
      </c>
      <c r="J6" s="207">
        <f>Constants!$D$22/1000000000*Constants!$C$21*IF(ISBLANK(Design!$B$32),Design!$B$31,Design!$B$32)*1000000</f>
        <v>1.2499999999999999E-2</v>
      </c>
      <c r="K6" s="207">
        <f ca="1">SUM(G6:J6)</f>
        <v>1.3672714878904448</v>
      </c>
      <c r="L6" s="207">
        <f t="shared" ca="1" si="4"/>
        <v>0.88993743080342136</v>
      </c>
      <c r="M6" s="208">
        <f ca="1">A6+L6*Design!$B$19</f>
        <v>135.72643355579501</v>
      </c>
      <c r="N6" s="208">
        <f ca="1">K6*Design!$C$12+A6</f>
        <v>131.48723058827511</v>
      </c>
      <c r="O6" s="208">
        <f ca="1">Constants!$D$19+Constants!$D$19*Constants!$C$20/100*(N6-25)</f>
        <v>252.22774136474411</v>
      </c>
      <c r="P6" s="207">
        <f ca="1">(1-Constants!$C$17/1000000000*Design!$B$32*1000000) * ($B6+D6-C6*O6/1000) - (D6+C6*(1+($A6-25)*Constants!$C$29/100)*IF(ISBLANK(Design!$B$40),Constants!$C$6/1000,Design!$B$40/1000))</f>
        <v>10.00899808164001</v>
      </c>
      <c r="Q6" s="213">
        <f ca="1">IF(P6&gt;Design!$C$28,Design!$C$28,P6)</f>
        <v>3.2940895522388054</v>
      </c>
      <c r="R6" s="335">
        <f t="shared" ref="R6:R44" si="11">R5</f>
        <v>2.3333333333333335</v>
      </c>
      <c r="S6" s="158">
        <f ca="1">FORECAST(R6, OFFSET(Design!$C$15:$C$17,MATCH(R6,Design!$B$15:$B$17,1)-1,0,2), OFFSET(Design!$B$15:$B$17,MATCH(R6,Design!$B$15:$B$17,1)-1,0,2))+(AB6-25)*Design!$B$18/1000</f>
        <v>0.3748329147043824</v>
      </c>
      <c r="T6" s="224">
        <f ca="1">IF(100*(Design!$C$28+S6+R6*IF(ISBLANK(Design!$B$40),Constants!$C$6,Design!$B$40)/1000*(1+Constants!$C$29/100*(AC6-25)))/($B6+S6-R6*AD6/1000)&gt;Design!$C$35,Design!$C$35,100*(Design!$C$28+S6+R6*IF(ISBLANK(Design!$B$40),Constants!$C$6,Design!$B$40)/1000*(1+Constants!$C$29/100*(AC6-25)))/($B6+S6-R6*AD6/1000))</f>
        <v>32.801299738346366</v>
      </c>
      <c r="U6" s="159">
        <f ca="1">IF(($B6-R6*IF(ISBLANK(Design!$B$40),Constants!$C$6,Design!$B$40)/1000*(1+Constants!$C$29/100*(AC6-25))-Design!$C$28)/(IF(ISBLANK(Design!$B$39),Design!$B$38,Design!$B$39)/1000000)*T6/100/(IF(ISBLANK(Design!$B$32),Design!$B$31,Design!$B$32)*1000000)&lt;0, 0, ($B6-R6*IF(ISBLANK(Design!$B$40),Constants!$C$6,Design!$B$40)/1000*(1+Constants!$C$29/100*(AC6-25))-Design!$C$28)/(IF(ISBLANK(Design!$B$39),Design!$B$38,Design!$B$39)/1000000)*T6/100/(IF(ISBLANK(Design!$B$32),Design!$B$31,Design!$B$32)*1000000))</f>
        <v>0.78861590944883875</v>
      </c>
      <c r="V6" s="159">
        <f>$B6*Constants!$C$18/1000+IF(ISBLANK(Design!$B$32),Design!$B$31,Design!$B$32)*1000000*Constants!$D$22/1000000000*(IF($B6&lt;Constants!$C$21,0,$B6-Constants!$C$21))</f>
        <v>1.6740079999999987E-2</v>
      </c>
      <c r="W6" s="225">
        <f>B6*R6*(B6/(Constants!$C$23*1000000000)*IF(ISBLANK(Design!$B$32),Design!$B$31,Design!$B$32)*1000000/2+B6/(Constants!$C$24*1000000000)*IF(ISBLANK(Design!$B$32),Design!$B$31,Design!$B$32)*1000000/2)</f>
        <v>0.1831014710648147</v>
      </c>
      <c r="X6" s="225">
        <f t="shared" ca="1" si="5"/>
        <v>0.41094879083588975</v>
      </c>
      <c r="Y6" s="225">
        <f>Constants!$D$22/1000000000*Constants!$C$21*IF(ISBLANK(Design!$B$32),Design!$B$31,Design!$B$32)*1000000</f>
        <v>1.2499999999999999E-2</v>
      </c>
      <c r="Z6" s="225">
        <f t="shared" ca="1" si="6"/>
        <v>0.62329034190070443</v>
      </c>
      <c r="AA6" s="225">
        <f t="shared" ca="1" si="7"/>
        <v>0.58772664261317487</v>
      </c>
      <c r="AB6" s="226">
        <f ca="1">$A6+AA6*Design!$B$19</f>
        <v>118.50041862895097</v>
      </c>
      <c r="AC6" s="226">
        <f ca="1">Z6*Design!$C$12+A6</f>
        <v>106.19187162462396</v>
      </c>
      <c r="AD6" s="226">
        <f ca="1">Constants!$D$19+Constants!$D$19*Constants!$C$20/100*(AC6-25)</f>
        <v>227.944196759639</v>
      </c>
      <c r="AE6" s="225">
        <f ca="1">(1-Constants!$C$17/1000000000*Design!$B$32*1000000) * ($B6+S6-R6*AD6/1000) - (S6+R6*(1+($A6-25)*Constants!$C$29/100)*IF(ISBLANK(Design!$B$40),Constants!$C$6/1000,Design!$B$40/1000))</f>
        <v>10.371811384780909</v>
      </c>
      <c r="AF6" s="339">
        <f ca="1">IF(AE6&gt;Design!$C$28,Design!$C$28,AE6)</f>
        <v>3.2940895522388054</v>
      </c>
      <c r="AG6" s="237">
        <f t="shared" ref="AG6:AG44" si="12">AG5</f>
        <v>1.1666666666666667</v>
      </c>
      <c r="AH6" s="160">
        <f ca="1">FORECAST(AG6, OFFSET(Design!$C$15:$C$17,MATCH(AG6,Design!$B$15:$B$17,1)-1,0,2), OFFSET(Design!$B$15:$B$17,MATCH(AG6,Design!$B$15:$B$17,1)-1,0,2))+(AQ6-25)*Design!$B$18/1000</f>
        <v>0.32056450666252628</v>
      </c>
      <c r="AI6" s="238">
        <f ca="1">IF(100*(Design!$C$28+AH6+AG6*IF(ISBLANK(Design!$B$40),Constants!$C$6,Design!$B$40)/1000*(1+Constants!$C$29/100*(AR6-25)))/($B6+AH6-AG6*AS6/1000)&gt;Design!$C$35,Design!$C$35,100*(Design!$C$28+AH6+AG6*IF(ISBLANK(Design!$B$40),Constants!$C$6,Design!$B$40)/1000*(1+Constants!$C$29/100*(AR6-25)))/($B6+AH6-AG6*AS6/1000))</f>
        <v>31.414793952886992</v>
      </c>
      <c r="AJ6" s="161">
        <f ca="1">IF(($B6-AG6*IF(ISBLANK(Design!$B$40),Constants!$C$6,Design!$B$40)/1000*(1+Constants!$C$29/100*(AR6-25))-Design!$C$28)/(IF(ISBLANK(Design!$B$39),Design!$B$38,Design!$B$39)/1000000)*AI6/100/(IF(ISBLANK(Design!$B$32),Design!$B$31,Design!$B$32)*1000000)&lt;0,0,($B6-AG6*IF(ISBLANK(Design!$B$40),Constants!$C$6,Design!$B$40)/1000*(1+Constants!$C$29/100*(AR6-25))-Design!$C$28)/(IF(ISBLANK(Design!$B$39),Design!$B$38,Design!$B$39)/1000000)*AI6/100/(IF(ISBLANK(Design!$B$32),Design!$B$31,Design!$B$32)*1000000))</f>
        <v>0.75824246186795696</v>
      </c>
      <c r="AK6" s="161">
        <f>$B6*Constants!$C$18/1000+IF(ISBLANK(Design!$B$32),Design!$B$31,Design!$B$32)*1000000*Constants!$D$22/1000000000*(IF($B6&lt;Constants!$C$21,0,$B6-Constants!$C$21))</f>
        <v>1.6740079999999987E-2</v>
      </c>
      <c r="AL6" s="239">
        <f>$B6*AG6*($B6/(Constants!$C$23*1000000000)*IF(ISBLANK(Design!$B$32),Design!$B$31,Design!$B$32)*1000000/2+$B6/(Constants!$C$24*1000000000)*IF(ISBLANK(Design!$B$32),Design!$B$31,Design!$B$32)*1000000/2)</f>
        <v>9.1550735532407349E-2</v>
      </c>
      <c r="AM6" s="239">
        <f t="shared" ca="1" si="2"/>
        <v>9.5010204330165854E-2</v>
      </c>
      <c r="AN6" s="239">
        <f>Constants!$D$22/1000000000*Constants!$C$21*IF(ISBLANK(Design!$B$32),Design!$B$31,Design!$B$32)*1000000</f>
        <v>1.2499999999999999E-2</v>
      </c>
      <c r="AO6" s="239">
        <f ca="1">SUM(AK6:AN6)</f>
        <v>0.21580101986257322</v>
      </c>
      <c r="AP6" s="239">
        <f t="shared" ca="1" si="9"/>
        <v>0.25650313197647245</v>
      </c>
      <c r="AQ6" s="240">
        <f ca="1">$A6+AP6*Design!$B$19</f>
        <v>99.620678522658935</v>
      </c>
      <c r="AR6" s="240">
        <f ca="1">AO6*Design!$C$12+$A6</f>
        <v>92.337234675327494</v>
      </c>
      <c r="AS6" s="240">
        <f ca="1">Constants!$D$19+Constants!$D$19*Constants!$C$20/100*(AR6-25)</f>
        <v>214.64374528831439</v>
      </c>
      <c r="AT6" s="239">
        <f ca="1">(1-Constants!$C$17/1000000000*Design!$B$32*1000000) * ($B6+AH6-AG6*AS6/1000) - (AH6+AG6*(1+($A6-25)*Constants!$C$29/100)*IF(ISBLANK(Design!$B$40),Constants!$C$6/1000,Design!$B$40/1000))</f>
        <v>10.670739623638987</v>
      </c>
      <c r="AU6" s="342">
        <f ca="1">IF(AT6&gt;Design!$C$28,Design!$C$28,AT6)</f>
        <v>3.2940895522388054</v>
      </c>
    </row>
    <row r="7" spans="1:47" s="162" customFormat="1" ht="12.75" customHeight="1" x14ac:dyDescent="0.2">
      <c r="A7" s="154">
        <f>Design!$D$13</f>
        <v>85</v>
      </c>
      <c r="B7" s="155">
        <f t="shared" si="0"/>
        <v>11.294999999999996</v>
      </c>
      <c r="C7" s="156">
        <f t="shared" si="10"/>
        <v>3.5</v>
      </c>
      <c r="D7" s="156">
        <f ca="1">FORECAST(C7, OFFSET(Design!$C$15:$C$17,MATCH(C7,Design!$B$15:$B$17,1)-1,0,2), OFFSET(Design!$B$15:$B$17,MATCH(C7,Design!$B$15:$B$17,1)-1,0,2))+(M7-25)*Design!$B$18/1000</f>
        <v>0.38728916513610129</v>
      </c>
      <c r="E7" s="215">
        <f ca="1">IF(100*(Design!$C$28+D7+C7*IF(ISBLANK(Design!$B$40),Constants!$C$6,Design!$B$40)/1000*(1+Constants!$C$29/100*(N7-25)))/($B7+D7-C7*O7/1000)&gt;Design!$C$35,Design!$C$35,100*(Design!$C$28+D7+C7*IF(ISBLANK(Design!$B$40),Constants!$C$6,Design!$B$40)/1000*(1+Constants!$C$29/100*(N7-25)))/($B7+D7-C7*O7/1000))</f>
        <v>35.01409142494655</v>
      </c>
      <c r="F7" s="157">
        <f ca="1">IF(($B7-C7*IF(ISBLANK(Design!$B$40),Constants!$C$6,Design!$B$40)/1000*(1+Constants!$C$29/100*(N7-25))-Design!$C$28)/(IF(ISBLANK(Design!$B$39),Design!$B$38,Design!$B$39)/1000000)*E7/100/(IF(ISBLANK(Design!$B$32),Design!$B$31,Design!$B$32)*1000000)&lt;0, 0, ($B7-C7*IF(ISBLANK(Design!$B$40),Constants!$C$6,Design!$B$40)/1000*(1+Constants!$C$29/100*(N7-25))-Design!$C$28)/(IF(ISBLANK(Design!$B$39),Design!$B$38,Design!$B$39)/1000000)*E7/100/(IF(ISBLANK(Design!$B$32),Design!$B$31,Design!$B$32)*1000000))</f>
        <v>0.81371602334774318</v>
      </c>
      <c r="G7" s="207">
        <f>$B7*Constants!$C$18/1000+IF(ISBLANK(Design!$B$32),Design!$B$31,Design!$B$32)*1000000*Constants!$D$22/1000000000*(IF($B7&lt;Constants!$C$21,0,$B7-Constants!$C$21))</f>
        <v>1.6144119999999991E-2</v>
      </c>
      <c r="H7" s="207">
        <f>B7*C7*(B7/(Constants!$C$23*1000000000)*IF(ISBLANK(Design!$B$32),Design!$B$31,Design!$B$32)*1000000/2+B7/(Constants!$C$24*1000000000)*IF(ISBLANK(Design!$B$32),Design!$B$31,Design!$B$32)*1000000/2)</f>
        <v>0.26357058984374981</v>
      </c>
      <c r="I7" s="207">
        <f t="shared" ca="1" si="1"/>
        <v>1.0886459350946818</v>
      </c>
      <c r="J7" s="207">
        <f>Constants!$D$22/1000000000*Constants!$C$21*IF(ISBLANK(Design!$B$32),Design!$B$31,Design!$B$32)*1000000</f>
        <v>1.2499999999999999E-2</v>
      </c>
      <c r="K7" s="207">
        <f t="shared" ca="1" si="3"/>
        <v>1.3808606449384315</v>
      </c>
      <c r="L7" s="207">
        <f t="shared" ca="1" si="4"/>
        <v>0.88089183971752105</v>
      </c>
      <c r="M7" s="208">
        <f ca="1">A7+L7*Design!$B$19</f>
        <v>135.2108348638987</v>
      </c>
      <c r="N7" s="208">
        <f ca="1">K7*Design!$C$12+A7</f>
        <v>131.94926192790666</v>
      </c>
      <c r="O7" s="208">
        <f ca="1">Constants!$D$19+Constants!$D$19*Constants!$C$20/100*(N7-25)</f>
        <v>252.67129145079039</v>
      </c>
      <c r="P7" s="207">
        <f ca="1">(1-Constants!$C$17/1000000000*Design!$B$32*1000000) * ($B7+D7-C7*O7/1000) - (D7+C7*(1+($A7-25)*Constants!$C$29/100)*IF(ISBLANK(Design!$B$40),Constants!$C$6/1000,Design!$B$40/1000))</f>
        <v>9.7842474976693126</v>
      </c>
      <c r="Q7" s="213">
        <f ca="1">IF(P7&gt;Design!$C$28,Design!$C$28,P7)</f>
        <v>3.2940895522388054</v>
      </c>
      <c r="R7" s="335">
        <f t="shared" si="11"/>
        <v>2.3333333333333335</v>
      </c>
      <c r="S7" s="158">
        <f ca="1">FORECAST(R7, OFFSET(Design!$C$15:$C$17,MATCH(R7,Design!$B$15:$B$17,1)-1,0,2), OFFSET(Design!$B$15:$B$17,MATCH(R7,Design!$B$15:$B$17,1)-1,0,2))+(AB7-25)*Design!$B$18/1000</f>
        <v>0.37515085556438499</v>
      </c>
      <c r="T7" s="224">
        <f ca="1">IF(100*(Design!$C$28+S7+R7*IF(ISBLANK(Design!$B$40),Constants!$C$6,Design!$B$40)/1000*(1+Constants!$C$29/100*(AC7-25)))/($B7+S7-R7*AD7/1000)&gt;Design!$C$35,Design!$C$35,100*(Design!$C$28+S7+R7*IF(ISBLANK(Design!$B$40),Constants!$C$6,Design!$B$40)/1000*(1+Constants!$C$29/100*(AC7-25)))/($B7+S7-R7*AD7/1000))</f>
        <v>33.495469795236957</v>
      </c>
      <c r="U7" s="159">
        <f ca="1">IF(($B7-R7*IF(ISBLANK(Design!$B$40),Constants!$C$6,Design!$B$40)/1000*(1+Constants!$C$29/100*(AC7-25))-Design!$C$28)/(IF(ISBLANK(Design!$B$39),Design!$B$38,Design!$B$39)/1000000)*T7/100/(IF(ISBLANK(Design!$B$32),Design!$B$31,Design!$B$32)*1000000)&lt;0, 0, ($B7-R7*IF(ISBLANK(Design!$B$40),Constants!$C$6,Design!$B$40)/1000*(1+Constants!$C$29/100*(AC7-25))-Design!$C$28)/(IF(ISBLANK(Design!$B$39),Design!$B$38,Design!$B$39)/1000000)*T7/100/(IF(ISBLANK(Design!$B$32),Design!$B$31,Design!$B$32)*1000000))</f>
        <v>0.78215359090743353</v>
      </c>
      <c r="V7" s="159">
        <f>$B7*Constants!$C$18/1000+IF(ISBLANK(Design!$B$32),Design!$B$31,Design!$B$32)*1000000*Constants!$D$22/1000000000*(IF($B7&lt;Constants!$C$21,0,$B7-Constants!$C$21))</f>
        <v>1.6144119999999991E-2</v>
      </c>
      <c r="W7" s="225">
        <f>B7*R7*(B7/(Constants!$C$23*1000000000)*IF(ISBLANK(Design!$B$32),Design!$B$31,Design!$B$32)*1000000/2+B7/(Constants!$C$24*1000000000)*IF(ISBLANK(Design!$B$32),Design!$B$31,Design!$B$32)*1000000/2)</f>
        <v>0.17571372656249989</v>
      </c>
      <c r="X7" s="225">
        <f t="shared" ca="1" si="5"/>
        <v>0.41962252414630724</v>
      </c>
      <c r="Y7" s="225">
        <f>Constants!$D$22/1000000000*Constants!$C$21*IF(ISBLANK(Design!$B$32),Design!$B$31,Design!$B$32)*1000000</f>
        <v>1.2499999999999999E-2</v>
      </c>
      <c r="Z7" s="225">
        <f t="shared" ca="1" si="6"/>
        <v>0.62398037070880707</v>
      </c>
      <c r="AA7" s="225">
        <f t="shared" ca="1" si="7"/>
        <v>0.58214873278856782</v>
      </c>
      <c r="AB7" s="226">
        <f ca="1">$A7+AA7*Design!$B$19</f>
        <v>118.18247776894836</v>
      </c>
      <c r="AC7" s="226">
        <f ca="1">Z7*Design!$C$12+A7</f>
        <v>106.21533260409944</v>
      </c>
      <c r="AD7" s="226">
        <f ca="1">Constants!$D$19+Constants!$D$19*Constants!$C$20/100*(AC7-25)</f>
        <v>227.96671929993545</v>
      </c>
      <c r="AE7" s="225">
        <f ca="1">(1-Constants!$C$17/1000000000*Design!$B$32*1000000) * ($B7+S7-R7*AD7/1000) - (S7+R7*(1+($A7-25)*Constants!$C$29/100)*IF(ISBLANK(Design!$B$40),Constants!$C$6/1000,Design!$B$40/1000))</f>
        <v>10.148495562773586</v>
      </c>
      <c r="AF7" s="339">
        <f ca="1">IF(AE7&gt;Design!$C$28,Design!$C$28,AE7)</f>
        <v>3.2940895522388054</v>
      </c>
      <c r="AG7" s="237">
        <f t="shared" si="12"/>
        <v>1.1666666666666667</v>
      </c>
      <c r="AH7" s="160">
        <f ca="1">FORECAST(AG7, OFFSET(Design!$C$15:$C$17,MATCH(AG7,Design!$B$15:$B$17,1)-1,0,2), OFFSET(Design!$B$15:$B$17,MATCH(AG7,Design!$B$15:$B$17,1)-1,0,2))+(AQ7-25)*Design!$B$18/1000</f>
        <v>0.32069708917653822</v>
      </c>
      <c r="AI7" s="238">
        <f ca="1">IF(100*(Design!$C$28+AH7+AG7*IF(ISBLANK(Design!$B$40),Constants!$C$6,Design!$B$40)/1000*(1+Constants!$C$29/100*(AR7-25)))/($B7+AH7-AG7*AS7/1000)&gt;Design!$C$35,Design!$C$35,100*(Design!$C$28+AH7+AG7*IF(ISBLANK(Design!$B$40),Constants!$C$6,Design!$B$40)/1000*(1+Constants!$C$29/100*(AR7-25)))/($B7+AH7-AG7*AS7/1000))</f>
        <v>32.06483228375798</v>
      </c>
      <c r="AJ7" s="161">
        <f ca="1">IF(($B7-AG7*IF(ISBLANK(Design!$B$40),Constants!$C$6,Design!$B$40)/1000*(1+Constants!$C$29/100*(AR7-25))-Design!$C$28)/(IF(ISBLANK(Design!$B$39),Design!$B$38,Design!$B$39)/1000000)*AI7/100/(IF(ISBLANK(Design!$B$32),Design!$B$31,Design!$B$32)*1000000)&lt;0,0,($B7-AG7*IF(ISBLANK(Design!$B$40),Constants!$C$6,Design!$B$40)/1000*(1+Constants!$C$29/100*(AR7-25))-Design!$C$28)/(IF(ISBLANK(Design!$B$39),Design!$B$38,Design!$B$39)/1000000)*AI7/100/(IF(ISBLANK(Design!$B$32),Design!$B$31,Design!$B$32)*1000000))</f>
        <v>0.75177034993986269</v>
      </c>
      <c r="AK7" s="161">
        <f>$B7*Constants!$C$18/1000+IF(ISBLANK(Design!$B$32),Design!$B$31,Design!$B$32)*1000000*Constants!$D$22/1000000000*(IF($B7&lt;Constants!$C$21,0,$B7-Constants!$C$21))</f>
        <v>1.6144119999999991E-2</v>
      </c>
      <c r="AL7" s="239">
        <f>$B7*AG7*($B7/(Constants!$C$23*1000000000)*IF(ISBLANK(Design!$B$32),Design!$B$31,Design!$B$32)*1000000/2+$B7/(Constants!$C$24*1000000000)*IF(ISBLANK(Design!$B$32),Design!$B$31,Design!$B$32)*1000000/2)</f>
        <v>8.7856863281249947E-2</v>
      </c>
      <c r="AM7" s="239">
        <f t="shared" ca="1" si="2"/>
        <v>9.6884513028231783E-2</v>
      </c>
      <c r="AN7" s="239">
        <f>Constants!$D$22/1000000000*Constants!$C$21*IF(ISBLANK(Design!$B$32),Design!$B$31,Design!$B$32)*1000000</f>
        <v>1.2499999999999999E-2</v>
      </c>
      <c r="AO7" s="239">
        <f t="shared" ref="AO7:AO44" ca="1" si="13">SUM(AK7:AN7)</f>
        <v>0.21338549630948173</v>
      </c>
      <c r="AP7" s="239">
        <f t="shared" ca="1" si="9"/>
        <v>0.25417712295871875</v>
      </c>
      <c r="AQ7" s="240">
        <f ca="1">$A7+AP7*Design!$B$19</f>
        <v>99.488096008646963</v>
      </c>
      <c r="AR7" s="240">
        <f ca="1">AO7*Design!$C$12+$A7</f>
        <v>92.255106874522383</v>
      </c>
      <c r="AS7" s="240">
        <f ca="1">Constants!$D$19+Constants!$D$19*Constants!$C$20/100*(AR7-25)</f>
        <v>214.56490259954148</v>
      </c>
      <c r="AT7" s="239">
        <f ca="1">(1-Constants!$C$17/1000000000*Design!$B$32*1000000) * ($B7+AH7-AG7*AS7/1000) - (AH7+AG7*(1+($A7-25)*Constants!$C$29/100)*IF(ISBLANK(Design!$B$40),Constants!$C$6/1000,Design!$B$40/1000))</f>
        <v>10.447570378493344</v>
      </c>
      <c r="AU7" s="342">
        <f ca="1">IF(AT7&gt;Design!$C$28,Design!$C$28,AT7)</f>
        <v>3.2940895522388054</v>
      </c>
    </row>
    <row r="8" spans="1:47" s="162" customFormat="1" ht="12.75" customHeight="1" x14ac:dyDescent="0.2">
      <c r="A8" s="154">
        <f>Design!$D$13</f>
        <v>85</v>
      </c>
      <c r="B8" s="155">
        <f t="shared" si="0"/>
        <v>11.059999999999997</v>
      </c>
      <c r="C8" s="156">
        <f t="shared" si="10"/>
        <v>3.5</v>
      </c>
      <c r="D8" s="156">
        <f ca="1">FORECAST(C8, OFFSET(Design!$C$15:$C$17,MATCH(C8,Design!$B$15:$B$17,1)-1,0,2), OFFSET(Design!$B$15:$B$17,MATCH(C8,Design!$B$15:$B$17,1)-1,0,2))+(M8-25)*Design!$B$18/1000</f>
        <v>0.38782991156026531</v>
      </c>
      <c r="E8" s="215">
        <f ca="1">IF(100*(Design!$C$28+D8+C8*IF(ISBLANK(Design!$B$40),Constants!$C$6,Design!$B$40)/1000*(1+Constants!$C$29/100*(N8-25)))/($B8+D8-C8*O8/1000)&gt;Design!$C$35,Design!$C$35,100*(Design!$C$28+D8+C8*IF(ISBLANK(Design!$B$40),Constants!$C$6,Design!$B$40)/1000*(1+Constants!$C$29/100*(N8-25)))/($B8+D8-C8*O8/1000))</f>
        <v>35.80359148086319</v>
      </c>
      <c r="F8" s="157">
        <f ca="1">IF(($B8-C8*IF(ISBLANK(Design!$B$40),Constants!$C$6,Design!$B$40)/1000*(1+Constants!$C$29/100*(N8-25))-Design!$C$28)/(IF(ISBLANK(Design!$B$39),Design!$B$38,Design!$B$39)/1000000)*E8/100/(IF(ISBLANK(Design!$B$32),Design!$B$31,Design!$B$32)*1000000)&lt;0, 0, ($B8-C8*IF(ISBLANK(Design!$B$40),Constants!$C$6,Design!$B$40)/1000*(1+Constants!$C$29/100*(N8-25))-Design!$C$28)/(IF(ISBLANK(Design!$B$39),Design!$B$38,Design!$B$39)/1000000)*E8/100/(IF(ISBLANK(Design!$B$32),Design!$B$31,Design!$B$32)*1000000))</f>
        <v>0.80730216944238264</v>
      </c>
      <c r="G8" s="207">
        <f>$B8*Constants!$C$18/1000+IF(ISBLANK(Design!$B$32),Design!$B$31,Design!$B$32)*1000000*Constants!$D$22/1000000000*(IF($B8&lt;Constants!$C$21,0,$B8-Constants!$C$21))</f>
        <v>1.5548159999999993E-2</v>
      </c>
      <c r="H8" s="207">
        <f>B8*C8*(B8/(Constants!$C$23*1000000000)*IF(ISBLANK(Design!$B$32),Design!$B$31,Design!$B$32)*1000000/2+B8/(Constants!$C$24*1000000000)*IF(ISBLANK(Design!$B$32),Design!$B$31,Design!$B$32)*1000000/2)</f>
        <v>0.25271715972222208</v>
      </c>
      <c r="I8" s="207">
        <f t="shared" ca="1" si="1"/>
        <v>1.1153008439011323</v>
      </c>
      <c r="J8" s="207">
        <f>Constants!$D$22/1000000000*Constants!$C$21*IF(ISBLANK(Design!$B$32),Design!$B$31,Design!$B$32)*1000000</f>
        <v>1.2499999999999999E-2</v>
      </c>
      <c r="K8" s="207">
        <f t="shared" ca="1" si="3"/>
        <v>1.3960661636233542</v>
      </c>
      <c r="L8" s="207">
        <f t="shared" ca="1" si="4"/>
        <v>0.87140506034622223</v>
      </c>
      <c r="M8" s="208">
        <f ca="1">A8+L8*Design!$B$19</f>
        <v>134.67008843973468</v>
      </c>
      <c r="N8" s="208">
        <f ca="1">K8*Design!$C$12+A8</f>
        <v>132.46624956319403</v>
      </c>
      <c r="O8" s="208">
        <f ca="1">Constants!$D$19+Constants!$D$19*Constants!$C$20/100*(N8-25)</f>
        <v>253.16759958066626</v>
      </c>
      <c r="P8" s="207">
        <f ca="1">(1-Constants!$C$17/1000000000*Design!$B$32*1000000) * ($B8+D8-C8*O8/1000) - (D8+C8*(1+($A8-25)*Constants!$C$29/100)*IF(ISBLANK(Design!$B$40),Constants!$C$6/1000,Design!$B$40/1000))</f>
        <v>9.5593202358162674</v>
      </c>
      <c r="Q8" s="213">
        <f ca="1">IF(P8&gt;Design!$C$28,Design!$C$28,P8)</f>
        <v>3.2940895522388054</v>
      </c>
      <c r="R8" s="335">
        <f t="shared" si="11"/>
        <v>2.3333333333333335</v>
      </c>
      <c r="S8" s="158">
        <f ca="1">FORECAST(R8, OFFSET(Design!$C$15:$C$17,MATCH(R8,Design!$B$15:$B$17,1)-1,0,2), OFFSET(Design!$B$15:$B$17,MATCH(R8,Design!$B$15:$B$17,1)-1,0,2))+(AB8-25)*Design!$B$18/1000</f>
        <v>0.37548317728179115</v>
      </c>
      <c r="T8" s="224">
        <f ca="1">IF(100*(Design!$C$28+S8+R8*IF(ISBLANK(Design!$B$40),Constants!$C$6,Design!$B$40)/1000*(1+Constants!$C$29/100*(AC8-25)))/($B8+S8-R8*AD8/1000)&gt;Design!$C$35,Design!$C$35,100*(Design!$C$28+S8+R8*IF(ISBLANK(Design!$B$40),Constants!$C$6,Design!$B$40)/1000*(1+Constants!$C$29/100*(AC8-25)))/($B8+S8-R8*AD8/1000))</f>
        <v>34.219781479714335</v>
      </c>
      <c r="U8" s="159">
        <f ca="1">IF(($B8-R8*IF(ISBLANK(Design!$B$40),Constants!$C$6,Design!$B$40)/1000*(1+Constants!$C$29/100*(AC8-25))-Design!$C$28)/(IF(ISBLANK(Design!$B$39),Design!$B$38,Design!$B$39)/1000000)*T8/100/(IF(ISBLANK(Design!$B$32),Design!$B$31,Design!$B$32)*1000000)&lt;0, 0, ($B8-R8*IF(ISBLANK(Design!$B$40),Constants!$C$6,Design!$B$40)/1000*(1+Constants!$C$29/100*(AC8-25))-Design!$C$28)/(IF(ISBLANK(Design!$B$39),Design!$B$38,Design!$B$39)/1000000)*T8/100/(IF(ISBLANK(Design!$B$32),Design!$B$31,Design!$B$32)*1000000))</f>
        <v>0.77541431912199921</v>
      </c>
      <c r="V8" s="159">
        <f>$B8*Constants!$C$18/1000+IF(ISBLANK(Design!$B$32),Design!$B$31,Design!$B$32)*1000000*Constants!$D$22/1000000000*(IF($B8&lt;Constants!$C$21,0,$B8-Constants!$C$21))</f>
        <v>1.5548159999999993E-2</v>
      </c>
      <c r="W8" s="225">
        <f>B8*R8*(B8/(Constants!$C$23*1000000000)*IF(ISBLANK(Design!$B$32),Design!$B$31,Design!$B$32)*1000000/2+B8/(Constants!$C$24*1000000000)*IF(ISBLANK(Design!$B$32),Design!$B$31,Design!$B$32)*1000000/2)</f>
        <v>0.1684781064814814</v>
      </c>
      <c r="X8" s="225">
        <f t="shared" ca="1" si="5"/>
        <v>0.42870504499608114</v>
      </c>
      <c r="Y8" s="225">
        <f>Constants!$D$22/1000000000*Constants!$C$21*IF(ISBLANK(Design!$B$32),Design!$B$31,Design!$B$32)*1000000</f>
        <v>1.2499999999999999E-2</v>
      </c>
      <c r="Z8" s="225">
        <f t="shared" ca="1" si="6"/>
        <v>0.6252313114775625</v>
      </c>
      <c r="AA8" s="225">
        <f t="shared" ca="1" si="7"/>
        <v>0.57631852722003896</v>
      </c>
      <c r="AB8" s="226">
        <f ca="1">$A8+AA8*Design!$B$19</f>
        <v>117.85015605154223</v>
      </c>
      <c r="AC8" s="226">
        <f ca="1">Z8*Design!$C$12+A8</f>
        <v>106.25786459023712</v>
      </c>
      <c r="AD8" s="226">
        <f ca="1">Constants!$D$19+Constants!$D$19*Constants!$C$20/100*(AC8-25)</f>
        <v>228.00755000662764</v>
      </c>
      <c r="AE8" s="225">
        <f ca="1">(1-Constants!$C$17/1000000000*Design!$B$32*1000000) * ($B8+S8-R8*AD8/1000) - (S8+R8*(1+($A8-25)*Constants!$C$29/100)*IF(ISBLANK(Design!$B$40),Constants!$C$6/1000,Design!$B$40/1000))</f>
        <v>9.9251384386212163</v>
      </c>
      <c r="AF8" s="339">
        <f ca="1">IF(AE8&gt;Design!$C$28,Design!$C$28,AE8)</f>
        <v>3.2940895522388054</v>
      </c>
      <c r="AG8" s="237">
        <f t="shared" si="12"/>
        <v>1.1666666666666667</v>
      </c>
      <c r="AH8" s="160">
        <f ca="1">FORECAST(AG8, OFFSET(Design!$C$15:$C$17,MATCH(AG8,Design!$B$15:$B$17,1)-1,0,2), OFFSET(Design!$B$15:$B$17,MATCH(AG8,Design!$B$15:$B$17,1)-1,0,2))+(AQ8-25)*Design!$B$18/1000</f>
        <v>0.32083539303621567</v>
      </c>
      <c r="AI8" s="238">
        <f ca="1">IF(100*(Design!$C$28+AH8+AG8*IF(ISBLANK(Design!$B$40),Constants!$C$6,Design!$B$40)/1000*(1+Constants!$C$29/100*(AR8-25)))/($B8+AH8-AG8*AS8/1000)&gt;Design!$C$35,Design!$C$35,100*(Design!$C$28+AH8+AG8*IF(ISBLANK(Design!$B$40),Constants!$C$6,Design!$B$40)/1000*(1+Constants!$C$29/100*(AR8-25)))/($B8+AH8-AG8*AS8/1000))</f>
        <v>32.742349258067328</v>
      </c>
      <c r="AJ8" s="161">
        <f ca="1">IF(($B8-AG8*IF(ISBLANK(Design!$B$40),Constants!$C$6,Design!$B$40)/1000*(1+Constants!$C$29/100*(AR8-25))-Design!$C$28)/(IF(ISBLANK(Design!$B$39),Design!$B$38,Design!$B$39)/1000000)*AI8/100/(IF(ISBLANK(Design!$B$32),Design!$B$31,Design!$B$32)*1000000)&lt;0,0,($B8-AG8*IF(ISBLANK(Design!$B$40),Constants!$C$6,Design!$B$40)/1000*(1+Constants!$C$29/100*(AR8-25))-Design!$C$28)/(IF(ISBLANK(Design!$B$39),Design!$B$38,Design!$B$39)/1000000)*AI8/100/(IF(ISBLANK(Design!$B$32),Design!$B$31,Design!$B$32)*1000000))</f>
        <v>0.745024891323948</v>
      </c>
      <c r="AK8" s="161">
        <f>$B8*Constants!$C$18/1000+IF(ISBLANK(Design!$B$32),Design!$B$31,Design!$B$32)*1000000*Constants!$D$22/1000000000*(IF($B8&lt;Constants!$C$21,0,$B8-Constants!$C$21))</f>
        <v>1.5548159999999993E-2</v>
      </c>
      <c r="AL8" s="239">
        <f>$B8*AG8*($B8/(Constants!$C$23*1000000000)*IF(ISBLANK(Design!$B$32),Design!$B$31,Design!$B$32)*1000000/2+$B8/(Constants!$C$24*1000000000)*IF(ISBLANK(Design!$B$32),Design!$B$31,Design!$B$32)*1000000/2)</f>
        <v>8.4239053240740699E-2</v>
      </c>
      <c r="AM8" s="239">
        <f t="shared" ca="1" si="2"/>
        <v>9.8838545729219546E-2</v>
      </c>
      <c r="AN8" s="239">
        <f>Constants!$D$22/1000000000*Constants!$C$21*IF(ISBLANK(Design!$B$32),Design!$B$31,Design!$B$32)*1000000</f>
        <v>1.2499999999999999E-2</v>
      </c>
      <c r="AO8" s="239">
        <f t="shared" ca="1" si="13"/>
        <v>0.21112575896996025</v>
      </c>
      <c r="AP8" s="239">
        <f t="shared" ca="1" si="9"/>
        <v>0.25175073945560572</v>
      </c>
      <c r="AQ8" s="240">
        <f ca="1">$A8+AP8*Design!$B$19</f>
        <v>99.349792148969527</v>
      </c>
      <c r="AR8" s="240">
        <f ca="1">AO8*Design!$C$12+$A8</f>
        <v>92.178275804978654</v>
      </c>
      <c r="AS8" s="240">
        <f ca="1">Constants!$D$19+Constants!$D$19*Constants!$C$20/100*(AR8-25)</f>
        <v>214.49114477277951</v>
      </c>
      <c r="AT8" s="239">
        <f ca="1">(1-Constants!$C$17/1000000000*Design!$B$32*1000000) * ($B8+AH8-AG8*AS8/1000) - (AH8+AG8*(1+($A8-25)*Constants!$C$29/100)*IF(ISBLANK(Design!$B$40),Constants!$C$6/1000,Design!$B$40/1000))</f>
        <v>10.224395211558354</v>
      </c>
      <c r="AU8" s="342">
        <f ca="1">IF(AT8&gt;Design!$C$28,Design!$C$28,AT8)</f>
        <v>3.2940895522388054</v>
      </c>
    </row>
    <row r="9" spans="1:47" s="162" customFormat="1" ht="12.75" customHeight="1" x14ac:dyDescent="0.2">
      <c r="A9" s="154">
        <f>Design!$D$13</f>
        <v>85</v>
      </c>
      <c r="B9" s="155">
        <f t="shared" si="0"/>
        <v>10.824999999999998</v>
      </c>
      <c r="C9" s="156">
        <f t="shared" si="10"/>
        <v>3.5</v>
      </c>
      <c r="D9" s="156">
        <f ca="1">FORECAST(C9, OFFSET(Design!$C$15:$C$17,MATCH(C9,Design!$B$15:$B$17,1)-1,0,2), OFFSET(Design!$B$15:$B$17,MATCH(C9,Design!$B$15:$B$17,1)-1,0,2))+(M9-25)*Design!$B$18/1000</f>
        <v>0.38839771968476516</v>
      </c>
      <c r="E9" s="215">
        <f ca="1">IF(100*(Design!$C$28+D9+C9*IF(ISBLANK(Design!$B$40),Constants!$C$6,Design!$B$40)/1000*(1+Constants!$C$29/100*(N9-25)))/($B9+D9-C9*O9/1000)&gt;Design!$C$35,Design!$C$35,100*(Design!$C$28+D9+C9*IF(ISBLANK(Design!$B$40),Constants!$C$6,Design!$B$40)/1000*(1+Constants!$C$29/100*(N9-25)))/($B9+D9-C9*O9/1000))</f>
        <v>36.630235993180357</v>
      </c>
      <c r="F9" s="157">
        <f ca="1">IF(($B9-C9*IF(ISBLANK(Design!$B$40),Constants!$C$6,Design!$B$40)/1000*(1+Constants!$C$29/100*(N9-25))-Design!$C$28)/(IF(ISBLANK(Design!$B$39),Design!$B$38,Design!$B$39)/1000000)*E9/100/(IF(ISBLANK(Design!$B$32),Design!$B$31,Design!$B$32)*1000000)&lt;0, 0, ($B9-C9*IF(ISBLANK(Design!$B$40),Constants!$C$6,Design!$B$40)/1000*(1+Constants!$C$29/100*(N9-25))-Design!$C$28)/(IF(ISBLANK(Design!$B$39),Design!$B$38,Design!$B$39)/1000000)*E9/100/(IF(ISBLANK(Design!$B$32),Design!$B$31,Design!$B$32)*1000000))</f>
        <v>0.80060638914293114</v>
      </c>
      <c r="G9" s="207">
        <f>$B9*Constants!$C$18/1000+IF(ISBLANK(Design!$B$32),Design!$B$31,Design!$B$32)*1000000*Constants!$D$22/1000000000*(IF($B9&lt;Constants!$C$21,0,$B9-Constants!$C$21))</f>
        <v>1.4952199999999994E-2</v>
      </c>
      <c r="H9" s="207">
        <f>B9*C9*(B9/(Constants!$C$23*1000000000)*IF(ISBLANK(Design!$B$32),Design!$B$31,Design!$B$32)*1000000/2+B9/(Constants!$C$24*1000000000)*IF(ISBLANK(Design!$B$32),Design!$B$31,Design!$B$32)*1000000/2)</f>
        <v>0.24209191623263876</v>
      </c>
      <c r="I9" s="207">
        <f t="shared" ca="1" si="1"/>
        <v>1.1434595854546381</v>
      </c>
      <c r="J9" s="207">
        <f>Constants!$D$22/1000000000*Constants!$C$21*IF(ISBLANK(Design!$B$32),Design!$B$31,Design!$B$32)*1000000</f>
        <v>1.2499999999999999E-2</v>
      </c>
      <c r="K9" s="207">
        <f t="shared" ca="1" si="3"/>
        <v>1.4130037016872767</v>
      </c>
      <c r="L9" s="207">
        <f t="shared" ca="1" si="4"/>
        <v>0.86144351430236599</v>
      </c>
      <c r="M9" s="208">
        <f ca="1">A9+L9*Design!$B$19</f>
        <v>134.10228031523485</v>
      </c>
      <c r="N9" s="208">
        <f ca="1">K9*Design!$C$12+A9</f>
        <v>133.04212585736741</v>
      </c>
      <c r="O9" s="208">
        <f ca="1">Constants!$D$19+Constants!$D$19*Constants!$C$20/100*(N9-25)</f>
        <v>253.72044082307269</v>
      </c>
      <c r="P9" s="207">
        <f ca="1">(1-Constants!$C$17/1000000000*Design!$B$32*1000000) * ($B9+D9-C9*O9/1000) - (D9+C9*(1+($A9-25)*Constants!$C$29/100)*IF(ISBLANK(Design!$B$40),Constants!$C$6/1000,Design!$B$40/1000))</f>
        <v>9.3342036482790434</v>
      </c>
      <c r="Q9" s="213">
        <f ca="1">IF(P9&gt;Design!$C$28,Design!$C$28,P9)</f>
        <v>3.2940895522388054</v>
      </c>
      <c r="R9" s="335">
        <f t="shared" si="11"/>
        <v>2.3333333333333335</v>
      </c>
      <c r="S9" s="158">
        <f ca="1">FORECAST(R9, OFFSET(Design!$C$15:$C$17,MATCH(R9,Design!$B$15:$B$17,1)-1,0,2), OFFSET(Design!$B$15:$B$17,MATCH(R9,Design!$B$15:$B$17,1)-1,0,2))+(AB9-25)*Design!$B$18/1000</f>
        <v>0.37583087989184083</v>
      </c>
      <c r="T9" s="224">
        <f ca="1">IF(100*(Design!$C$28+S9+R9*IF(ISBLANK(Design!$B$40),Constants!$C$6,Design!$B$40)/1000*(1+Constants!$C$29/100*(AC9-25)))/($B9+S9-R9*AD9/1000)&gt;Design!$C$35,Design!$C$35,100*(Design!$C$28+S9+R9*IF(ISBLANK(Design!$B$40),Constants!$C$6,Design!$B$40)/1000*(1+Constants!$C$29/100*(AC9-25)))/($B9+S9-R9*AD9/1000))</f>
        <v>34.976245364807816</v>
      </c>
      <c r="U9" s="159">
        <f ca="1">IF(($B9-R9*IF(ISBLANK(Design!$B$40),Constants!$C$6,Design!$B$40)/1000*(1+Constants!$C$29/100*(AC9-25))-Design!$C$28)/(IF(ISBLANK(Design!$B$39),Design!$B$38,Design!$B$39)/1000000)*T9/100/(IF(ISBLANK(Design!$B$32),Design!$B$31,Design!$B$32)*1000000)&lt;0, 0, ($B9-R9*IF(ISBLANK(Design!$B$40),Constants!$C$6,Design!$B$40)/1000*(1+Constants!$C$29/100*(AC9-25))-Design!$C$28)/(IF(ISBLANK(Design!$B$39),Design!$B$38,Design!$B$39)/1000000)*T9/100/(IF(ISBLANK(Design!$B$32),Design!$B$31,Design!$B$32)*1000000))</f>
        <v>0.76837972105881802</v>
      </c>
      <c r="V9" s="159">
        <f>$B9*Constants!$C$18/1000+IF(ISBLANK(Design!$B$32),Design!$B$31,Design!$B$32)*1000000*Constants!$D$22/1000000000*(IF($B9&lt;Constants!$C$21,0,$B9-Constants!$C$21))</f>
        <v>1.4952199999999994E-2</v>
      </c>
      <c r="W9" s="225">
        <f>B9*R9*(B9/(Constants!$C$23*1000000000)*IF(ISBLANK(Design!$B$32),Design!$B$31,Design!$B$32)*1000000/2+B9/(Constants!$C$24*1000000000)*IF(ISBLANK(Design!$B$32),Design!$B$31,Design!$B$32)*1000000/2)</f>
        <v>0.16139461082175918</v>
      </c>
      <c r="X9" s="225">
        <f t="shared" ca="1" si="5"/>
        <v>0.43822529261993737</v>
      </c>
      <c r="Y9" s="225">
        <f>Constants!$D$22/1000000000*Constants!$C$21*IF(ISBLANK(Design!$B$32),Design!$B$31,Design!$B$32)*1000000</f>
        <v>1.2499999999999999E-2</v>
      </c>
      <c r="Z9" s="225">
        <f t="shared" ca="1" si="6"/>
        <v>0.6270721034416965</v>
      </c>
      <c r="AA9" s="225">
        <f t="shared" ca="1" si="7"/>
        <v>0.57021848142969378</v>
      </c>
      <c r="AB9" s="226">
        <f ca="1">$A9+AA9*Design!$B$19</f>
        <v>117.50245344149255</v>
      </c>
      <c r="AC9" s="226">
        <f ca="1">Z9*Design!$C$12+A9</f>
        <v>106.32045151701769</v>
      </c>
      <c r="AD9" s="226">
        <f ca="1">Constants!$D$19+Constants!$D$19*Constants!$C$20/100*(AC9-25)</f>
        <v>228.06763345633698</v>
      </c>
      <c r="AE9" s="225">
        <f ca="1">(1-Constants!$C$17/1000000000*Design!$B$32*1000000) * ($B9+S9-R9*AD9/1000) - (S9+R9*(1+($A9-25)*Constants!$C$29/100)*IF(ISBLANK(Design!$B$40),Constants!$C$6/1000,Design!$B$40/1000))</f>
        <v>9.7017378685105236</v>
      </c>
      <c r="AF9" s="339">
        <f ca="1">IF(AE9&gt;Design!$C$28,Design!$C$28,AE9)</f>
        <v>3.2940895522388054</v>
      </c>
      <c r="AG9" s="237">
        <f t="shared" si="12"/>
        <v>1.1666666666666667</v>
      </c>
      <c r="AH9" s="160">
        <f ca="1">FORECAST(AG9, OFFSET(Design!$C$15:$C$17,MATCH(AG9,Design!$B$15:$B$17,1)-1,0,2), OFFSET(Design!$B$15:$B$17,MATCH(AG9,Design!$B$15:$B$17,1)-1,0,2))+(AQ9-25)*Design!$B$18/1000</f>
        <v>0.3209797966203487</v>
      </c>
      <c r="AI9" s="238">
        <f ca="1">IF(100*(Design!$C$28+AH9+AG9*IF(ISBLANK(Design!$B$40),Constants!$C$6,Design!$B$40)/1000*(1+Constants!$C$29/100*(AR9-25)))/($B9+AH9-AG9*AS9/1000)&gt;Design!$C$35,Design!$C$35,100*(Design!$C$28+AH9+AG9*IF(ISBLANK(Design!$B$40),Constants!$C$6,Design!$B$40)/1000*(1+Constants!$C$29/100*(AR9-25)))/($B9+AH9-AG9*AS9/1000))</f>
        <v>33.449124248371291</v>
      </c>
      <c r="AJ9" s="161">
        <f ca="1">IF(($B9-AG9*IF(ISBLANK(Design!$B$40),Constants!$C$6,Design!$B$40)/1000*(1+Constants!$C$29/100*(AR9-25))-Design!$C$28)/(IF(ISBLANK(Design!$B$39),Design!$B$38,Design!$B$39)/1000000)*AI9/100/(IF(ISBLANK(Design!$B$32),Design!$B$31,Design!$B$32)*1000000)&lt;0,0,($B9-AG9*IF(ISBLANK(Design!$B$40),Constants!$C$6,Design!$B$40)/1000*(1+Constants!$C$29/100*(AR9-25))-Design!$C$28)/(IF(ISBLANK(Design!$B$39),Design!$B$38,Design!$B$39)/1000000)*AI9/100/(IF(ISBLANK(Design!$B$32),Design!$B$31,Design!$B$32)*1000000))</f>
        <v>0.73798836378475008</v>
      </c>
      <c r="AK9" s="161">
        <f>$B9*Constants!$C$18/1000+IF(ISBLANK(Design!$B$32),Design!$B$31,Design!$B$32)*1000000*Constants!$D$22/1000000000*(IF($B9&lt;Constants!$C$21,0,$B9-Constants!$C$21))</f>
        <v>1.4952199999999994E-2</v>
      </c>
      <c r="AL9" s="239">
        <f>$B9*AG9*($B9/(Constants!$C$23*1000000000)*IF(ISBLANK(Design!$B$32),Design!$B$31,Design!$B$32)*1000000/2+$B9/(Constants!$C$24*1000000000)*IF(ISBLANK(Design!$B$32),Design!$B$31,Design!$B$32)*1000000/2)</f>
        <v>8.0697305410879591E-2</v>
      </c>
      <c r="AM9" s="239">
        <f t="shared" ca="1" si="2"/>
        <v>0.10087745140854794</v>
      </c>
      <c r="AN9" s="239">
        <f>Constants!$D$22/1000000000*Constants!$C$21*IF(ISBLANK(Design!$B$32),Design!$B$31,Design!$B$32)*1000000</f>
        <v>1.2499999999999999E-2</v>
      </c>
      <c r="AO9" s="239">
        <f t="shared" ca="1" si="13"/>
        <v>0.20902695681942754</v>
      </c>
      <c r="AP9" s="239">
        <f t="shared" ca="1" si="9"/>
        <v>0.24921734324274522</v>
      </c>
      <c r="AQ9" s="240">
        <f ca="1">$A9+AP9*Design!$B$19</f>
        <v>99.205388564836483</v>
      </c>
      <c r="AR9" s="240">
        <f ca="1">AO9*Design!$C$12+$A9</f>
        <v>92.106916531860534</v>
      </c>
      <c r="AS9" s="240">
        <f ca="1">Constants!$D$19+Constants!$D$19*Constants!$C$20/100*(AR9-25)</f>
        <v>214.42263987058612</v>
      </c>
      <c r="AT9" s="239">
        <f ca="1">(1-Constants!$C$17/1000000000*Design!$B$32*1000000) * ($B9+AH9-AG9*AS9/1000) - (AH9+AG9*(1+($A9-25)*Constants!$C$29/100)*IF(ISBLANK(Design!$B$40),Constants!$C$6/1000,Design!$B$40/1000))</f>
        <v>10.001213917645746</v>
      </c>
      <c r="AU9" s="342">
        <f ca="1">IF(AT9&gt;Design!$C$28,Design!$C$28,AT9)</f>
        <v>3.2940895522388054</v>
      </c>
    </row>
    <row r="10" spans="1:47" s="162" customFormat="1" ht="12.75" customHeight="1" x14ac:dyDescent="0.2">
      <c r="A10" s="154">
        <f>Design!$D$13</f>
        <v>85</v>
      </c>
      <c r="B10" s="155">
        <f t="shared" si="0"/>
        <v>10.589999999999998</v>
      </c>
      <c r="C10" s="156">
        <f t="shared" si="10"/>
        <v>3.5</v>
      </c>
      <c r="D10" s="156">
        <f ca="1">FORECAST(C10, OFFSET(Design!$C$15:$C$17,MATCH(C10,Design!$B$15:$B$17,1)-1,0,2), OFFSET(Design!$B$15:$B$17,MATCH(C10,Design!$B$15:$B$17,1)-1,0,2))+(M10-25)*Design!$B$18/1000</f>
        <v>0.38899470627594196</v>
      </c>
      <c r="E10" s="215">
        <f ca="1">IF(100*(Design!$C$28+D10+C10*IF(ISBLANK(Design!$B$40),Constants!$C$6,Design!$B$40)/1000*(1+Constants!$C$29/100*(N10-25)))/($B10+D10-C10*O10/1000)&gt;Design!$C$35,Design!$C$35,100*(Design!$C$28+D10+C10*IF(ISBLANK(Design!$B$40),Constants!$C$6,Design!$B$40)/1000*(1+Constants!$C$29/100*(N10-25)))/($B10+D10-C10*O10/1000))</f>
        <v>37.496757550019026</v>
      </c>
      <c r="F10" s="157">
        <f ca="1">IF(($B10-C10*IF(ISBLANK(Design!$B$40),Constants!$C$6,Design!$B$40)/1000*(1+Constants!$C$29/100*(N10-25))-Design!$C$28)/(IF(ISBLANK(Design!$B$39),Design!$B$38,Design!$B$39)/1000000)*E10/100/(IF(ISBLANK(Design!$B$32),Design!$B$31,Design!$B$32)*1000000)&lt;0, 0, ($B10-C10*IF(ISBLANK(Design!$B$40),Constants!$C$6,Design!$B$40)/1000*(1+Constants!$C$29/100*(N10-25))-Design!$C$28)/(IF(ISBLANK(Design!$B$39),Design!$B$38,Design!$B$39)/1000000)*E10/100/(IF(ISBLANK(Design!$B$32),Design!$B$31,Design!$B$32)*1000000))</f>
        <v>0.79360919364131477</v>
      </c>
      <c r="G10" s="207">
        <f>$B10*Constants!$C$18/1000+IF(ISBLANK(Design!$B$32),Design!$B$31,Design!$B$32)*1000000*Constants!$D$22/1000000000*(IF($B10&lt;Constants!$C$21,0,$B10-Constants!$C$21))</f>
        <v>1.4356239999999996E-2</v>
      </c>
      <c r="H10" s="207">
        <f>B10*C10*(B10/(Constants!$C$23*1000000000)*IF(ISBLANK(Design!$B$32),Design!$B$31,Design!$B$32)*1000000/2+B10/(Constants!$C$24*1000000000)*IF(ISBLANK(Design!$B$32),Design!$B$31,Design!$B$32)*1000000/2)</f>
        <v>0.2316948593749999</v>
      </c>
      <c r="I10" s="207">
        <f t="shared" ca="1" si="1"/>
        <v>1.1732512207398644</v>
      </c>
      <c r="J10" s="207">
        <f>Constants!$D$22/1000000000*Constants!$C$21*IF(ISBLANK(Design!$B$32),Design!$B$31,Design!$B$32)*1000000</f>
        <v>1.2499999999999999E-2</v>
      </c>
      <c r="K10" s="207">
        <f t="shared" ca="1" si="3"/>
        <v>1.4318023201148642</v>
      </c>
      <c r="L10" s="207">
        <f t="shared" ca="1" si="4"/>
        <v>0.85097006533435182</v>
      </c>
      <c r="M10" s="208">
        <f ca="1">A10+L10*Design!$B$19</f>
        <v>133.50529372405805</v>
      </c>
      <c r="N10" s="208">
        <f ca="1">K10*Design!$C$12+A10</f>
        <v>133.68127888390538</v>
      </c>
      <c r="O10" s="208">
        <f ca="1">Constants!$D$19+Constants!$D$19*Constants!$C$20/100*(N10-25)</f>
        <v>254.33402772854916</v>
      </c>
      <c r="P10" s="207">
        <f ca="1">(1-Constants!$C$17/1000000000*Design!$B$32*1000000) * ($B10+D10-C10*O10/1000) - (D10+C10*(1+($A10-25)*Constants!$C$29/100)*IF(ISBLANK(Design!$B$40),Constants!$C$6/1000,Design!$B$40/1000))</f>
        <v>9.1088836224887721</v>
      </c>
      <c r="Q10" s="213">
        <f ca="1">IF(P10&gt;Design!$C$28,Design!$C$28,P10)</f>
        <v>3.2940895522388054</v>
      </c>
      <c r="R10" s="335">
        <f t="shared" si="11"/>
        <v>2.3333333333333335</v>
      </c>
      <c r="S10" s="158">
        <f ca="1">FORECAST(R10, OFFSET(Design!$C$15:$C$17,MATCH(R10,Design!$B$15:$B$17,1)-1,0,2), OFFSET(Design!$B$15:$B$17,MATCH(R10,Design!$B$15:$B$17,1)-1,0,2))+(AB10-25)*Design!$B$18/1000</f>
        <v>0.37619505856182461</v>
      </c>
      <c r="T10" s="224">
        <f ca="1">IF(100*(Design!$C$28+S10+R10*IF(ISBLANK(Design!$B$40),Constants!$C$6,Design!$B$40)/1000*(1+Constants!$C$29/100*(AC10-25)))/($B10+S10-R10*AD10/1000)&gt;Design!$C$35,Design!$C$35,100*(Design!$C$28+S10+R10*IF(ISBLANK(Design!$B$40),Constants!$C$6,Design!$B$40)/1000*(1+Constants!$C$29/100*(AC10-25)))/($B10+S10-R10*AD10/1000))</f>
        <v>35.767055362359855</v>
      </c>
      <c r="U10" s="159">
        <f ca="1">IF(($B10-R10*IF(ISBLANK(Design!$B$40),Constants!$C$6,Design!$B$40)/1000*(1+Constants!$C$29/100*(AC10-25))-Design!$C$28)/(IF(ISBLANK(Design!$B$39),Design!$B$38,Design!$B$39)/1000000)*T10/100/(IF(ISBLANK(Design!$B$32),Design!$B$31,Design!$B$32)*1000000)&lt;0, 0, ($B10-R10*IF(ISBLANK(Design!$B$40),Constants!$C$6,Design!$B$40)/1000*(1+Constants!$C$29/100*(AC10-25))-Design!$C$28)/(IF(ISBLANK(Design!$B$39),Design!$B$38,Design!$B$39)/1000000)*T10/100/(IF(ISBLANK(Design!$B$32),Design!$B$31,Design!$B$32)*1000000))</f>
        <v>0.76102976028288427</v>
      </c>
      <c r="V10" s="159">
        <f>$B10*Constants!$C$18/1000+IF(ISBLANK(Design!$B$32),Design!$B$31,Design!$B$32)*1000000*Constants!$D$22/1000000000*(IF($B10&lt;Constants!$C$21,0,$B10-Constants!$C$21))</f>
        <v>1.4356239999999996E-2</v>
      </c>
      <c r="W10" s="225">
        <f>B10*R10*(B10/(Constants!$C$23*1000000000)*IF(ISBLANK(Design!$B$32),Design!$B$31,Design!$B$32)*1000000/2+B10/(Constants!$C$24*1000000000)*IF(ISBLANK(Design!$B$32),Design!$B$31,Design!$B$32)*1000000/2)</f>
        <v>0.15446323958333327</v>
      </c>
      <c r="X10" s="225">
        <f t="shared" ca="1" si="5"/>
        <v>0.44821501379264939</v>
      </c>
      <c r="Y10" s="225">
        <f>Constants!$D$22/1000000000*Constants!$C$21*IF(ISBLANK(Design!$B$32),Design!$B$31,Design!$B$32)*1000000</f>
        <v>1.2499999999999999E-2</v>
      </c>
      <c r="Z10" s="225">
        <f t="shared" ca="1" si="6"/>
        <v>0.62953449337598255</v>
      </c>
      <c r="AA10" s="225">
        <f t="shared" ca="1" si="7"/>
        <v>0.5638293819562944</v>
      </c>
      <c r="AB10" s="226">
        <f ca="1">$A10+AA10*Design!$B$19</f>
        <v>117.13827477150878</v>
      </c>
      <c r="AC10" s="226">
        <f ca="1">Z10*Design!$C$12+A10</f>
        <v>106.4041727747834</v>
      </c>
      <c r="AD10" s="226">
        <f ca="1">Constants!$D$19+Constants!$D$19*Constants!$C$20/100*(AC10-25)</f>
        <v>228.14800586379206</v>
      </c>
      <c r="AE10" s="225">
        <f ca="1">(1-Constants!$C$17/1000000000*Design!$B$32*1000000) * ($B10+S10-R10*AD10/1000) - (S10+R10*(1+($A10-25)*Constants!$C$29/100)*IF(ISBLANK(Design!$B$40),Constants!$C$6/1000,Design!$B$40/1000))</f>
        <v>9.478291500740502</v>
      </c>
      <c r="AF10" s="339">
        <f ca="1">IF(AE10&gt;Design!$C$28,Design!$C$28,AE10)</f>
        <v>3.2940895522388054</v>
      </c>
      <c r="AG10" s="237">
        <f t="shared" si="12"/>
        <v>1.1666666666666667</v>
      </c>
      <c r="AH10" s="160">
        <f ca="1">FORECAST(AG10, OFFSET(Design!$C$15:$C$17,MATCH(AG10,Design!$B$15:$B$17,1)-1,0,2), OFFSET(Design!$B$15:$B$17,MATCH(AG10,Design!$B$15:$B$17,1)-1,0,2))+(AQ10-25)*Design!$B$18/1000</f>
        <v>0.32113071241547475</v>
      </c>
      <c r="AI10" s="238">
        <f ca="1">IF(100*(Design!$C$28+AH10+AG10*IF(ISBLANK(Design!$B$40),Constants!$C$6,Design!$B$40)/1000*(1+Constants!$C$29/100*(AR10-25)))/($B10+AH10-AG10*AS10/1000)&gt;Design!$C$35,Design!$C$35,100*(Design!$C$28+AH10+AG10*IF(ISBLANK(Design!$B$40),Constants!$C$6,Design!$B$40)/1000*(1+Constants!$C$29/100*(AR10-25)))/($B10+AH10-AG10*AS10/1000))</f>
        <v>34.187093600010485</v>
      </c>
      <c r="AJ10" s="161">
        <f ca="1">IF(($B10-AG10*IF(ISBLANK(Design!$B$40),Constants!$C$6,Design!$B$40)/1000*(1+Constants!$C$29/100*(AR10-25))-Design!$C$28)/(IF(ISBLANK(Design!$B$39),Design!$B$38,Design!$B$39)/1000000)*AI10/100/(IF(ISBLANK(Design!$B$32),Design!$B$31,Design!$B$32)*1000000)&lt;0,0,($B10-AG10*IF(ISBLANK(Design!$B$40),Constants!$C$6,Design!$B$40)/1000*(1+Constants!$C$29/100*(AR10-25))-Design!$C$28)/(IF(ISBLANK(Design!$B$39),Design!$B$38,Design!$B$39)/1000000)*AI10/100/(IF(ISBLANK(Design!$B$32),Design!$B$31,Design!$B$32)*1000000))</f>
        <v>0.73064148005332319</v>
      </c>
      <c r="AK10" s="161">
        <f>$B10*Constants!$C$18/1000+IF(ISBLANK(Design!$B$32),Design!$B$31,Design!$B$32)*1000000*Constants!$D$22/1000000000*(IF($B10&lt;Constants!$C$21,0,$B10-Constants!$C$21))</f>
        <v>1.4356239999999996E-2</v>
      </c>
      <c r="AL10" s="239">
        <f>$B10*AG10*($B10/(Constants!$C$23*1000000000)*IF(ISBLANK(Design!$B$32),Design!$B$31,Design!$B$32)*1000000/2+$B10/(Constants!$C$24*1000000000)*IF(ISBLANK(Design!$B$32),Design!$B$31,Design!$B$32)*1000000/2)</f>
        <v>7.7231619791666636E-2</v>
      </c>
      <c r="AM10" s="239">
        <f t="shared" ca="1" si="2"/>
        <v>0.10300683515311755</v>
      </c>
      <c r="AN10" s="239">
        <f>Constants!$D$22/1000000000*Constants!$C$21*IF(ISBLANK(Design!$B$32),Design!$B$31,Design!$B$32)*1000000</f>
        <v>1.2499999999999999E-2</v>
      </c>
      <c r="AO10" s="239">
        <f t="shared" ca="1" si="13"/>
        <v>0.20709469494478419</v>
      </c>
      <c r="AP10" s="239">
        <f t="shared" ca="1" si="9"/>
        <v>0.24656969771421855</v>
      </c>
      <c r="AQ10" s="240">
        <f ca="1">$A10+AP10*Design!$B$19</f>
        <v>99.054472769710458</v>
      </c>
      <c r="AR10" s="240">
        <f ca="1">AO10*Design!$C$12+$A10</f>
        <v>92.041219628122661</v>
      </c>
      <c r="AS10" s="240">
        <f ca="1">Constants!$D$19+Constants!$D$19*Constants!$C$20/100*(AR10-25)</f>
        <v>214.35957084299775</v>
      </c>
      <c r="AT10" s="239">
        <f ca="1">(1-Constants!$C$17/1000000000*Design!$B$32*1000000) * ($B10+AH10-AG10*AS10/1000) - (AH10+AG10*(1+($A10-25)*Constants!$C$29/100)*IF(ISBLANK(Design!$B$40),Constants!$C$6/1000,Design!$B$40/1000))</f>
        <v>9.7780262733615686</v>
      </c>
      <c r="AU10" s="342">
        <f ca="1">IF(AT10&gt;Design!$C$28,Design!$C$28,AT10)</f>
        <v>3.2940895522388054</v>
      </c>
    </row>
    <row r="11" spans="1:47" s="162" customFormat="1" ht="12.75" customHeight="1" x14ac:dyDescent="0.2">
      <c r="A11" s="154">
        <f>Design!$D$13</f>
        <v>85</v>
      </c>
      <c r="B11" s="155">
        <f t="shared" si="0"/>
        <v>10.354999999999999</v>
      </c>
      <c r="C11" s="156">
        <f t="shared" si="10"/>
        <v>3.5</v>
      </c>
      <c r="D11" s="156">
        <f ca="1">FORECAST(C11, OFFSET(Design!$C$15:$C$17,MATCH(C11,Design!$B$15:$B$17,1)-1,0,2), OFFSET(Design!$B$15:$B$17,MATCH(C11,Design!$B$15:$B$17,1)-1,0,2))+(M11-25)*Design!$B$18/1000</f>
        <v>0.38962321903358899</v>
      </c>
      <c r="E11" s="215">
        <f ca="1">IF(100*(Design!$C$28+D11+C11*IF(ISBLANK(Design!$B$40),Constants!$C$6,Design!$B$40)/1000*(1+Constants!$C$29/100*(N11-25)))/($B11+D11-C11*O11/1000)&gt;Design!$C$35,Design!$C$35,100*(Design!$C$28+D11+C11*IF(ISBLANK(Design!$B$40),Constants!$C$6,Design!$B$40)/1000*(1+Constants!$C$29/100*(N11-25)))/($B11+D11-C11*O11/1000))</f>
        <v>38.406169660900169</v>
      </c>
      <c r="F11" s="157">
        <f ca="1">IF(($B11-C11*IF(ISBLANK(Design!$B$40),Constants!$C$6,Design!$B$40)/1000*(1+Constants!$C$29/100*(N11-25))-Design!$C$28)/(IF(ISBLANK(Design!$B$39),Design!$B$38,Design!$B$39)/1000000)*E11/100/(IF(ISBLANK(Design!$B$32),Design!$B$31,Design!$B$32)*1000000)&lt;0, 0, ($B11-C11*IF(ISBLANK(Design!$B$40),Constants!$C$6,Design!$B$40)/1000*(1+Constants!$C$29/100*(N11-25))-Design!$C$28)/(IF(ISBLANK(Design!$B$39),Design!$B$38,Design!$B$39)/1000000)*E11/100/(IF(ISBLANK(Design!$B$32),Design!$B$31,Design!$B$32)*1000000))</f>
        <v>0.78628924465958261</v>
      </c>
      <c r="G11" s="207">
        <f>$B11*Constants!$C$18/1000+IF(ISBLANK(Design!$B$32),Design!$B$31,Design!$B$32)*1000000*Constants!$D$22/1000000000*(IF($B11&lt;Constants!$C$21,0,$B11-Constants!$C$21))</f>
        <v>1.3760279999999996E-2</v>
      </c>
      <c r="H11" s="207">
        <f>B11*C11*(B11/(Constants!$C$23*1000000000)*IF(ISBLANK(Design!$B$32),Design!$B$31,Design!$B$32)*1000000/2+B11/(Constants!$C$24*1000000000)*IF(ISBLANK(Design!$B$32),Design!$B$31,Design!$B$32)*1000000/2)</f>
        <v>0.22152598914930546</v>
      </c>
      <c r="I11" s="207">
        <f t="shared" ca="1" si="1"/>
        <v>1.204820242325799</v>
      </c>
      <c r="J11" s="207">
        <f>Constants!$D$22/1000000000*Constants!$C$21*IF(ISBLANK(Design!$B$32),Design!$B$31,Design!$B$32)*1000000</f>
        <v>1.2499999999999999E-2</v>
      </c>
      <c r="K11" s="207">
        <f t="shared" ca="1" si="3"/>
        <v>1.4526065114751043</v>
      </c>
      <c r="L11" s="207">
        <f t="shared" ca="1" si="4"/>
        <v>0.83994352572650843</v>
      </c>
      <c r="M11" s="208">
        <f ca="1">A11+L11*Design!$B$19</f>
        <v>132.87678096641099</v>
      </c>
      <c r="N11" s="208">
        <f ca="1">K11*Design!$C$12+A11</f>
        <v>134.38862139015356</v>
      </c>
      <c r="O11" s="208">
        <f ca="1">Constants!$D$19+Constants!$D$19*Constants!$C$20/100*(N11-25)</f>
        <v>255.01307653454739</v>
      </c>
      <c r="P11" s="207">
        <f ca="1">(1-Constants!$C$17/1000000000*Design!$B$32*1000000) * ($B11+D11-C11*O11/1000) - (D11+C11*(1+($A11-25)*Constants!$C$29/100)*IF(ISBLANK(Design!$B$40),Constants!$C$6/1000,Design!$B$40/1000))</f>
        <v>8.88334435957095</v>
      </c>
      <c r="Q11" s="213">
        <f ca="1">IF(P11&gt;Design!$C$28,Design!$C$28,P11)</f>
        <v>3.2940895522388054</v>
      </c>
      <c r="R11" s="335">
        <f t="shared" si="11"/>
        <v>2.3333333333333335</v>
      </c>
      <c r="S11" s="158">
        <f ca="1">FORECAST(R11, OFFSET(Design!$C$15:$C$17,MATCH(R11,Design!$B$15:$B$17,1)-1,0,2), OFFSET(Design!$B$15:$B$17,MATCH(R11,Design!$B$15:$B$17,1)-1,0,2))+(AB11-25)*Design!$B$18/1000</f>
        <v>0.37657691520651715</v>
      </c>
      <c r="T11" s="224">
        <f ca="1">IF(100*(Design!$C$28+S11+R11*IF(ISBLANK(Design!$B$40),Constants!$C$6,Design!$B$40)/1000*(1+Constants!$C$29/100*(AC11-25)))/($B11+S11-R11*AD11/1000)&gt;Design!$C$35,Design!$C$35,100*(Design!$C$28+S11+R11*IF(ISBLANK(Design!$B$40),Constants!$C$6,Design!$B$40)/1000*(1+Constants!$C$29/100*(AC11-25)))/($B11+S11-R11*AD11/1000))</f>
        <v>36.594610168034734</v>
      </c>
      <c r="U11" s="159">
        <f ca="1">IF(($B11-R11*IF(ISBLANK(Design!$B$40),Constants!$C$6,Design!$B$40)/1000*(1+Constants!$C$29/100*(AC11-25))-Design!$C$28)/(IF(ISBLANK(Design!$B$39),Design!$B$38,Design!$B$39)/1000000)*T11/100/(IF(ISBLANK(Design!$B$32),Design!$B$31,Design!$B$32)*1000000)&lt;0, 0, ($B11-R11*IF(ISBLANK(Design!$B$40),Constants!$C$6,Design!$B$40)/1000*(1+Constants!$C$29/100*(AC11-25))-Design!$C$28)/(IF(ISBLANK(Design!$B$39),Design!$B$38,Design!$B$39)/1000000)*T11/100/(IF(ISBLANK(Design!$B$32),Design!$B$31,Design!$B$32)*1000000))</f>
        <v>0.75334254393181577</v>
      </c>
      <c r="V11" s="159">
        <f>$B11*Constants!$C$18/1000+IF(ISBLANK(Design!$B$32),Design!$B$31,Design!$B$32)*1000000*Constants!$D$22/1000000000*(IF($B11&lt;Constants!$C$21,0,$B11-Constants!$C$21))</f>
        <v>1.3760279999999996E-2</v>
      </c>
      <c r="W11" s="225">
        <f>B11*R11*(B11/(Constants!$C$23*1000000000)*IF(ISBLANK(Design!$B$32),Design!$B$31,Design!$B$32)*1000000/2+B11/(Constants!$C$24*1000000000)*IF(ISBLANK(Design!$B$32),Design!$B$31,Design!$B$32)*1000000/2)</f>
        <v>0.14768399276620367</v>
      </c>
      <c r="X11" s="225">
        <f t="shared" ca="1" si="5"/>
        <v>0.45870911300069267</v>
      </c>
      <c r="Y11" s="225">
        <f>Constants!$D$22/1000000000*Constants!$C$21*IF(ISBLANK(Design!$B$32),Design!$B$31,Design!$B$32)*1000000</f>
        <v>1.2499999999999999E-2</v>
      </c>
      <c r="Z11" s="225">
        <f t="shared" ca="1" si="6"/>
        <v>0.63265338576689634</v>
      </c>
      <c r="AA11" s="225">
        <f t="shared" ca="1" si="7"/>
        <v>0.55713014257572346</v>
      </c>
      <c r="AB11" s="226">
        <f ca="1">$A11+AA11*Design!$B$19</f>
        <v>116.75641812681624</v>
      </c>
      <c r="AC11" s="226">
        <f ca="1">Z11*Design!$C$12+A11</f>
        <v>106.51021511607448</v>
      </c>
      <c r="AD11" s="226">
        <f ca="1">Constants!$D$19+Constants!$D$19*Constants!$C$20/100*(AC11-25)</f>
        <v>228.2498065114315</v>
      </c>
      <c r="AE11" s="225">
        <f ca="1">(1-Constants!$C$17/1000000000*Design!$B$32*1000000) * ($B11+S11-R11*AD11/1000) - (S11+R11*(1+($A11-25)*Constants!$C$29/100)*IF(ISBLANK(Design!$B$40),Constants!$C$6/1000,Design!$B$40/1000))</f>
        <v>9.2547967498059993</v>
      </c>
      <c r="AF11" s="339">
        <f ca="1">IF(AE11&gt;Design!$C$28,Design!$C$28,AE11)</f>
        <v>3.2940895522388054</v>
      </c>
      <c r="AG11" s="237">
        <f t="shared" si="12"/>
        <v>1.1666666666666667</v>
      </c>
      <c r="AH11" s="160">
        <f ca="1">FORECAST(AG11, OFFSET(Design!$C$15:$C$17,MATCH(AG11,Design!$B$15:$B$17,1)-1,0,2), OFFSET(Design!$B$15:$B$17,MATCH(AG11,Design!$B$15:$B$17,1)-1,0,2))+(AQ11-25)*Design!$B$18/1000</f>
        <v>0.32128859094647955</v>
      </c>
      <c r="AI11" s="238">
        <f ca="1">IF(100*(Design!$C$28+AH11+AG11*IF(ISBLANK(Design!$B$40),Constants!$C$6,Design!$B$40)/1000*(1+Constants!$C$29/100*(AR11-25)))/($B11+AH11-AG11*AS11/1000)&gt;Design!$C$35,Design!$C$35,100*(Design!$C$28+AH11+AG11*IF(ISBLANK(Design!$B$40),Constants!$C$6,Design!$B$40)/1000*(1+Constants!$C$29/100*(AR11-25)))/($B11+AH11-AG11*AS11/1000))</f>
        <v>34.958368325554972</v>
      </c>
      <c r="AJ11" s="161">
        <f ca="1">IF(($B11-AG11*IF(ISBLANK(Design!$B$40),Constants!$C$6,Design!$B$40)/1000*(1+Constants!$C$29/100*(AR11-25))-Design!$C$28)/(IF(ISBLANK(Design!$B$39),Design!$B$38,Design!$B$39)/1000000)*AI11/100/(IF(ISBLANK(Design!$B$32),Design!$B$31,Design!$B$32)*1000000)&lt;0,0,($B11-AG11*IF(ISBLANK(Design!$B$40),Constants!$C$6,Design!$B$40)/1000*(1+Constants!$C$29/100*(AR11-25))-Design!$C$28)/(IF(ISBLANK(Design!$B$39),Design!$B$38,Design!$B$39)/1000000)*AI11/100/(IF(ISBLANK(Design!$B$32),Design!$B$31,Design!$B$32)*1000000))</f>
        <v>0.72296321122007456</v>
      </c>
      <c r="AK11" s="161">
        <f>$B11*Constants!$C$18/1000+IF(ISBLANK(Design!$B$32),Design!$B$31,Design!$B$32)*1000000*Constants!$D$22/1000000000*(IF($B11&lt;Constants!$C$21,0,$B11-Constants!$C$21))</f>
        <v>1.3760279999999996E-2</v>
      </c>
      <c r="AL11" s="239">
        <f>$B11*AG11*($B11/(Constants!$C$23*1000000000)*IF(ISBLANK(Design!$B$32),Design!$B$31,Design!$B$32)*1000000/2+$B11/(Constants!$C$24*1000000000)*IF(ISBLANK(Design!$B$32),Design!$B$31,Design!$B$32)*1000000/2)</f>
        <v>7.3841996383101835E-2</v>
      </c>
      <c r="AM11" s="239">
        <f t="shared" ca="1" si="2"/>
        <v>0.10523281017007326</v>
      </c>
      <c r="AN11" s="239">
        <f>Constants!$D$22/1000000000*Constants!$C$21*IF(ISBLANK(Design!$B$32),Design!$B$31,Design!$B$32)*1000000</f>
        <v>1.2499999999999999E-2</v>
      </c>
      <c r="AO11" s="239">
        <f t="shared" ca="1" si="13"/>
        <v>0.20533508655317512</v>
      </c>
      <c r="AP11" s="239">
        <f t="shared" ca="1" si="9"/>
        <v>0.24379989892466086</v>
      </c>
      <c r="AQ11" s="240">
        <f ca="1">$A11+AP11*Design!$B$19</f>
        <v>98.896594238705674</v>
      </c>
      <c r="AR11" s="240">
        <f ca="1">AO11*Design!$C$12+$A11</f>
        <v>91.981392942807958</v>
      </c>
      <c r="AS11" s="240">
        <f ca="1">Constants!$D$19+Constants!$D$19*Constants!$C$20/100*(AR11-25)</f>
        <v>214.30213722509563</v>
      </c>
      <c r="AT11" s="239">
        <f ca="1">(1-Constants!$C$17/1000000000*Design!$B$32*1000000) * ($B11+AH11-AG11*AS11/1000) - (AH11+AG11*(1+($A11-25)*Constants!$C$29/100)*IF(ISBLANK(Design!$B$40),Constants!$C$6/1000,Design!$B$40/1000))</f>
        <v>9.554832035028193</v>
      </c>
      <c r="AU11" s="342">
        <f ca="1">IF(AT11&gt;Design!$C$28,Design!$C$28,AT11)</f>
        <v>3.2940895522388054</v>
      </c>
    </row>
    <row r="12" spans="1:47" s="162" customFormat="1" ht="12.75" customHeight="1" x14ac:dyDescent="0.2">
      <c r="A12" s="154">
        <f>Design!$D$13</f>
        <v>85</v>
      </c>
      <c r="B12" s="155">
        <f t="shared" si="0"/>
        <v>10.119999999999999</v>
      </c>
      <c r="C12" s="156">
        <f t="shared" si="10"/>
        <v>3.5</v>
      </c>
      <c r="D12" s="156">
        <f ca="1">FORECAST(C12, OFFSET(Design!$C$15:$C$17,MATCH(C12,Design!$B$15:$B$17,1)-1,0,2), OFFSET(Design!$B$15:$B$17,MATCH(C12,Design!$B$15:$B$17,1)-1,0,2))+(M12-25)*Design!$B$18/1000</f>
        <v>0.39028586964796463</v>
      </c>
      <c r="E12" s="215">
        <f ca="1">IF(100*(Design!$C$28+D12+C12*IF(ISBLANK(Design!$B$40),Constants!$C$6,Design!$B$40)/1000*(1+Constants!$C$29/100*(N12-25)))/($B12+D12-C12*O12/1000)&gt;Design!$C$35,Design!$C$35,100*(Design!$C$28+D12+C12*IF(ISBLANK(Design!$B$40),Constants!$C$6,Design!$B$40)/1000*(1+Constants!$C$29/100*(N12-25)))/($B12+D12-C12*O12/1000))</f>
        <v>39.361804786202725</v>
      </c>
      <c r="F12" s="157">
        <f ca="1">IF(($B12-C12*IF(ISBLANK(Design!$B$40),Constants!$C$6,Design!$B$40)/1000*(1+Constants!$C$29/100*(N12-25))-Design!$C$28)/(IF(ISBLANK(Design!$B$39),Design!$B$38,Design!$B$39)/1000000)*E12/100/(IF(ISBLANK(Design!$B$32),Design!$B$31,Design!$B$32)*1000000)&lt;0, 0, ($B12-C12*IF(ISBLANK(Design!$B$40),Constants!$C$6,Design!$B$40)/1000*(1+Constants!$C$29/100*(N12-25))-Design!$C$28)/(IF(ISBLANK(Design!$B$39),Design!$B$38,Design!$B$39)/1000000)*E12/100/(IF(ISBLANK(Design!$B$32),Design!$B$31,Design!$B$32)*1000000))</f>
        <v>0.77862312744720508</v>
      </c>
      <c r="G12" s="207">
        <f>$B12*Constants!$C$18/1000+IF(ISBLANK(Design!$B$32),Design!$B$31,Design!$B$32)*1000000*Constants!$D$22/1000000000*(IF($B12&lt;Constants!$C$21,0,$B12-Constants!$C$21))</f>
        <v>1.3164319999999998E-2</v>
      </c>
      <c r="H12" s="207">
        <f>B12*C12*(B12/(Constants!$C$23*1000000000)*IF(ISBLANK(Design!$B$32),Design!$B$31,Design!$B$32)*1000000/2+B12/(Constants!$C$24*1000000000)*IF(ISBLANK(Design!$B$32),Design!$B$31,Design!$B$32)*1000000/2)</f>
        <v>0.21158530555555549</v>
      </c>
      <c r="I12" s="207">
        <f t="shared" ca="1" si="1"/>
        <v>1.238328988102652</v>
      </c>
      <c r="J12" s="207">
        <f>Constants!$D$22/1000000000*Constants!$C$21*IF(ISBLANK(Design!$B$32),Design!$B$31,Design!$B$32)*1000000</f>
        <v>1.2499999999999999E-2</v>
      </c>
      <c r="K12" s="207">
        <f t="shared" ca="1" si="3"/>
        <v>1.4755786136582074</v>
      </c>
      <c r="L12" s="207">
        <f t="shared" ca="1" si="4"/>
        <v>0.82831807635149701</v>
      </c>
      <c r="M12" s="208">
        <f ca="1">A12+L12*Design!$B$19</f>
        <v>132.21413035203534</v>
      </c>
      <c r="N12" s="208">
        <f ca="1">K12*Design!$C$12+A12</f>
        <v>135.16967286437904</v>
      </c>
      <c r="O12" s="208">
        <f ca="1">Constants!$D$19+Constants!$D$19*Constants!$C$20/100*(N12-25)</f>
        <v>255.76288594980389</v>
      </c>
      <c r="P12" s="207">
        <f ca="1">(1-Constants!$C$17/1000000000*Design!$B$32*1000000) * ($B12+D12-C12*O12/1000) - (D12+C12*(1+($A12-25)*Constants!$C$29/100)*IF(ISBLANK(Design!$B$40),Constants!$C$6/1000,Design!$B$40/1000))</f>
        <v>8.6575681107345019</v>
      </c>
      <c r="Q12" s="213">
        <f ca="1">IF(P12&gt;Design!$C$28,Design!$C$28,P12)</f>
        <v>3.2940895522388054</v>
      </c>
      <c r="R12" s="335">
        <f t="shared" si="11"/>
        <v>2.3333333333333335</v>
      </c>
      <c r="S12" s="158">
        <f ca="1">FORECAST(R12, OFFSET(Design!$C$15:$C$17,MATCH(R12,Design!$B$15:$B$17,1)-1,0,2), OFFSET(Design!$B$15:$B$17,MATCH(R12,Design!$B$15:$B$17,1)-1,0,2))+(AB12-25)*Design!$B$18/1000</f>
        <v>0.37697777185257203</v>
      </c>
      <c r="T12" s="224">
        <f ca="1">IF(100*(Design!$C$28+S12+R12*IF(ISBLANK(Design!$B$40),Constants!$C$6,Design!$B$40)/1000*(1+Constants!$C$29/100*(AC12-25)))/($B12+S12-R12*AD12/1000)&gt;Design!$C$35,Design!$C$35,100*(Design!$C$28+S12+R12*IF(ISBLANK(Design!$B$40),Constants!$C$6,Design!$B$40)/1000*(1+Constants!$C$29/100*(AC12-25)))/($B12+S12-R12*AD12/1000))</f>
        <v>37.461537798226686</v>
      </c>
      <c r="U12" s="159">
        <f ca="1">IF(($B12-R12*IF(ISBLANK(Design!$B$40),Constants!$C$6,Design!$B$40)/1000*(1+Constants!$C$29/100*(AC12-25))-Design!$C$28)/(IF(ISBLANK(Design!$B$39),Design!$B$38,Design!$B$39)/1000000)*T12/100/(IF(ISBLANK(Design!$B$32),Design!$B$31,Design!$B$32)*1000000)&lt;0, 0, ($B12-R12*IF(ISBLANK(Design!$B$40),Constants!$C$6,Design!$B$40)/1000*(1+Constants!$C$29/100*(AC12-25))-Design!$C$28)/(IF(ISBLANK(Design!$B$39),Design!$B$38,Design!$B$39)/1000000)*T12/100/(IF(ISBLANK(Design!$B$32),Design!$B$31,Design!$B$32)*1000000))</f>
        <v>0.74529410210385294</v>
      </c>
      <c r="V12" s="159">
        <f>$B12*Constants!$C$18/1000+IF(ISBLANK(Design!$B$32),Design!$B$31,Design!$B$32)*1000000*Constants!$D$22/1000000000*(IF($B12&lt;Constants!$C$21,0,$B12-Constants!$C$21))</f>
        <v>1.3164319999999998E-2</v>
      </c>
      <c r="W12" s="225">
        <f>B12*R12*(B12/(Constants!$C$23*1000000000)*IF(ISBLANK(Design!$B$32),Design!$B$31,Design!$B$32)*1000000/2+B12/(Constants!$C$24*1000000000)*IF(ISBLANK(Design!$B$32),Design!$B$31,Design!$B$32)*1000000/2)</f>
        <v>0.14105687037037035</v>
      </c>
      <c r="X12" s="225">
        <f t="shared" ca="1" si="5"/>
        <v>0.4697460565606274</v>
      </c>
      <c r="Y12" s="225">
        <f>Constants!$D$22/1000000000*Constants!$C$21*IF(ISBLANK(Design!$B$32),Design!$B$31,Design!$B$32)*1000000</f>
        <v>1.2499999999999999E-2</v>
      </c>
      <c r="Z12" s="225">
        <f t="shared" ca="1" si="6"/>
        <v>0.63646724693099777</v>
      </c>
      <c r="AA12" s="225">
        <f t="shared" ca="1" si="7"/>
        <v>0.55009756983791869</v>
      </c>
      <c r="AB12" s="226">
        <f ca="1">$A12+AA12*Design!$B$19</f>
        <v>116.35556148076137</v>
      </c>
      <c r="AC12" s="226">
        <f ca="1">Z12*Design!$C$12+A12</f>
        <v>106.63988639565392</v>
      </c>
      <c r="AD12" s="226">
        <f ca="1">Constants!$D$19+Constants!$D$19*Constants!$C$20/100*(AC12-25)</f>
        <v>228.37429093982774</v>
      </c>
      <c r="AE12" s="225">
        <f ca="1">(1-Constants!$C$17/1000000000*Design!$B$32*1000000) * ($B12+S12-R12*AD12/1000) - (S12+R12*(1+($A12-25)*Constants!$C$29/100)*IF(ISBLANK(Design!$B$40),Constants!$C$6/1000,Design!$B$40/1000))</f>
        <v>9.0312507664907535</v>
      </c>
      <c r="AF12" s="339">
        <f ca="1">IF(AE12&gt;Design!$C$28,Design!$C$28,AE12)</f>
        <v>3.2940895522388054</v>
      </c>
      <c r="AG12" s="237">
        <f t="shared" si="12"/>
        <v>1.1666666666666667</v>
      </c>
      <c r="AH12" s="160">
        <f ca="1">FORECAST(AG12, OFFSET(Design!$C$15:$C$17,MATCH(AG12,Design!$B$15:$B$17,1)-1,0,2), OFFSET(Design!$B$15:$B$17,MATCH(AG12,Design!$B$15:$B$17,1)-1,0,2))+(AQ12-25)*Design!$B$18/1000</f>
        <v>0.32145392526340633</v>
      </c>
      <c r="AI12" s="238">
        <f ca="1">IF(100*(Design!$C$28+AH12+AG12*IF(ISBLANK(Design!$B$40),Constants!$C$6,Design!$B$40)/1000*(1+Constants!$C$29/100*(AR12-25)))/($B12+AH12-AG12*AS12/1000)&gt;Design!$C$35,Design!$C$35,100*(Design!$C$28+AH12+AG12*IF(ISBLANK(Design!$B$40),Constants!$C$6,Design!$B$40)/1000*(1+Constants!$C$29/100*(AR12-25)))/($B12+AH12-AG12*AS12/1000))</f>
        <v>35.765254247090503</v>
      </c>
      <c r="AJ12" s="161">
        <f ca="1">IF(($B12-AG12*IF(ISBLANK(Design!$B$40),Constants!$C$6,Design!$B$40)/1000*(1+Constants!$C$29/100*(AR12-25))-Design!$C$28)/(IF(ISBLANK(Design!$B$39),Design!$B$38,Design!$B$39)/1000000)*AI12/100/(IF(ISBLANK(Design!$B$32),Design!$B$31,Design!$B$32)*1000000)&lt;0,0,($B12-AG12*IF(ISBLANK(Design!$B$40),Constants!$C$6,Design!$B$40)/1000*(1+Constants!$C$29/100*(AR12-25))-Design!$C$28)/(IF(ISBLANK(Design!$B$39),Design!$B$38,Design!$B$39)/1000000)*AI12/100/(IF(ISBLANK(Design!$B$32),Design!$B$31,Design!$B$32)*1000000))</f>
        <v>0.71493058566799528</v>
      </c>
      <c r="AK12" s="161">
        <f>$B12*Constants!$C$18/1000+IF(ISBLANK(Design!$B$32),Design!$B$31,Design!$B$32)*1000000*Constants!$D$22/1000000000*(IF($B12&lt;Constants!$C$21,0,$B12-Constants!$C$21))</f>
        <v>1.3164319999999998E-2</v>
      </c>
      <c r="AL12" s="239">
        <f>$B12*AG12*($B12/(Constants!$C$23*1000000000)*IF(ISBLANK(Design!$B$32),Design!$B$31,Design!$B$32)*1000000/2+$B12/(Constants!$C$24*1000000000)*IF(ISBLANK(Design!$B$32),Design!$B$31,Design!$B$32)*1000000/2)</f>
        <v>7.0528435185185173E-2</v>
      </c>
      <c r="AM12" s="239">
        <f t="shared" ca="1" si="2"/>
        <v>0.10756205713136663</v>
      </c>
      <c r="AN12" s="239">
        <f>Constants!$D$22/1000000000*Constants!$C$21*IF(ISBLANK(Design!$B$32),Design!$B$31,Design!$B$32)*1000000</f>
        <v>1.2499999999999999E-2</v>
      </c>
      <c r="AO12" s="239">
        <f t="shared" ca="1" si="13"/>
        <v>0.20375481231655179</v>
      </c>
      <c r="AP12" s="239">
        <f t="shared" ca="1" si="9"/>
        <v>0.24089929687331291</v>
      </c>
      <c r="AQ12" s="240">
        <f ca="1">$A12+AP12*Design!$B$19</f>
        <v>98.731259921778843</v>
      </c>
      <c r="AR12" s="240">
        <f ca="1">AO12*Design!$C$12+$A12</f>
        <v>91.927663618762764</v>
      </c>
      <c r="AS12" s="240">
        <f ca="1">Constants!$D$19+Constants!$D$19*Constants!$C$20/100*(AR12-25)</f>
        <v>214.25055707401225</v>
      </c>
      <c r="AT12" s="239">
        <f ca="1">(1-Constants!$C$17/1000000000*Design!$B$32*1000000) * ($B12+AH12-AG12*AS12/1000) - (AH12+AG12*(1+($A12-25)*Constants!$C$29/100)*IF(ISBLANK(Design!$B$40),Constants!$C$6/1000,Design!$B$40/1000))</f>
        <v>9.3316309363131325</v>
      </c>
      <c r="AU12" s="342">
        <f ca="1">IF(AT12&gt;Design!$C$28,Design!$C$28,AT12)</f>
        <v>3.2940895522388054</v>
      </c>
    </row>
    <row r="13" spans="1:47" s="162" customFormat="1" ht="12.75" customHeight="1" x14ac:dyDescent="0.2">
      <c r="A13" s="154">
        <f>Design!$D$13</f>
        <v>85</v>
      </c>
      <c r="B13" s="155">
        <f t="shared" si="0"/>
        <v>9.8849999999999998</v>
      </c>
      <c r="C13" s="156">
        <f t="shared" si="10"/>
        <v>3.5</v>
      </c>
      <c r="D13" s="156">
        <f ca="1">FORECAST(C13, OFFSET(Design!$C$15:$C$17,MATCH(C13,Design!$B$15:$B$17,1)-1,0,2), OFFSET(Design!$B$15:$B$17,MATCH(C13,Design!$B$15:$B$17,1)-1,0,2))+(M13-25)*Design!$B$18/1000</f>
        <v>0.39098557283724722</v>
      </c>
      <c r="E13" s="215">
        <f ca="1">IF(100*(Design!$C$28+D13+C13*IF(ISBLANK(Design!$B$40),Constants!$C$6,Design!$B$40)/1000*(1+Constants!$C$29/100*(N13-25)))/($B13+D13-C13*O13/1000)&gt;Design!$C$35,Design!$C$35,100*(Design!$C$28+D13+C13*IF(ISBLANK(Design!$B$40),Constants!$C$6,Design!$B$40)/1000*(1+Constants!$C$29/100*(N13-25)))/($B13+D13-C13*O13/1000))</f>
        <v>40.36735890783158</v>
      </c>
      <c r="F13" s="157">
        <f ca="1">IF(($B13-C13*IF(ISBLANK(Design!$B$40),Constants!$C$6,Design!$B$40)/1000*(1+Constants!$C$29/100*(N13-25))-Design!$C$28)/(IF(ISBLANK(Design!$B$39),Design!$B$38,Design!$B$39)/1000000)*E13/100/(IF(ISBLANK(Design!$B$32),Design!$B$31,Design!$B$32)*1000000)&lt;0, 0, ($B13-C13*IF(ISBLANK(Design!$B$40),Constants!$C$6,Design!$B$40)/1000*(1+Constants!$C$29/100*(N13-25))-Design!$C$28)/(IF(ISBLANK(Design!$B$39),Design!$B$38,Design!$B$39)/1000000)*E13/100/(IF(ISBLANK(Design!$B$32),Design!$B$31,Design!$B$32)*1000000))</f>
        <v>0.77058508907674761</v>
      </c>
      <c r="G13" s="207">
        <f>$B13*Constants!$C$18/1000+IF(ISBLANK(Design!$B$32),Design!$B$31,Design!$B$32)*1000000*Constants!$D$22/1000000000*(IF($B13&lt;Constants!$C$21,0,$B13-Constants!$C$21))</f>
        <v>1.2568359999999999E-2</v>
      </c>
      <c r="H13" s="207">
        <f>B13*C13*(B13/(Constants!$C$23*1000000000)*IF(ISBLANK(Design!$B$32),Design!$B$31,Design!$B$32)*1000000/2+B13/(Constants!$C$24*1000000000)*IF(ISBLANK(Design!$B$32),Design!$B$31,Design!$B$32)*1000000/2)</f>
        <v>0.20187280859374998</v>
      </c>
      <c r="I13" s="207">
        <f t="shared" ca="1" si="1"/>
        <v>1.2739605299321322</v>
      </c>
      <c r="J13" s="207">
        <f>Constants!$D$22/1000000000*Constants!$C$21*IF(ISBLANK(Design!$B$32),Design!$B$31,Design!$B$32)*1000000</f>
        <v>1.2499999999999999E-2</v>
      </c>
      <c r="K13" s="207">
        <f t="shared" ca="1" si="3"/>
        <v>1.5009016985258821</v>
      </c>
      <c r="L13" s="207">
        <f t="shared" ca="1" si="4"/>
        <v>0.8160425818026803</v>
      </c>
      <c r="M13" s="208">
        <f ca="1">A13+L13*Design!$B$19</f>
        <v>131.51442716275278</v>
      </c>
      <c r="N13" s="208">
        <f ca="1">K13*Design!$C$12+A13</f>
        <v>136.03065774987999</v>
      </c>
      <c r="O13" s="208">
        <f ca="1">Constants!$D$19+Constants!$D$19*Constants!$C$20/100*(N13-25)</f>
        <v>256.58943143988478</v>
      </c>
      <c r="P13" s="207">
        <f ca="1">(1-Constants!$C$17/1000000000*Design!$B$32*1000000) * ($B13+D13-C13*O13/1000) - (D13+C13*(1+($A13-25)*Constants!$C$29/100)*IF(ISBLANK(Design!$B$40),Constants!$C$6/1000,Design!$B$40/1000))</f>
        <v>8.4315348618205199</v>
      </c>
      <c r="Q13" s="213">
        <f ca="1">IF(P13&gt;Design!$C$28,Design!$C$28,P13)</f>
        <v>3.2940895522388054</v>
      </c>
      <c r="R13" s="335">
        <f t="shared" si="11"/>
        <v>2.3333333333333335</v>
      </c>
      <c r="S13" s="158">
        <f ca="1">FORECAST(R13, OFFSET(Design!$C$15:$C$17,MATCH(R13,Design!$B$15:$B$17,1)-1,0,2), OFFSET(Design!$B$15:$B$17,MATCH(R13,Design!$B$15:$B$17,1)-1,0,2))+(AB13-25)*Design!$B$18/1000</f>
        <v>0.37739908606790112</v>
      </c>
      <c r="T13" s="224">
        <f ca="1">IF(100*(Design!$C$28+S13+R13*IF(ISBLANK(Design!$B$40),Constants!$C$6,Design!$B$40)/1000*(1+Constants!$C$29/100*(AC13-25)))/($B13+S13-R13*AD13/1000)&gt;Design!$C$35,Design!$C$35,100*(Design!$C$28+S13+R13*IF(ISBLANK(Design!$B$40),Constants!$C$6,Design!$B$40)/1000*(1+Constants!$C$29/100*(AC13-25)))/($B13+S13-R13*AD13/1000))</f>
        <v>38.370723753646033</v>
      </c>
      <c r="U13" s="159">
        <f ca="1">IF(($B13-R13*IF(ISBLANK(Design!$B$40),Constants!$C$6,Design!$B$40)/1000*(1+Constants!$C$29/100*(AC13-25))-Design!$C$28)/(IF(ISBLANK(Design!$B$39),Design!$B$38,Design!$B$39)/1000000)*T13/100/(IF(ISBLANK(Design!$B$32),Design!$B$31,Design!$B$32)*1000000)&lt;0, 0, ($B13-R13*IF(ISBLANK(Design!$B$40),Constants!$C$6,Design!$B$40)/1000*(1+Constants!$C$29/100*(AC13-25))-Design!$C$28)/(IF(ISBLANK(Design!$B$39),Design!$B$38,Design!$B$39)/1000000)*T13/100/(IF(ISBLANK(Design!$B$32),Design!$B$31,Design!$B$32)*1000000))</f>
        <v>0.73685813493507013</v>
      </c>
      <c r="V13" s="159">
        <f>$B13*Constants!$C$18/1000+IF(ISBLANK(Design!$B$32),Design!$B$31,Design!$B$32)*1000000*Constants!$D$22/1000000000*(IF($B13&lt;Constants!$C$21,0,$B13-Constants!$C$21))</f>
        <v>1.2568359999999999E-2</v>
      </c>
      <c r="W13" s="225">
        <f>B13*R13*(B13/(Constants!$C$23*1000000000)*IF(ISBLANK(Design!$B$32),Design!$B$31,Design!$B$32)*1000000/2+B13/(Constants!$C$24*1000000000)*IF(ISBLANK(Design!$B$32),Design!$B$31,Design!$B$32)*1000000/2)</f>
        <v>0.13458187239583333</v>
      </c>
      <c r="X13" s="225">
        <f t="shared" ca="1" si="5"/>
        <v>0.48136834067266104</v>
      </c>
      <c r="Y13" s="225">
        <f>Constants!$D$22/1000000000*Constants!$C$21*IF(ISBLANK(Design!$B$32),Design!$B$31,Design!$B$32)*1000000</f>
        <v>1.2499999999999999E-2</v>
      </c>
      <c r="Z13" s="225">
        <f t="shared" ca="1" si="6"/>
        <v>0.6410185730684943</v>
      </c>
      <c r="AA13" s="225">
        <f t="shared" ca="1" si="7"/>
        <v>0.54270609237600465</v>
      </c>
      <c r="AB13" s="226">
        <f ca="1">$A13+AA13*Design!$B$19</f>
        <v>115.93424726543226</v>
      </c>
      <c r="AC13" s="226">
        <f ca="1">Z13*Design!$C$12+A13</f>
        <v>106.7946314843288</v>
      </c>
      <c r="AD13" s="226">
        <f ca="1">Constants!$D$19+Constants!$D$19*Constants!$C$20/100*(AC13-25)</f>
        <v>228.52284622495563</v>
      </c>
      <c r="AE13" s="225">
        <f ca="1">(1-Constants!$C$17/1000000000*Design!$B$32*1000000) * ($B13+S13-R13*AD13/1000) - (S13+R13*(1+($A13-25)*Constants!$C$29/100)*IF(ISBLANK(Design!$B$40),Constants!$C$6/1000,Design!$B$40/1000))</f>
        <v>8.8076504032312855</v>
      </c>
      <c r="AF13" s="339">
        <f ca="1">IF(AE13&gt;Design!$C$28,Design!$C$28,AE13)</f>
        <v>3.2940895522388054</v>
      </c>
      <c r="AG13" s="237">
        <f t="shared" si="12"/>
        <v>1.1666666666666667</v>
      </c>
      <c r="AH13" s="160">
        <f ca="1">FORECAST(AG13, OFFSET(Design!$C$15:$C$17,MATCH(AG13,Design!$B$15:$B$17,1)-1,0,2), OFFSET(Design!$B$15:$B$17,MATCH(AG13,Design!$B$15:$B$17,1)-1,0,2))+(AQ13-25)*Design!$B$18/1000</f>
        <v>0.32162725607848541</v>
      </c>
      <c r="AI13" s="238">
        <f ca="1">IF(100*(Design!$C$28+AH13+AG13*IF(ISBLANK(Design!$B$40),Constants!$C$6,Design!$B$40)/1000*(1+Constants!$C$29/100*(AR13-25)))/($B13+AH13-AG13*AS13/1000)&gt;Design!$C$35,Design!$C$35,100*(Design!$C$28+AH13+AG13*IF(ISBLANK(Design!$B$40),Constants!$C$6,Design!$B$40)/1000*(1+Constants!$C$29/100*(AR13-25)))/($B13+AH13-AG13*AS13/1000))</f>
        <v>36.61027499059243</v>
      </c>
      <c r="AJ13" s="161">
        <f ca="1">IF(($B13-AG13*IF(ISBLANK(Design!$B$40),Constants!$C$6,Design!$B$40)/1000*(1+Constants!$C$29/100*(AR13-25))-Design!$C$28)/(IF(ISBLANK(Design!$B$39),Design!$B$38,Design!$B$39)/1000000)*AI13/100/(IF(ISBLANK(Design!$B$32),Design!$B$31,Design!$B$32)*1000000)&lt;0,0,($B13-AG13*IF(ISBLANK(Design!$B$40),Constants!$C$6,Design!$B$40)/1000*(1+Constants!$C$29/100*(AR13-25))-Design!$C$28)/(IF(ISBLANK(Design!$B$39),Design!$B$38,Design!$B$39)/1000000)*AI13/100/(IF(ISBLANK(Design!$B$32),Design!$B$31,Design!$B$32)*1000000))</f>
        <v>0.70651845950212178</v>
      </c>
      <c r="AK13" s="161">
        <f>$B13*Constants!$C$18/1000+IF(ISBLANK(Design!$B$32),Design!$B$31,Design!$B$32)*1000000*Constants!$D$22/1000000000*(IF($B13&lt;Constants!$C$21,0,$B13-Constants!$C$21))</f>
        <v>1.2568359999999999E-2</v>
      </c>
      <c r="AL13" s="239">
        <f>$B13*AG13*($B13/(Constants!$C$23*1000000000)*IF(ISBLANK(Design!$B$32),Design!$B$31,Design!$B$32)*1000000/2+$B13/(Constants!$C$24*1000000000)*IF(ISBLANK(Design!$B$32),Design!$B$31,Design!$B$32)*1000000/2)</f>
        <v>6.7290936197916665E-2</v>
      </c>
      <c r="AM13" s="239">
        <f t="shared" ca="1" si="2"/>
        <v>0.11000189209961329</v>
      </c>
      <c r="AN13" s="239">
        <f>Constants!$D$22/1000000000*Constants!$C$21*IF(ISBLANK(Design!$B$32),Design!$B$31,Design!$B$32)*1000000</f>
        <v>1.2499999999999999E-2</v>
      </c>
      <c r="AO13" s="239">
        <f t="shared" ca="1" si="13"/>
        <v>0.20236118829752997</v>
      </c>
      <c r="AP13" s="239">
        <f t="shared" ca="1" si="9"/>
        <v>0.2378584053806975</v>
      </c>
      <c r="AQ13" s="240">
        <f ca="1">$A13+AP13*Design!$B$19</f>
        <v>98.55792910669976</v>
      </c>
      <c r="AR13" s="240">
        <f ca="1">AO13*Design!$C$12+$A13</f>
        <v>91.880280402116014</v>
      </c>
      <c r="AS13" s="240">
        <f ca="1">Constants!$D$19+Constants!$D$19*Constants!$C$20/100*(AR13-25)</f>
        <v>214.20506918603138</v>
      </c>
      <c r="AT13" s="239">
        <f ca="1">(1-Constants!$C$17/1000000000*Design!$B$32*1000000) * ($B13+AH13-AG13*AS13/1000) - (AH13+AG13*(1+($A13-25)*Constants!$C$29/100)*IF(ISBLANK(Design!$B$40),Constants!$C$6/1000,Design!$B$40/1000))</f>
        <v>9.1084226855148902</v>
      </c>
      <c r="AU13" s="342">
        <f ca="1">IF(AT13&gt;Design!$C$28,Design!$C$28,AT13)</f>
        <v>3.2940895522388054</v>
      </c>
    </row>
    <row r="14" spans="1:47" s="162" customFormat="1" ht="12.75" customHeight="1" x14ac:dyDescent="0.2">
      <c r="A14" s="154">
        <f>Design!$D$13</f>
        <v>85</v>
      </c>
      <c r="B14" s="155">
        <f t="shared" si="0"/>
        <v>9.65</v>
      </c>
      <c r="C14" s="156">
        <f t="shared" si="10"/>
        <v>3.5</v>
      </c>
      <c r="D14" s="156">
        <f ca="1">FORECAST(C14, OFFSET(Design!$C$15:$C$17,MATCH(C14,Design!$B$15:$B$17,1)-1,0,2), OFFSET(Design!$B$15:$B$17,MATCH(C14,Design!$B$15:$B$17,1)-1,0,2))+(M14-25)*Design!$B$18/1000</f>
        <v>0.39172559269898488</v>
      </c>
      <c r="E14" s="215">
        <f ca="1">IF(100*(Design!$C$28+D14+C14*IF(ISBLANK(Design!$B$40),Constants!$C$6,Design!$B$40)/1000*(1+Constants!$C$29/100*(N14-25)))/($B14+D14-C14*O14/1000)&gt;Design!$C$35,Design!$C$35,100*(Design!$C$28+D14+C14*IF(ISBLANK(Design!$B$40),Constants!$C$6,Design!$B$40)/1000*(1+Constants!$C$29/100*(N14-25)))/($B14+D14-C14*O14/1000))</f>
        <v>41.426944037335772</v>
      </c>
      <c r="F14" s="157">
        <f ca="1">IF(($B14-C14*IF(ISBLANK(Design!$B$40),Constants!$C$6,Design!$B$40)/1000*(1+Constants!$C$29/100*(N14-25))-Design!$C$28)/(IF(ISBLANK(Design!$B$39),Design!$B$38,Design!$B$39)/1000000)*E14/100/(IF(ISBLANK(Design!$B$32),Design!$B$31,Design!$B$32)*1000000)&lt;0, 0, ($B14-C14*IF(ISBLANK(Design!$B$40),Constants!$C$6,Design!$B$40)/1000*(1+Constants!$C$29/100*(N14-25))-Design!$C$28)/(IF(ISBLANK(Design!$B$39),Design!$B$38,Design!$B$39)/1000000)*E14/100/(IF(ISBLANK(Design!$B$32),Design!$B$31,Design!$B$32)*1000000))</f>
        <v>0.76214673559156632</v>
      </c>
      <c r="G14" s="207">
        <f>$B14*Constants!$C$18/1000+IF(ISBLANK(Design!$B$32),Design!$B$31,Design!$B$32)*1000000*Constants!$D$22/1000000000*(IF($B14&lt;Constants!$C$21,0,$B14-Constants!$C$21))</f>
        <v>1.1972400000000001E-2</v>
      </c>
      <c r="H14" s="207">
        <f>B14*C14*(B14/(Constants!$C$23*1000000000)*IF(ISBLANK(Design!$B$32),Design!$B$31,Design!$B$32)*1000000/2+B14/(Constants!$C$24*1000000000)*IF(ISBLANK(Design!$B$32),Design!$B$31,Design!$B$32)*1000000/2)</f>
        <v>0.1923884982638889</v>
      </c>
      <c r="I14" s="207">
        <f t="shared" ca="1" si="1"/>
        <v>1.3119221516654251</v>
      </c>
      <c r="J14" s="207">
        <f>Constants!$D$22/1000000000*Constants!$C$21*IF(ISBLANK(Design!$B$32),Design!$B$31,Design!$B$32)*1000000</f>
        <v>1.2499999999999999E-2</v>
      </c>
      <c r="K14" s="207">
        <f t="shared" ca="1" si="3"/>
        <v>1.528783049929314</v>
      </c>
      <c r="L14" s="207">
        <f t="shared" ca="1" si="4"/>
        <v>0.8030597772107908</v>
      </c>
      <c r="M14" s="208">
        <f ca="1">A14+L14*Design!$B$19</f>
        <v>130.77440730101506</v>
      </c>
      <c r="N14" s="208">
        <f ca="1">K14*Design!$C$12+A14</f>
        <v>136.97862369759667</v>
      </c>
      <c r="O14" s="208">
        <f ca="1">Constants!$D$19+Constants!$D$19*Constants!$C$20/100*(N14-25)</f>
        <v>257.4994787496928</v>
      </c>
      <c r="P14" s="207">
        <f ca="1">(1-Constants!$C$17/1000000000*Design!$B$32*1000000) * ($B14+D14-C14*O14/1000) - (D14+C14*(1+($A14-25)*Constants!$C$29/100)*IF(ISBLANK(Design!$B$40),Constants!$C$6/1000,Design!$B$40/1000))</f>
        <v>8.2052219535223223</v>
      </c>
      <c r="Q14" s="213">
        <f ca="1">IF(P14&gt;Design!$C$28,Design!$C$28,P14)</f>
        <v>3.2940895522388054</v>
      </c>
      <c r="R14" s="335">
        <f t="shared" si="11"/>
        <v>2.3333333333333335</v>
      </c>
      <c r="S14" s="158">
        <f ca="1">FORECAST(R14, OFFSET(Design!$C$15:$C$17,MATCH(R14,Design!$B$15:$B$17,1)-1,0,2), OFFSET(Design!$B$15:$B$17,MATCH(R14,Design!$B$15:$B$17,1)-1,0,2))+(AB14-25)*Design!$B$18/1000</f>
        <v>0.37784246883925465</v>
      </c>
      <c r="T14" s="224">
        <f ca="1">IF(100*(Design!$C$28+S14+R14*IF(ISBLANK(Design!$B$40),Constants!$C$6,Design!$B$40)/1000*(1+Constants!$C$29/100*(AC14-25)))/($B14+S14-R14*AD14/1000)&gt;Design!$C$35,Design!$C$35,100*(Design!$C$28+S14+R14*IF(ISBLANK(Design!$B$40),Constants!$C$6,Design!$B$40)/1000*(1+Constants!$C$29/100*(AC14-25)))/($B14+S14-R14*AD14/1000))</f>
        <v>39.32534345318323</v>
      </c>
      <c r="U14" s="159">
        <f ca="1">IF(($B14-R14*IF(ISBLANK(Design!$B$40),Constants!$C$6,Design!$B$40)/1000*(1+Constants!$C$29/100*(AC14-25))-Design!$C$28)/(IF(ISBLANK(Design!$B$39),Design!$B$38,Design!$B$39)/1000000)*T14/100/(IF(ISBLANK(Design!$B$32),Design!$B$31,Design!$B$32)*1000000)&lt;0, 0, ($B14-R14*IF(ISBLANK(Design!$B$40),Constants!$C$6,Design!$B$40)/1000*(1+Constants!$C$29/100*(AC14-25))-Design!$C$28)/(IF(ISBLANK(Design!$B$39),Design!$B$38,Design!$B$39)/1000000)*T14/100/(IF(ISBLANK(Design!$B$32),Design!$B$31,Design!$B$32)*1000000))</f>
        <v>0.72800572168982913</v>
      </c>
      <c r="V14" s="159">
        <f>$B14*Constants!$C$18/1000+IF(ISBLANK(Design!$B$32),Design!$B$31,Design!$B$32)*1000000*Constants!$D$22/1000000000*(IF($B14&lt;Constants!$C$21,0,$B14-Constants!$C$21))</f>
        <v>1.1972400000000001E-2</v>
      </c>
      <c r="W14" s="225">
        <f>B14*R14*(B14/(Constants!$C$23*1000000000)*IF(ISBLANK(Design!$B$32),Design!$B$31,Design!$B$32)*1000000/2+B14/(Constants!$C$24*1000000000)*IF(ISBLANK(Design!$B$32),Design!$B$31,Design!$B$32)*1000000/2)</f>
        <v>0.12825899884259262</v>
      </c>
      <c r="X14" s="225">
        <f t="shared" ca="1" si="5"/>
        <v>0.49362303557703452</v>
      </c>
      <c r="Y14" s="225">
        <f>Constants!$D$22/1000000000*Constants!$C$21*IF(ISBLANK(Design!$B$32),Design!$B$31,Design!$B$32)*1000000</f>
        <v>1.2499999999999999E-2</v>
      </c>
      <c r="Z14" s="225">
        <f t="shared" ca="1" si="6"/>
        <v>0.64635443441962703</v>
      </c>
      <c r="AA14" s="225">
        <f t="shared" ca="1" si="7"/>
        <v>0.53492744726453889</v>
      </c>
      <c r="AB14" s="226">
        <f ca="1">$A14+AA14*Design!$B$19</f>
        <v>115.49086449407872</v>
      </c>
      <c r="AC14" s="226">
        <f ca="1">Z14*Design!$C$12+A14</f>
        <v>106.97605077026732</v>
      </c>
      <c r="AD14" s="226">
        <f ca="1">Constants!$D$19+Constants!$D$19*Constants!$C$20/100*(AC14-25)</f>
        <v>228.69700873945663</v>
      </c>
      <c r="AE14" s="225">
        <f ca="1">(1-Constants!$C$17/1000000000*Design!$B$32*1000000) * ($B14+S14-R14*AD14/1000) - (S14+R14*(1+($A14-25)*Constants!$C$29/100)*IF(ISBLANK(Design!$B$40),Constants!$C$6/1000,Design!$B$40/1000))</f>
        <v>8.5839921738522413</v>
      </c>
      <c r="AF14" s="339">
        <f ca="1">IF(AE14&gt;Design!$C$28,Design!$C$28,AE14)</f>
        <v>3.2940895522388054</v>
      </c>
      <c r="AG14" s="237">
        <f t="shared" si="12"/>
        <v>1.1666666666666667</v>
      </c>
      <c r="AH14" s="160">
        <f ca="1">FORECAST(AG14, OFFSET(Design!$C$15:$C$17,MATCH(AG14,Design!$B$15:$B$17,1)-1,0,2), OFFSET(Design!$B$15:$B$17,MATCH(AG14,Design!$B$15:$B$17,1)-1,0,2))+(AQ14-25)*Design!$B$18/1000</f>
        <v>0.32180917766599981</v>
      </c>
      <c r="AI14" s="238">
        <f ca="1">IF(100*(Design!$C$28+AH14+AG14*IF(ISBLANK(Design!$B$40),Constants!$C$6,Design!$B$40)/1000*(1+Constants!$C$29/100*(AR14-25)))/($B14+AH14-AG14*AS14/1000)&gt;Design!$C$35,Design!$C$35,100*(Design!$C$28+AH14+AG14*IF(ISBLANK(Design!$B$40),Constants!$C$6,Design!$B$40)/1000*(1+Constants!$C$29/100*(AR14-25)))/($B14+AH14-AG14*AS14/1000))</f>
        <v>37.496198314742713</v>
      </c>
      <c r="AJ14" s="161">
        <f ca="1">IF(($B14-AG14*IF(ISBLANK(Design!$B$40),Constants!$C$6,Design!$B$40)/1000*(1+Constants!$C$29/100*(AR14-25))-Design!$C$28)/(IF(ISBLANK(Design!$B$39),Design!$B$38,Design!$B$39)/1000000)*AI14/100/(IF(ISBLANK(Design!$B$32),Design!$B$31,Design!$B$32)*1000000)&lt;0,0,($B14-AG14*IF(ISBLANK(Design!$B$40),Constants!$C$6,Design!$B$40)/1000*(1+Constants!$C$29/100*(AR14-25))-Design!$C$28)/(IF(ISBLANK(Design!$B$39),Design!$B$38,Design!$B$39)/1000000)*AI14/100/(IF(ISBLANK(Design!$B$32),Design!$B$31,Design!$B$32)*1000000))</f>
        <v>0.69769925364870045</v>
      </c>
      <c r="AK14" s="161">
        <f>$B14*Constants!$C$18/1000+IF(ISBLANK(Design!$B$32),Design!$B$31,Design!$B$32)*1000000*Constants!$D$22/1000000000*(IF($B14&lt;Constants!$C$21,0,$B14-Constants!$C$21))</f>
        <v>1.1972400000000001E-2</v>
      </c>
      <c r="AL14" s="239">
        <f>$B14*AG14*($B14/(Constants!$C$23*1000000000)*IF(ISBLANK(Design!$B$32),Design!$B$31,Design!$B$32)*1000000/2+$B14/(Constants!$C$24*1000000000)*IF(ISBLANK(Design!$B$32),Design!$B$31,Design!$B$32)*1000000/2)</f>
        <v>6.412949942129631E-2</v>
      </c>
      <c r="AM14" s="239">
        <f t="shared" ca="1" si="2"/>
        <v>0.11256034453028287</v>
      </c>
      <c r="AN14" s="239">
        <f>Constants!$D$22/1000000000*Constants!$C$21*IF(ISBLANK(Design!$B$32),Design!$B$31,Design!$B$32)*1000000</f>
        <v>1.2499999999999999E-2</v>
      </c>
      <c r="AO14" s="239">
        <f t="shared" ca="1" si="13"/>
        <v>0.20116224395157917</v>
      </c>
      <c r="AP14" s="239">
        <f t="shared" ca="1" si="9"/>
        <v>0.23466679858219947</v>
      </c>
      <c r="AQ14" s="240">
        <f ca="1">$A14+AP14*Design!$B$19</f>
        <v>98.376007519185364</v>
      </c>
      <c r="AR14" s="240">
        <f ca="1">AO14*Design!$C$12+$A14</f>
        <v>91.839516294353686</v>
      </c>
      <c r="AS14" s="240">
        <f ca="1">Constants!$D$19+Constants!$D$19*Constants!$C$20/100*(AR14-25)</f>
        <v>214.16593564257954</v>
      </c>
      <c r="AT14" s="239">
        <f ca="1">(1-Constants!$C$17/1000000000*Design!$B$32*1000000) * ($B14+AH14-AG14*AS14/1000) - (AH14+AG14*(1+($A14-25)*Constants!$C$29/100)*IF(ISBLANK(Design!$B$40),Constants!$C$6/1000,Design!$B$40/1000))</f>
        <v>8.8852069624461745</v>
      </c>
      <c r="AU14" s="342">
        <f ca="1">IF(AT14&gt;Design!$C$28,Design!$C$28,AT14)</f>
        <v>3.2940895522388054</v>
      </c>
    </row>
    <row r="15" spans="1:47" s="162" customFormat="1" ht="12.75" customHeight="1" x14ac:dyDescent="0.2">
      <c r="A15" s="154">
        <f>Design!$D$13</f>
        <v>85</v>
      </c>
      <c r="B15" s="155">
        <f t="shared" si="0"/>
        <v>9.4150000000000009</v>
      </c>
      <c r="C15" s="156">
        <f t="shared" si="10"/>
        <v>3.5</v>
      </c>
      <c r="D15" s="156">
        <f ca="1">FORECAST(C15, OFFSET(Design!$C$15:$C$17,MATCH(C15,Design!$B$15:$B$17,1)-1,0,2), OFFSET(Design!$B$15:$B$17,MATCH(C15,Design!$B$15:$B$17,1)-1,0,2))+(M15-25)*Design!$B$18/1000</f>
        <v>0.39250959806910424</v>
      </c>
      <c r="E15" s="215">
        <f ca="1">IF(100*(Design!$C$28+D15+C15*IF(ISBLANK(Design!$B$40),Constants!$C$6,Design!$B$40)/1000*(1+Constants!$C$29/100*(N15-25)))/($B15+D15-C15*O15/1000)&gt;Design!$C$35,Design!$C$35,100*(Design!$C$28+D15+C15*IF(ISBLANK(Design!$B$40),Constants!$C$6,Design!$B$40)/1000*(1+Constants!$C$29/100*(N15-25)))/($B15+D15-C15*O15/1000))</f>
        <v>42.54515042135197</v>
      </c>
      <c r="F15" s="157">
        <f ca="1">IF(($B15-C15*IF(ISBLANK(Design!$B$40),Constants!$C$6,Design!$B$40)/1000*(1+Constants!$C$29/100*(N15-25))-Design!$C$28)/(IF(ISBLANK(Design!$B$39),Design!$B$38,Design!$B$39)/1000000)*E15/100/(IF(ISBLANK(Design!$B$32),Design!$B$31,Design!$B$32)*1000000)&lt;0, 0, ($B15-C15*IF(ISBLANK(Design!$B$40),Constants!$C$6,Design!$B$40)/1000*(1+Constants!$C$29/100*(N15-25))-Design!$C$28)/(IF(ISBLANK(Design!$B$39),Design!$B$38,Design!$B$39)/1000000)*E15/100/(IF(ISBLANK(Design!$B$32),Design!$B$31,Design!$B$32)*1000000))</f>
        <v>0.75327668012798044</v>
      </c>
      <c r="G15" s="207">
        <f>$B15*Constants!$C$18/1000+IF(ISBLANK(Design!$B$32),Design!$B$31,Design!$B$32)*1000000*Constants!$D$22/1000000000*(IF($B15&lt;Constants!$C$21,0,$B15-Constants!$C$21))</f>
        <v>1.1376440000000002E-2</v>
      </c>
      <c r="H15" s="207">
        <f>B15*C15*(B15/(Constants!$C$23*1000000000)*IF(ISBLANK(Design!$B$32),Design!$B$31,Design!$B$32)*1000000/2+B15/(Constants!$C$24*1000000000)*IF(ISBLANK(Design!$B$32),Design!$B$31,Design!$B$32)*1000000/2)</f>
        <v>0.18313237456597226</v>
      </c>
      <c r="I15" s="207">
        <f t="shared" ca="1" si="1"/>
        <v>1.3524495641311813</v>
      </c>
      <c r="J15" s="207">
        <f>Constants!$D$22/1000000000*Constants!$C$21*IF(ISBLANK(Design!$B$32),Design!$B$31,Design!$B$32)*1000000</f>
        <v>1.2499999999999999E-2</v>
      </c>
      <c r="K15" s="207">
        <f t="shared" ca="1" si="3"/>
        <v>1.5594583786971536</v>
      </c>
      <c r="L15" s="207">
        <f t="shared" ca="1" si="4"/>
        <v>0.78930529703325947</v>
      </c>
      <c r="M15" s="208">
        <f ca="1">A15+L15*Design!$B$19</f>
        <v>129.99040193089579</v>
      </c>
      <c r="N15" s="208">
        <f ca="1">K15*Design!$C$12+A15</f>
        <v>138.02158487570324</v>
      </c>
      <c r="O15" s="208">
        <f ca="1">Constants!$D$19+Constants!$D$19*Constants!$C$20/100*(N15-25)</f>
        <v>258.50072148067511</v>
      </c>
      <c r="P15" s="207">
        <f ca="1">(1-Constants!$C$17/1000000000*Design!$B$32*1000000) * ($B15+D15-C15*O15/1000) - (D15+C15*(1+($A15-25)*Constants!$C$29/100)*IF(ISBLANK(Design!$B$40),Constants!$C$6/1000,Design!$B$40/1000))</f>
        <v>7.9786036211732991</v>
      </c>
      <c r="Q15" s="213">
        <f ca="1">IF(P15&gt;Design!$C$28,Design!$C$28,P15)</f>
        <v>3.2940895522388054</v>
      </c>
      <c r="R15" s="335">
        <f t="shared" si="11"/>
        <v>2.3333333333333335</v>
      </c>
      <c r="S15" s="158">
        <f ca="1">FORECAST(R15, OFFSET(Design!$C$15:$C$17,MATCH(R15,Design!$B$15:$B$17,1)-1,0,2), OFFSET(Design!$B$15:$B$17,MATCH(R15,Design!$B$15:$B$17,1)-1,0,2))+(AB15-25)*Design!$B$18/1000</f>
        <v>0.37830970536497421</v>
      </c>
      <c r="T15" s="224">
        <f ca="1">IF(100*(Design!$C$28+S15+R15*IF(ISBLANK(Design!$B$40),Constants!$C$6,Design!$B$40)/1000*(1+Constants!$C$29/100*(AC15-25)))/($B15+S15-R15*AD15/1000)&gt;Design!$C$35,Design!$C$35,100*(Design!$C$28+S15+R15*IF(ISBLANK(Design!$B$40),Constants!$C$6,Design!$B$40)/1000*(1+Constants!$C$29/100*(AC15-25)))/($B15+S15-R15*AD15/1000))</f>
        <v>40.328899716149472</v>
      </c>
      <c r="U15" s="159">
        <f ca="1">IF(($B15-R15*IF(ISBLANK(Design!$B$40),Constants!$C$6,Design!$B$40)/1000*(1+Constants!$C$29/100*(AC15-25))-Design!$C$28)/(IF(ISBLANK(Design!$B$39),Design!$B$38,Design!$B$39)/1000000)*T15/100/(IF(ISBLANK(Design!$B$32),Design!$B$31,Design!$B$32)*1000000)&lt;0, 0, ($B15-R15*IF(ISBLANK(Design!$B$40),Constants!$C$6,Design!$B$40)/1000*(1+Constants!$C$29/100*(AC15-25))-Design!$C$28)/(IF(ISBLANK(Design!$B$39),Design!$B$38,Design!$B$39)/1000000)*T15/100/(IF(ISBLANK(Design!$B$32),Design!$B$31,Design!$B$32)*1000000))</f>
        <v>0.71870498501566371</v>
      </c>
      <c r="V15" s="159">
        <f>$B15*Constants!$C$18/1000+IF(ISBLANK(Design!$B$32),Design!$B$31,Design!$B$32)*1000000*Constants!$D$22/1000000000*(IF($B15&lt;Constants!$C$21,0,$B15-Constants!$C$21))</f>
        <v>1.1376440000000002E-2</v>
      </c>
      <c r="W15" s="225">
        <f>B15*R15*(B15/(Constants!$C$23*1000000000)*IF(ISBLANK(Design!$B$32),Design!$B$31,Design!$B$32)*1000000/2+B15/(Constants!$C$24*1000000000)*IF(ISBLANK(Design!$B$32),Design!$B$31,Design!$B$32)*1000000/2)</f>
        <v>0.12208824971064819</v>
      </c>
      <c r="X15" s="225">
        <f t="shared" ca="1" si="5"/>
        <v>0.5065624207120325</v>
      </c>
      <c r="Y15" s="225">
        <f>Constants!$D$22/1000000000*Constants!$C$21*IF(ISBLANK(Design!$B$32),Design!$B$31,Design!$B$32)*1000000</f>
        <v>1.2499999999999999E-2</v>
      </c>
      <c r="Z15" s="225">
        <f t="shared" ca="1" si="6"/>
        <v>0.65252711042268063</v>
      </c>
      <c r="AA15" s="225">
        <f t="shared" ca="1" si="7"/>
        <v>0.52673031523437086</v>
      </c>
      <c r="AB15" s="226">
        <f ca="1">$A15+AA15*Design!$B$19</f>
        <v>115.02362796835914</v>
      </c>
      <c r="AC15" s="226">
        <f ca="1">Z15*Design!$C$12+A15</f>
        <v>107.18592175437114</v>
      </c>
      <c r="AD15" s="226">
        <f ca="1">Constants!$D$19+Constants!$D$19*Constants!$C$20/100*(AC15-25)</f>
        <v>228.89848488419631</v>
      </c>
      <c r="AE15" s="225">
        <f ca="1">(1-Constants!$C$17/1000000000*Design!$B$32*1000000) * ($B15+S15-R15*AD15/1000) - (S15+R15*(1+($A15-25)*Constants!$C$29/100)*IF(ISBLANK(Design!$B$40),Constants!$C$6/1000,Design!$B$40/1000))</f>
        <v>8.3602722065717856</v>
      </c>
      <c r="AF15" s="339">
        <f ca="1">IF(AE15&gt;Design!$C$28,Design!$C$28,AE15)</f>
        <v>3.2940895522388054</v>
      </c>
      <c r="AG15" s="237">
        <f t="shared" si="12"/>
        <v>1.1666666666666667</v>
      </c>
      <c r="AH15" s="160">
        <f ca="1">FORECAST(AG15, OFFSET(Design!$C$15:$C$17,MATCH(AG15,Design!$B$15:$B$17,1)-1,0,2), OFFSET(Design!$B$15:$B$17,MATCH(AG15,Design!$B$15:$B$17,1)-1,0,2))+(AQ15-25)*Design!$B$18/1000</f>
        <v>0.32200034466045241</v>
      </c>
      <c r="AI15" s="238">
        <f ca="1">IF(100*(Design!$C$28+AH15+AG15*IF(ISBLANK(Design!$B$40),Constants!$C$6,Design!$B$40)/1000*(1+Constants!$C$29/100*(AR15-25)))/($B15+AH15-AG15*AS15/1000)&gt;Design!$C$35,Design!$C$35,100*(Design!$C$28+AH15+AG15*IF(ISBLANK(Design!$B$40),Constants!$C$6,Design!$B$40)/1000*(1+Constants!$C$29/100*(AR15-25)))/($B15+AH15-AG15*AS15/1000))</f>
        <v>38.426066352046007</v>
      </c>
      <c r="AJ15" s="161">
        <f ca="1">IF(($B15-AG15*IF(ISBLANK(Design!$B$40),Constants!$C$6,Design!$B$40)/1000*(1+Constants!$C$29/100*(AR15-25))-Design!$C$28)/(IF(ISBLANK(Design!$B$39),Design!$B$38,Design!$B$39)/1000000)*AI15/100/(IF(ISBLANK(Design!$B$32),Design!$B$31,Design!$B$32)*1000000)&lt;0,0,($B15-AG15*IF(ISBLANK(Design!$B$40),Constants!$C$6,Design!$B$40)/1000*(1+Constants!$C$29/100*(AR15-25))-Design!$C$28)/(IF(ISBLANK(Design!$B$39),Design!$B$38,Design!$B$39)/1000000)*AI15/100/(IF(ISBLANK(Design!$B$32),Design!$B$31,Design!$B$32)*1000000))</f>
        <v>0.68844265184070952</v>
      </c>
      <c r="AK15" s="161">
        <f>$B15*Constants!$C$18/1000+IF(ISBLANK(Design!$B$32),Design!$B$31,Design!$B$32)*1000000*Constants!$D$22/1000000000*(IF($B15&lt;Constants!$C$21,0,$B15-Constants!$C$21))</f>
        <v>1.1376440000000002E-2</v>
      </c>
      <c r="AL15" s="239">
        <f>$B15*AG15*($B15/(Constants!$C$23*1000000000)*IF(ISBLANK(Design!$B$32),Design!$B$31,Design!$B$32)*1000000/2+$B15/(Constants!$C$24*1000000000)*IF(ISBLANK(Design!$B$32),Design!$B$31,Design!$B$32)*1000000/2)</f>
        <v>6.1044124855324094E-2</v>
      </c>
      <c r="AM15" s="239">
        <f t="shared" ca="1" si="2"/>
        <v>0.11524624715291554</v>
      </c>
      <c r="AN15" s="239">
        <f>Constants!$D$22/1000000000*Constants!$C$21*IF(ISBLANK(Design!$B$32),Design!$B$31,Design!$B$32)*1000000</f>
        <v>1.2499999999999999E-2</v>
      </c>
      <c r="AO15" s="239">
        <f t="shared" ca="1" si="13"/>
        <v>0.20016681200823966</v>
      </c>
      <c r="AP15" s="239">
        <f t="shared" ca="1" si="9"/>
        <v>0.23131299166197852</v>
      </c>
      <c r="AQ15" s="240">
        <f ca="1">$A15+AP15*Design!$B$19</f>
        <v>98.184840524732778</v>
      </c>
      <c r="AR15" s="240">
        <f ca="1">AO15*Design!$C$12+$A15</f>
        <v>91.80567160828015</v>
      </c>
      <c r="AS15" s="240">
        <f ca="1">Constants!$D$19+Constants!$D$19*Constants!$C$20/100*(AR15-25)</f>
        <v>214.13344474394893</v>
      </c>
      <c r="AT15" s="239">
        <f ca="1">(1-Constants!$C$17/1000000000*Design!$B$32*1000000) * ($B15+AH15-AG15*AS15/1000) - (AH15+AG15*(1+($A15-25)*Constants!$C$29/100)*IF(ISBLANK(Design!$B$40),Constants!$C$6/1000,Design!$B$40/1000))</f>
        <v>8.6619834148424335</v>
      </c>
      <c r="AU15" s="342">
        <f ca="1">IF(AT15&gt;Design!$C$28,Design!$C$28,AT15)</f>
        <v>3.2940895522388054</v>
      </c>
    </row>
    <row r="16" spans="1:47" s="162" customFormat="1" ht="12.75" customHeight="1" x14ac:dyDescent="0.2">
      <c r="A16" s="154">
        <f>Design!$D$13</f>
        <v>85</v>
      </c>
      <c r="B16" s="155">
        <f t="shared" si="0"/>
        <v>9.1800000000000015</v>
      </c>
      <c r="C16" s="156">
        <f t="shared" si="10"/>
        <v>3.5</v>
      </c>
      <c r="D16" s="156">
        <f ca="1">FORECAST(C16, OFFSET(Design!$C$15:$C$17,MATCH(C16,Design!$B$15:$B$17,1)-1,0,2), OFFSET(Design!$B$15:$B$17,MATCH(C16,Design!$B$15:$B$17,1)-1,0,2))+(M16-25)*Design!$B$18/1000</f>
        <v>0.39334172905813758</v>
      </c>
      <c r="E16" s="215">
        <f ca="1">IF(100*(Design!$C$28+D16+C16*IF(ISBLANK(Design!$B$40),Constants!$C$6,Design!$B$40)/1000*(1+Constants!$C$29/100*(N16-25)))/($B16+D16-C16*O16/1000)&gt;Design!$C$35,Design!$C$35,100*(Design!$C$28+D16+C16*IF(ISBLANK(Design!$B$40),Constants!$C$6,Design!$B$40)/1000*(1+Constants!$C$29/100*(N16-25)))/($B16+D16-C16*O16/1000))</f>
        <v>43.727120681912723</v>
      </c>
      <c r="F16" s="157">
        <f ca="1">IF(($B16-C16*IF(ISBLANK(Design!$B$40),Constants!$C$6,Design!$B$40)/1000*(1+Constants!$C$29/100*(N16-25))-Design!$C$28)/(IF(ISBLANK(Design!$B$39),Design!$B$38,Design!$B$39)/1000000)*E16/100/(IF(ISBLANK(Design!$B$32),Design!$B$31,Design!$B$32)*1000000)&lt;0, 0, ($B16-C16*IF(ISBLANK(Design!$B$40),Constants!$C$6,Design!$B$40)/1000*(1+Constants!$C$29/100*(N16-25))-Design!$C$28)/(IF(ISBLANK(Design!$B$39),Design!$B$38,Design!$B$39)/1000000)*E16/100/(IF(ISBLANK(Design!$B$32),Design!$B$31,Design!$B$32)*1000000))</f>
        <v>0.74394013232778011</v>
      </c>
      <c r="G16" s="207">
        <f>$B16*Constants!$C$18/1000+IF(ISBLANK(Design!$B$32),Design!$B$31,Design!$B$32)*1000000*Constants!$D$22/1000000000*(IF($B16&lt;Constants!$C$21,0,$B16-Constants!$C$21))</f>
        <v>1.0780480000000004E-2</v>
      </c>
      <c r="H16" s="207">
        <f>B16*C16*(B16/(Constants!$C$23*1000000000)*IF(ISBLANK(Design!$B$32),Design!$B$31,Design!$B$32)*1000000/2+B16/(Constants!$C$24*1000000000)*IF(ISBLANK(Design!$B$32),Design!$B$31,Design!$B$32)*1000000/2)</f>
        <v>0.17410443750000007</v>
      </c>
      <c r="I16" s="207">
        <f t="shared" ca="1" si="1"/>
        <v>1.3958120492180266</v>
      </c>
      <c r="J16" s="207">
        <f>Constants!$D$22/1000000000*Constants!$C$21*IF(ISBLANK(Design!$B$32),Design!$B$31,Design!$B$32)*1000000</f>
        <v>1.2499999999999999E-2</v>
      </c>
      <c r="K16" s="207">
        <f t="shared" ca="1" si="3"/>
        <v>1.5931969667180266</v>
      </c>
      <c r="L16" s="207">
        <f t="shared" ca="1" si="4"/>
        <v>0.77470650775197247</v>
      </c>
      <c r="M16" s="208">
        <f ca="1">A16+L16*Design!$B$19</f>
        <v>129.15827094186244</v>
      </c>
      <c r="N16" s="208">
        <f ca="1">K16*Design!$C$12+A16</f>
        <v>139.16869686841289</v>
      </c>
      <c r="O16" s="208">
        <f ca="1">Constants!$D$19+Constants!$D$19*Constants!$C$20/100*(N16-25)</f>
        <v>259.60194899367639</v>
      </c>
      <c r="P16" s="207">
        <f ca="1">(1-Constants!$C$17/1000000000*Design!$B$32*1000000) * ($B16+D16-C16*O16/1000) - (D16+C16*(1+($A16-25)*Constants!$C$29/100)*IF(ISBLANK(Design!$B$40),Constants!$C$6/1000,Design!$B$40/1000))</f>
        <v>7.7516504331431193</v>
      </c>
      <c r="Q16" s="213">
        <f ca="1">IF(P16&gt;Design!$C$28,Design!$C$28,P16)</f>
        <v>3.2940895522388054</v>
      </c>
      <c r="R16" s="335">
        <f t="shared" si="11"/>
        <v>2.3333333333333335</v>
      </c>
      <c r="S16" s="158">
        <f ca="1">FORECAST(R16, OFFSET(Design!$C$15:$C$17,MATCH(R16,Design!$B$15:$B$17,1)-1,0,2), OFFSET(Design!$B$15:$B$17,MATCH(R16,Design!$B$15:$B$17,1)-1,0,2))+(AB16-25)*Design!$B$18/1000</f>
        <v>0.37880277933489509</v>
      </c>
      <c r="T16" s="224">
        <f ca="1">IF(100*(Design!$C$28+S16+R16*IF(ISBLANK(Design!$B$40),Constants!$C$6,Design!$B$40)/1000*(1+Constants!$C$29/100*(AC16-25)))/($B16+S16-R16*AD16/1000)&gt;Design!$C$35,Design!$C$35,100*(Design!$C$28+S16+R16*IF(ISBLANK(Design!$B$40),Constants!$C$6,Design!$B$40)/1000*(1+Constants!$C$29/100*(AC16-25)))/($B16+S16-R16*AD16/1000))</f>
        <v>41.385266238117062</v>
      </c>
      <c r="U16" s="159">
        <f ca="1">IF(($B16-R16*IF(ISBLANK(Design!$B$40),Constants!$C$6,Design!$B$40)/1000*(1+Constants!$C$29/100*(AC16-25))-Design!$C$28)/(IF(ISBLANK(Design!$B$39),Design!$B$38,Design!$B$39)/1000000)*T16/100/(IF(ISBLANK(Design!$B$32),Design!$B$31,Design!$B$32)*1000000)&lt;0, 0, ($B16-R16*IF(ISBLANK(Design!$B$40),Constants!$C$6,Design!$B$40)/1000*(1+Constants!$C$29/100*(AC16-25))-Design!$C$28)/(IF(ISBLANK(Design!$B$39),Design!$B$38,Design!$B$39)/1000000)*T16/100/(IF(ISBLANK(Design!$B$32),Design!$B$31,Design!$B$32)*1000000))</f>
        <v>0.70892070205999747</v>
      </c>
      <c r="V16" s="159">
        <f>$B16*Constants!$C$18/1000+IF(ISBLANK(Design!$B$32),Design!$B$31,Design!$B$32)*1000000*Constants!$D$22/1000000000*(IF($B16&lt;Constants!$C$21,0,$B16-Constants!$C$21))</f>
        <v>1.0780480000000004E-2</v>
      </c>
      <c r="W16" s="225">
        <f>B16*R16*(B16/(Constants!$C$23*1000000000)*IF(ISBLANK(Design!$B$32),Design!$B$31,Design!$B$32)*1000000/2+B16/(Constants!$C$24*1000000000)*IF(ISBLANK(Design!$B$32),Design!$B$31,Design!$B$32)*1000000/2)</f>
        <v>0.11606962500000007</v>
      </c>
      <c r="X16" s="225">
        <f t="shared" ca="1" si="5"/>
        <v>0.52024472921599152</v>
      </c>
      <c r="Y16" s="225">
        <f>Constants!$D$22/1000000000*Constants!$C$21*IF(ISBLANK(Design!$B$32),Design!$B$31,Design!$B$32)*1000000</f>
        <v>1.2499999999999999E-2</v>
      </c>
      <c r="Z16" s="225">
        <f t="shared" ca="1" si="6"/>
        <v>0.65959483421599152</v>
      </c>
      <c r="AA16" s="225">
        <f t="shared" ca="1" si="7"/>
        <v>0.51807989470944382</v>
      </c>
      <c r="AB16" s="226">
        <f ca="1">$A16+AA16*Design!$B$19</f>
        <v>114.53055399843829</v>
      </c>
      <c r="AC16" s="226">
        <f ca="1">Z16*Design!$C$12+A16</f>
        <v>107.42622436334371</v>
      </c>
      <c r="AD16" s="226">
        <f ca="1">Constants!$D$19+Constants!$D$19*Constants!$C$20/100*(AC16-25)</f>
        <v>229.12917538880995</v>
      </c>
      <c r="AE16" s="225">
        <f ca="1">(1-Constants!$C$17/1000000000*Design!$B$32*1000000) * ($B16+S16-R16*AD16/1000) - (S16+R16*(1+($A16-25)*Constants!$C$29/100)*IF(ISBLANK(Design!$B$40),Constants!$C$6/1000,Design!$B$40/1000))</f>
        <v>8.1364861889213955</v>
      </c>
      <c r="AF16" s="339">
        <f ca="1">IF(AE16&gt;Design!$C$28,Design!$C$28,AE16)</f>
        <v>3.2940895522388054</v>
      </c>
      <c r="AG16" s="237">
        <f t="shared" si="12"/>
        <v>1.1666666666666667</v>
      </c>
      <c r="AH16" s="160">
        <f ca="1">FORECAST(AG16, OFFSET(Design!$C$15:$C$17,MATCH(AG16,Design!$B$15:$B$17,1)-1,0,2), OFFSET(Design!$B$15:$B$17,MATCH(AG16,Design!$B$15:$B$17,1)-1,0,2))+(AQ16-25)*Design!$B$18/1000</f>
        <v>0.32220147991669612</v>
      </c>
      <c r="AI16" s="238">
        <f ca="1">IF(100*(Design!$C$28+AH16+AG16*IF(ISBLANK(Design!$B$40),Constants!$C$6,Design!$B$40)/1000*(1+Constants!$C$29/100*(AR16-25)))/($B16+AH16-AG16*AS16/1000)&gt;Design!$C$35,Design!$C$35,100*(Design!$C$28+AH16+AG16*IF(ISBLANK(Design!$B$40),Constants!$C$6,Design!$B$40)/1000*(1+Constants!$C$29/100*(AR16-25)))/($B16+AH16-AG16*AS16/1000))</f>
        <v>39.403230457403517</v>
      </c>
      <c r="AJ16" s="161">
        <f ca="1">IF(($B16-AG16*IF(ISBLANK(Design!$B$40),Constants!$C$6,Design!$B$40)/1000*(1+Constants!$C$29/100*(AR16-25))-Design!$C$28)/(IF(ISBLANK(Design!$B$39),Design!$B$38,Design!$B$39)/1000000)*AI16/100/(IF(ISBLANK(Design!$B$32),Design!$B$31,Design!$B$32)*1000000)&lt;0,0,($B16-AG16*IF(ISBLANK(Design!$B$40),Constants!$C$6,Design!$B$40)/1000*(1+Constants!$C$29/100*(AR16-25))-Design!$C$28)/(IF(ISBLANK(Design!$B$39),Design!$B$38,Design!$B$39)/1000000)*AI16/100/(IF(ISBLANK(Design!$B$32),Design!$B$31,Design!$B$32)*1000000))</f>
        <v>0.67871525253089549</v>
      </c>
      <c r="AK16" s="161">
        <f>$B16*Constants!$C$18/1000+IF(ISBLANK(Design!$B$32),Design!$B$31,Design!$B$32)*1000000*Constants!$D$22/1000000000*(IF($B16&lt;Constants!$C$21,0,$B16-Constants!$C$21))</f>
        <v>1.0780480000000004E-2</v>
      </c>
      <c r="AL16" s="239">
        <f>$B16*AG16*($B16/(Constants!$C$23*1000000000)*IF(ISBLANK(Design!$B$32),Design!$B$31,Design!$B$32)*1000000/2+$B16/(Constants!$C$24*1000000000)*IF(ISBLANK(Design!$B$32),Design!$B$31,Design!$B$32)*1000000/2)</f>
        <v>5.8034812500000033E-2</v>
      </c>
      <c r="AM16" s="239">
        <f t="shared" ca="1" si="2"/>
        <v>0.1180693399153777</v>
      </c>
      <c r="AN16" s="239">
        <f>Constants!$D$22/1000000000*Constants!$C$21*IF(ISBLANK(Design!$B$32),Design!$B$31,Design!$B$32)*1000000</f>
        <v>1.2499999999999999E-2</v>
      </c>
      <c r="AO16" s="239">
        <f t="shared" ca="1" si="13"/>
        <v>0.19938463241537774</v>
      </c>
      <c r="AP16" s="239">
        <f t="shared" ca="1" si="9"/>
        <v>0.22778430295594829</v>
      </c>
      <c r="AQ16" s="240">
        <f ca="1">$A16+AP16*Design!$B$19</f>
        <v>97.983705268489047</v>
      </c>
      <c r="AR16" s="240">
        <f ca="1">AO16*Design!$C$12+$A16</f>
        <v>91.779077502122846</v>
      </c>
      <c r="AS16" s="240">
        <f ca="1">Constants!$D$19+Constants!$D$19*Constants!$C$20/100*(AR16-25)</f>
        <v>214.10791440203792</v>
      </c>
      <c r="AT16" s="239">
        <f ca="1">(1-Constants!$C$17/1000000000*Design!$B$32*1000000) * ($B16+AH16-AG16*AS16/1000) - (AH16+AG16*(1+($A16-25)*Constants!$C$29/100)*IF(ISBLANK(Design!$B$40),Constants!$C$6/1000,Design!$B$40/1000))</f>
        <v>8.4387516542085752</v>
      </c>
      <c r="AU16" s="342">
        <f ca="1">IF(AT16&gt;Design!$C$28,Design!$C$28,AT16)</f>
        <v>3.2940895522388054</v>
      </c>
    </row>
    <row r="17" spans="1:47" s="162" customFormat="1" ht="12.75" customHeight="1" x14ac:dyDescent="0.2">
      <c r="A17" s="154">
        <f>Design!$D$13</f>
        <v>85</v>
      </c>
      <c r="B17" s="155">
        <f t="shared" si="0"/>
        <v>8.9450000000000021</v>
      </c>
      <c r="C17" s="156">
        <f t="shared" si="10"/>
        <v>3.5</v>
      </c>
      <c r="D17" s="156">
        <f ca="1">FORECAST(C17, OFFSET(Design!$C$15:$C$17,MATCH(C17,Design!$B$15:$B$17,1)-1,0,2), OFFSET(Design!$B$15:$B$17,MATCH(C17,Design!$B$15:$B$17,1)-1,0,2))+(M17-25)*Design!$B$18/1000</f>
        <v>0.39422667757074964</v>
      </c>
      <c r="E17" s="215">
        <f ca="1">IF(100*(Design!$C$28+D17+C17*IF(ISBLANK(Design!$B$40),Constants!$C$6,Design!$B$40)/1000*(1+Constants!$C$29/100*(N17-25)))/($B17+D17-C17*O17/1000)&gt;Design!$C$35,Design!$C$35,100*(Design!$C$28+D17+C17*IF(ISBLANK(Design!$B$40),Constants!$C$6,Design!$B$40)/1000*(1+Constants!$C$29/100*(N17-25)))/($B17+D17-C17*O17/1000))</f>
        <v>44.978638763426368</v>
      </c>
      <c r="F17" s="157">
        <f ca="1">IF(($B17-C17*IF(ISBLANK(Design!$B$40),Constants!$C$6,Design!$B$40)/1000*(1+Constants!$C$29/100*(N17-25))-Design!$C$28)/(IF(ISBLANK(Design!$B$39),Design!$B$38,Design!$B$39)/1000000)*E17/100/(IF(ISBLANK(Design!$B$32),Design!$B$31,Design!$B$32)*1000000)&lt;0, 0, ($B17-C17*IF(ISBLANK(Design!$B$40),Constants!$C$6,Design!$B$40)/1000*(1+Constants!$C$29/100*(N17-25))-Design!$C$28)/(IF(ISBLANK(Design!$B$39),Design!$B$38,Design!$B$39)/1000000)*E17/100/(IF(ISBLANK(Design!$B$32),Design!$B$31,Design!$B$32)*1000000))</f>
        <v>0.73409841705954137</v>
      </c>
      <c r="G17" s="207">
        <f>$B17*Constants!$C$18/1000+IF(ISBLANK(Design!$B$32),Design!$B$31,Design!$B$32)*1000000*Constants!$D$22/1000000000*(IF($B17&lt;Constants!$C$21,0,$B17-Constants!$C$21))</f>
        <v>1.0184520000000004E-2</v>
      </c>
      <c r="H17" s="207">
        <f>B17*C17*(B17/(Constants!$C$23*1000000000)*IF(ISBLANK(Design!$B$32),Design!$B$31,Design!$B$32)*1000000/2+B17/(Constants!$C$24*1000000000)*IF(ISBLANK(Design!$B$32),Design!$B$31,Design!$B$32)*1000000/2)</f>
        <v>0.16530468706597232</v>
      </c>
      <c r="I17" s="207">
        <f t="shared" ca="1" si="1"/>
        <v>1.4423187856467115</v>
      </c>
      <c r="J17" s="207">
        <f>Constants!$D$22/1000000000*Constants!$C$21*IF(ISBLANK(Design!$B$32),Design!$B$31,Design!$B$32)*1000000</f>
        <v>1.2499999999999999E-2</v>
      </c>
      <c r="K17" s="207">
        <f t="shared" ca="1" si="3"/>
        <v>1.6303079927126838</v>
      </c>
      <c r="L17" s="207">
        <f t="shared" ca="1" si="4"/>
        <v>0.7591810952500061</v>
      </c>
      <c r="M17" s="208">
        <f ca="1">A17+L17*Design!$B$19</f>
        <v>128.27332242925036</v>
      </c>
      <c r="N17" s="208">
        <f ca="1">K17*Design!$C$12+A17</f>
        <v>140.43047175223126</v>
      </c>
      <c r="O17" s="208">
        <f ca="1">Constants!$D$19+Constants!$D$19*Constants!$C$20/100*(N17-25)</f>
        <v>260.81325288214202</v>
      </c>
      <c r="P17" s="207">
        <f ca="1">(1-Constants!$C$17/1000000000*Design!$B$32*1000000) * ($B17+D17-C17*O17/1000) - (D17+C17*(1+($A17-25)*Constants!$C$29/100)*IF(ISBLANK(Design!$B$40),Constants!$C$6/1000,Design!$B$40/1000))</f>
        <v>7.5243286002883423</v>
      </c>
      <c r="Q17" s="213">
        <f ca="1">IF(P17&gt;Design!$C$28,Design!$C$28,P17)</f>
        <v>3.2940895522388054</v>
      </c>
      <c r="R17" s="335">
        <f t="shared" si="11"/>
        <v>2.3333333333333335</v>
      </c>
      <c r="S17" s="158">
        <f ca="1">FORECAST(R17, OFFSET(Design!$C$15:$C$17,MATCH(R17,Design!$B$15:$B$17,1)-1,0,2), OFFSET(Design!$B$15:$B$17,MATCH(R17,Design!$B$15:$B$17,1)-1,0,2))+(AB17-25)*Design!$B$18/1000</f>
        <v>0.37932390140180872</v>
      </c>
      <c r="T17" s="224">
        <f ca="1">IF(100*(Design!$C$28+S17+R17*IF(ISBLANK(Design!$B$40),Constants!$C$6,Design!$B$40)/1000*(1+Constants!$C$29/100*(AC17-25)))/($B17+S17-R17*AD17/1000)&gt;Design!$C$35,Design!$C$35,100*(Design!$C$28+S17+R17*IF(ISBLANK(Design!$B$40),Constants!$C$6,Design!$B$40)/1000*(1+Constants!$C$29/100*(AC17-25)))/($B17+S17-R17*AD17/1000))</f>
        <v>42.498738214418353</v>
      </c>
      <c r="U17" s="159">
        <f ca="1">IF(($B17-R17*IF(ISBLANK(Design!$B$40),Constants!$C$6,Design!$B$40)/1000*(1+Constants!$C$29/100*(AC17-25))-Design!$C$28)/(IF(ISBLANK(Design!$B$39),Design!$B$38,Design!$B$39)/1000000)*T17/100/(IF(ISBLANK(Design!$B$32),Design!$B$31,Design!$B$32)*1000000)&lt;0, 0, ($B17-R17*IF(ISBLANK(Design!$B$40),Constants!$C$6,Design!$B$40)/1000*(1+Constants!$C$29/100*(AC17-25))-Design!$C$28)/(IF(ISBLANK(Design!$B$39),Design!$B$38,Design!$B$39)/1000000)*T17/100/(IF(ISBLANK(Design!$B$32),Design!$B$31,Design!$B$32)*1000000))</f>
        <v>0.69861385233418838</v>
      </c>
      <c r="V17" s="159">
        <f>$B17*Constants!$C$18/1000+IF(ISBLANK(Design!$B$32),Design!$B$31,Design!$B$32)*1000000*Constants!$D$22/1000000000*(IF($B17&lt;Constants!$C$21,0,$B17-Constants!$C$21))</f>
        <v>1.0184520000000004E-2</v>
      </c>
      <c r="W17" s="225">
        <f>B17*R17*(B17/(Constants!$C$23*1000000000)*IF(ISBLANK(Design!$B$32),Design!$B$31,Design!$B$32)*1000000/2+B17/(Constants!$C$24*1000000000)*IF(ISBLANK(Design!$B$32),Design!$B$31,Design!$B$32)*1000000/2)</f>
        <v>0.11020312471064822</v>
      </c>
      <c r="X17" s="225">
        <f t="shared" ca="1" si="5"/>
        <v>0.53473502448516952</v>
      </c>
      <c r="Y17" s="225">
        <f>Constants!$D$22/1000000000*Constants!$C$21*IF(ISBLANK(Design!$B$32),Design!$B$31,Design!$B$32)*1000000</f>
        <v>1.2499999999999999E-2</v>
      </c>
      <c r="Z17" s="225">
        <f t="shared" ca="1" si="6"/>
        <v>0.6676226691958177</v>
      </c>
      <c r="AA17" s="225">
        <f t="shared" ca="1" si="7"/>
        <v>0.50893740230744988</v>
      </c>
      <c r="AB17" s="226">
        <f ca="1">$A17+AA17*Design!$B$19</f>
        <v>114.00943193152465</v>
      </c>
      <c r="AC17" s="226">
        <f ca="1">Z17*Design!$C$12+A17</f>
        <v>107.69917075265781</v>
      </c>
      <c r="AD17" s="226">
        <f ca="1">Constants!$D$19+Constants!$D$19*Constants!$C$20/100*(AC17-25)</f>
        <v>229.39120392255148</v>
      </c>
      <c r="AE17" s="225">
        <f ca="1">(1-Constants!$C$17/1000000000*Design!$B$32*1000000) * ($B17+S17-R17*AD17/1000) - (S17+R17*(1+($A17-25)*Constants!$C$29/100)*IF(ISBLANK(Design!$B$40),Constants!$C$6/1000,Design!$B$40/1000))</f>
        <v>7.9126293029015899</v>
      </c>
      <c r="AF17" s="339">
        <f ca="1">IF(AE17&gt;Design!$C$28,Design!$C$28,AE17)</f>
        <v>3.2940895522388054</v>
      </c>
      <c r="AG17" s="237">
        <f t="shared" si="12"/>
        <v>1.1666666666666667</v>
      </c>
      <c r="AH17" s="160">
        <f ca="1">FORECAST(AG17, OFFSET(Design!$C$15:$C$17,MATCH(AG17,Design!$B$15:$B$17,1)-1,0,2), OFFSET(Design!$B$15:$B$17,MATCH(AG17,Design!$B$15:$B$17,1)-1,0,2))+(AQ17-25)*Design!$B$18/1000</f>
        <v>0.32241338363066402</v>
      </c>
      <c r="AI17" s="238">
        <f ca="1">IF(100*(Design!$C$28+AH17+AG17*IF(ISBLANK(Design!$B$40),Constants!$C$6,Design!$B$40)/1000*(1+Constants!$C$29/100*(AR17-25)))/($B17+AH17-AG17*AS17/1000)&gt;Design!$C$35,Design!$C$35,100*(Design!$C$28+AH17+AG17*IF(ISBLANK(Design!$B$40),Constants!$C$6,Design!$B$40)/1000*(1+Constants!$C$29/100*(AR17-25)))/($B17+AH17-AG17*AS17/1000))</f>
        <v>40.431391504079301</v>
      </c>
      <c r="AJ17" s="161">
        <f ca="1">IF(($B17-AG17*IF(ISBLANK(Design!$B$40),Constants!$C$6,Design!$B$40)/1000*(1+Constants!$C$29/100*(AR17-25))-Design!$C$28)/(IF(ISBLANK(Design!$B$39),Design!$B$38,Design!$B$39)/1000000)*AI17/100/(IF(ISBLANK(Design!$B$32),Design!$B$31,Design!$B$32)*1000000)&lt;0,0,($B17-AG17*IF(ISBLANK(Design!$B$40),Constants!$C$6,Design!$B$40)/1000*(1+Constants!$C$29/100*(AR17-25))-Design!$C$28)/(IF(ISBLANK(Design!$B$39),Design!$B$38,Design!$B$39)/1000000)*AI17/100/(IF(ISBLANK(Design!$B$32),Design!$B$31,Design!$B$32)*1000000))</f>
        <v>0.66848016632226925</v>
      </c>
      <c r="AK17" s="161">
        <f>$B17*Constants!$C$18/1000+IF(ISBLANK(Design!$B$32),Design!$B$31,Design!$B$32)*1000000*Constants!$D$22/1000000000*(IF($B17&lt;Constants!$C$21,0,$B17-Constants!$C$21))</f>
        <v>1.0184520000000004E-2</v>
      </c>
      <c r="AL17" s="239">
        <f>$B17*AG17*($B17/(Constants!$C$23*1000000000)*IF(ISBLANK(Design!$B$32),Design!$B$31,Design!$B$32)*1000000/2+$B17/(Constants!$C$24*1000000000)*IF(ISBLANK(Design!$B$32),Design!$B$31,Design!$B$32)*1000000/2)</f>
        <v>5.510156235532411E-2</v>
      </c>
      <c r="AM17" s="239">
        <f t="shared" ca="1" si="2"/>
        <v>0.12104039065042153</v>
      </c>
      <c r="AN17" s="239">
        <f>Constants!$D$22/1000000000*Constants!$C$21*IF(ISBLANK(Design!$B$32),Design!$B$31,Design!$B$32)*1000000</f>
        <v>1.2499999999999999E-2</v>
      </c>
      <c r="AO17" s="239">
        <f t="shared" ca="1" si="13"/>
        <v>0.19882647300574566</v>
      </c>
      <c r="AP17" s="239">
        <f t="shared" ca="1" si="9"/>
        <v>0.22406669393896797</v>
      </c>
      <c r="AQ17" s="240">
        <f ca="1">$A17+AP17*Design!$B$19</f>
        <v>97.771801554521176</v>
      </c>
      <c r="AR17" s="240">
        <f ca="1">AO17*Design!$C$12+$A17</f>
        <v>91.760100082195351</v>
      </c>
      <c r="AS17" s="240">
        <f ca="1">Constants!$D$19+Constants!$D$19*Constants!$C$20/100*(AR17-25)</f>
        <v>214.08969607890754</v>
      </c>
      <c r="AT17" s="239">
        <f ca="1">(1-Constants!$C$17/1000000000*Design!$B$32*1000000) * ($B17+AH17-AG17*AS17/1000) - (AH17+AG17*(1+($A17-25)*Constants!$C$29/100)*IF(ISBLANK(Design!$B$40),Constants!$C$6/1000,Design!$B$40/1000))</f>
        <v>8.2155112509976789</v>
      </c>
      <c r="AU17" s="342">
        <f ca="1">IF(AT17&gt;Design!$C$28,Design!$C$28,AT17)</f>
        <v>3.2940895522388054</v>
      </c>
    </row>
    <row r="18" spans="1:47" s="162" customFormat="1" ht="12.75" customHeight="1" x14ac:dyDescent="0.2">
      <c r="A18" s="154">
        <f>Design!$D$13</f>
        <v>85</v>
      </c>
      <c r="B18" s="155">
        <f t="shared" si="0"/>
        <v>8.7100000000000026</v>
      </c>
      <c r="C18" s="156">
        <f t="shared" si="10"/>
        <v>3.5</v>
      </c>
      <c r="D18" s="156">
        <f ca="1">FORECAST(C18, OFFSET(Design!$C$15:$C$17,MATCH(C18,Design!$B$15:$B$17,1)-1,0,2), OFFSET(Design!$B$15:$B$17,MATCH(C18,Design!$B$15:$B$17,1)-1,0,2))+(M18-25)*Design!$B$18/1000</f>
        <v>0.39516978547536613</v>
      </c>
      <c r="E18" s="215">
        <f ca="1">IF(100*(Design!$C$28+D18+C18*IF(ISBLANK(Design!$B$40),Constants!$C$6,Design!$B$40)/1000*(1+Constants!$C$29/100*(N18-25)))/($B18+D18-C18*O18/1000)&gt;Design!$C$35,Design!$C$35,100*(Design!$C$28+D18+C18*IF(ISBLANK(Design!$B$40),Constants!$C$6,Design!$B$40)/1000*(1+Constants!$C$29/100*(N18-25)))/($B18+D18-C18*O18/1000))</f>
        <v>46.30623741032592</v>
      </c>
      <c r="F18" s="157">
        <f ca="1">IF(($B18-C18*IF(ISBLANK(Design!$B$40),Constants!$C$6,Design!$B$40)/1000*(1+Constants!$C$29/100*(N18-25))-Design!$C$28)/(IF(ISBLANK(Design!$B$39),Design!$B$38,Design!$B$39)/1000000)*E18/100/(IF(ISBLANK(Design!$B$32),Design!$B$31,Design!$B$32)*1000000)&lt;0, 0, ($B18-C18*IF(ISBLANK(Design!$B$40),Constants!$C$6,Design!$B$40)/1000*(1+Constants!$C$29/100*(N18-25))-Design!$C$28)/(IF(ISBLANK(Design!$B$39),Design!$B$38,Design!$B$39)/1000000)*E18/100/(IF(ISBLANK(Design!$B$32),Design!$B$31,Design!$B$32)*1000000))</f>
        <v>0.72370840752229582</v>
      </c>
      <c r="G18" s="207">
        <f>$B18*Constants!$C$18/1000+IF(ISBLANK(Design!$B$32),Design!$B$31,Design!$B$32)*1000000*Constants!$D$22/1000000000*(IF($B18&lt;Constants!$C$21,0,$B18-Constants!$C$21))</f>
        <v>9.5885600000000064E-3</v>
      </c>
      <c r="H18" s="207">
        <f>B18*C18*(B18/(Constants!$C$23*1000000000)*IF(ISBLANK(Design!$B$32),Design!$B$31,Design!$B$32)*1000000/2+B18/(Constants!$C$24*1000000000)*IF(ISBLANK(Design!$B$32),Design!$B$31,Design!$B$32)*1000000/2)</f>
        <v>0.156733123263889</v>
      </c>
      <c r="I18" s="207">
        <f t="shared" ca="1" si="1"/>
        <v>1.4923266921582863</v>
      </c>
      <c r="J18" s="207">
        <f>Constants!$D$22/1000000000*Constants!$C$21*IF(ISBLANK(Design!$B$32),Design!$B$31,Design!$B$32)*1000000</f>
        <v>1.2499999999999999E-2</v>
      </c>
      <c r="K18" s="207">
        <f t="shared" ca="1" si="3"/>
        <v>1.6711483754221752</v>
      </c>
      <c r="L18" s="207">
        <f t="shared" ca="1" si="4"/>
        <v>0.74263534253743624</v>
      </c>
      <c r="M18" s="208">
        <f ca="1">A18+L18*Design!$B$19</f>
        <v>127.33021452463387</v>
      </c>
      <c r="N18" s="208">
        <f ca="1">K18*Design!$C$12+A18</f>
        <v>141.81904476435395</v>
      </c>
      <c r="O18" s="208">
        <f ca="1">Constants!$D$19+Constants!$D$19*Constants!$C$20/100*(N18-25)</f>
        <v>262.14628297377976</v>
      </c>
      <c r="P18" s="207">
        <f ca="1">(1-Constants!$C$17/1000000000*Design!$B$32*1000000) * ($B18+D18-C18*O18/1000) - (D18+C18*(1+($A18-25)*Constants!$C$29/100)*IF(ISBLANK(Design!$B$40),Constants!$C$6/1000,Design!$B$40/1000))</f>
        <v>7.2965991198384152</v>
      </c>
      <c r="Q18" s="213">
        <f ca="1">IF(P18&gt;Design!$C$28,Design!$C$28,P18)</f>
        <v>3.2940895522388054</v>
      </c>
      <c r="R18" s="335">
        <f t="shared" si="11"/>
        <v>2.3333333333333335</v>
      </c>
      <c r="S18" s="158">
        <f ca="1">FORECAST(R18, OFFSET(Design!$C$15:$C$17,MATCH(R18,Design!$B$15:$B$17,1)-1,0,2), OFFSET(Design!$B$15:$B$17,MATCH(R18,Design!$B$15:$B$17,1)-1,0,2))+(AB18-25)*Design!$B$18/1000</f>
        <v>0.37987554271699864</v>
      </c>
      <c r="T18" s="224">
        <f ca="1">IF(100*(Design!$C$28+S18+R18*IF(ISBLANK(Design!$B$40),Constants!$C$6,Design!$B$40)/1000*(1+Constants!$C$29/100*(AC18-25)))/($B18+S18-R18*AD18/1000)&gt;Design!$C$35,Design!$C$35,100*(Design!$C$28+S18+R18*IF(ISBLANK(Design!$B$40),Constants!$C$6,Design!$B$40)/1000*(1+Constants!$C$29/100*(AC18-25)))/($B18+S18-R18*AD18/1000))</f>
        <v>43.674091527876911</v>
      </c>
      <c r="U18" s="159">
        <f ca="1">IF(($B18-R18*IF(ISBLANK(Design!$B$40),Constants!$C$6,Design!$B$40)/1000*(1+Constants!$C$29/100*(AC18-25))-Design!$C$28)/(IF(ISBLANK(Design!$B$39),Design!$B$38,Design!$B$39)/1000000)*T18/100/(IF(ISBLANK(Design!$B$32),Design!$B$31,Design!$B$32)*1000000)&lt;0, 0, ($B18-R18*IF(ISBLANK(Design!$B$40),Constants!$C$6,Design!$B$40)/1000*(1+Constants!$C$29/100*(AC18-25))-Design!$C$28)/(IF(ISBLANK(Design!$B$39),Design!$B$38,Design!$B$39)/1000000)*T18/100/(IF(ISBLANK(Design!$B$32),Design!$B$31,Design!$B$32)*1000000))</f>
        <v>0.68774108993910721</v>
      </c>
      <c r="V18" s="159">
        <f>$B18*Constants!$C$18/1000+IF(ISBLANK(Design!$B$32),Design!$B$31,Design!$B$32)*1000000*Constants!$D$22/1000000000*(IF($B18&lt;Constants!$C$21,0,$B18-Constants!$C$21))</f>
        <v>9.5885600000000064E-3</v>
      </c>
      <c r="W18" s="225">
        <f>B18*R18*(B18/(Constants!$C$23*1000000000)*IF(ISBLANK(Design!$B$32),Design!$B$31,Design!$B$32)*1000000/2+B18/(Constants!$C$24*1000000000)*IF(ISBLANK(Design!$B$32),Design!$B$31,Design!$B$32)*1000000/2)</f>
        <v>0.10448874884259268</v>
      </c>
      <c r="X18" s="225">
        <f t="shared" ca="1" si="5"/>
        <v>0.5501062370811286</v>
      </c>
      <c r="Y18" s="225">
        <f>Constants!$D$22/1000000000*Constants!$C$21*IF(ISBLANK(Design!$B$32),Design!$B$31,Design!$B$32)*1000000</f>
        <v>1.2499999999999999E-2</v>
      </c>
      <c r="Z18" s="225">
        <f t="shared" ca="1" si="6"/>
        <v>0.67668354592372126</v>
      </c>
      <c r="AA18" s="225">
        <f t="shared" ca="1" si="7"/>
        <v>0.49925948449710089</v>
      </c>
      <c r="AB18" s="226">
        <f ca="1">$A18+AA18*Design!$B$19</f>
        <v>113.45779061633475</v>
      </c>
      <c r="AC18" s="226">
        <f ca="1">Z18*Design!$C$12+A18</f>
        <v>108.00724056140652</v>
      </c>
      <c r="AD18" s="226">
        <f ca="1">Constants!$D$19+Constants!$D$19*Constants!$C$20/100*(AC18-25)</f>
        <v>229.68695093895025</v>
      </c>
      <c r="AE18" s="225">
        <f ca="1">(1-Constants!$C$17/1000000000*Design!$B$32*1000000) * ($B18+S18-R18*AD18/1000) - (S18+R18*(1+($A18-25)*Constants!$C$29/100)*IF(ISBLANK(Design!$B$40),Constants!$C$6/1000,Design!$B$40/1000))</f>
        <v>7.688696148282812</v>
      </c>
      <c r="AF18" s="339">
        <f ca="1">IF(AE18&gt;Design!$C$28,Design!$C$28,AE18)</f>
        <v>3.2940895522388054</v>
      </c>
      <c r="AG18" s="237">
        <f t="shared" si="12"/>
        <v>1.1666666666666667</v>
      </c>
      <c r="AH18" s="160">
        <f ca="1">FORECAST(AG18, OFFSET(Design!$C$15:$C$17,MATCH(AG18,Design!$B$15:$B$17,1)-1,0,2), OFFSET(Design!$B$15:$B$17,MATCH(AG18,Design!$B$15:$B$17,1)-1,0,2))+(AQ18-25)*Design!$B$18/1000</f>
        <v>0.32263694396294584</v>
      </c>
      <c r="AI18" s="238">
        <f ca="1">IF(100*(Design!$C$28+AH18+AG18*IF(ISBLANK(Design!$B$40),Constants!$C$6,Design!$B$40)/1000*(1+Constants!$C$29/100*(AR18-25)))/($B18+AH18-AG18*AS18/1000)&gt;Design!$C$35,Design!$C$35,100*(Design!$C$28+AH18+AG18*IF(ISBLANK(Design!$B$40),Constants!$C$6,Design!$B$40)/1000*(1+Constants!$C$29/100*(AR18-25)))/($B18+AH18-AG18*AS18/1000))</f>
        <v>41.514646646580374</v>
      </c>
      <c r="AJ18" s="161">
        <f ca="1">IF(($B18-AG18*IF(ISBLANK(Design!$B$40),Constants!$C$6,Design!$B$40)/1000*(1+Constants!$C$29/100*(AR18-25))-Design!$C$28)/(IF(ISBLANK(Design!$B$39),Design!$B$38,Design!$B$39)/1000000)*AI18/100/(IF(ISBLANK(Design!$B$32),Design!$B$31,Design!$B$32)*1000000)&lt;0,0,($B18-AG18*IF(ISBLANK(Design!$B$40),Constants!$C$6,Design!$B$40)/1000*(1+Constants!$C$29/100*(AR18-25))-Design!$C$28)/(IF(ISBLANK(Design!$B$39),Design!$B$38,Design!$B$39)/1000000)*AI18/100/(IF(ISBLANK(Design!$B$32),Design!$B$31,Design!$B$32)*1000000))</f>
        <v>0.65769654870541572</v>
      </c>
      <c r="AK18" s="161">
        <f>$B18*Constants!$C$18/1000+IF(ISBLANK(Design!$B$32),Design!$B$31,Design!$B$32)*1000000*Constants!$D$22/1000000000*(IF($B18&lt;Constants!$C$21,0,$B18-Constants!$C$21))</f>
        <v>9.5885600000000064E-3</v>
      </c>
      <c r="AL18" s="239">
        <f>$B18*AG18*($B18/(Constants!$C$23*1000000000)*IF(ISBLANK(Design!$B$32),Design!$B$31,Design!$B$32)*1000000/2+$B18/(Constants!$C$24*1000000000)*IF(ISBLANK(Design!$B$32),Design!$B$31,Design!$B$32)*1000000/2)</f>
        <v>5.2244374421296341E-2</v>
      </c>
      <c r="AM18" s="239">
        <f t="shared" ca="1" si="2"/>
        <v>0.12417133571963521</v>
      </c>
      <c r="AN18" s="239">
        <f>Constants!$D$22/1000000000*Constants!$C$21*IF(ISBLANK(Design!$B$32),Design!$B$31,Design!$B$32)*1000000</f>
        <v>1.2499999999999999E-2</v>
      </c>
      <c r="AO18" s="239">
        <f t="shared" ca="1" si="13"/>
        <v>0.19850427014093158</v>
      </c>
      <c r="AP18" s="239">
        <f t="shared" ca="1" si="9"/>
        <v>0.22014458284630389</v>
      </c>
      <c r="AQ18" s="240">
        <f ca="1">$A18+AP18*Design!$B$19</f>
        <v>97.548241222239326</v>
      </c>
      <c r="AR18" s="240">
        <f ca="1">AO18*Design!$C$12+$A18</f>
        <v>91.749145184791672</v>
      </c>
      <c r="AS18" s="240">
        <f ca="1">Constants!$D$19+Constants!$D$19*Constants!$C$20/100*(AR18-25)</f>
        <v>214.07917937740001</v>
      </c>
      <c r="AT18" s="239">
        <f ca="1">(1-Constants!$C$17/1000000000*Design!$B$32*1000000) * ($B18+AH18-AG18*AS18/1000) - (AH18+AG18*(1+($A18-25)*Constants!$C$29/100)*IF(ISBLANK(Design!$B$40),Constants!$C$6/1000,Design!$B$40/1000))</f>
        <v>7.9922617289919042</v>
      </c>
      <c r="AU18" s="342">
        <f ca="1">IF(AT18&gt;Design!$C$28,Design!$C$28,AT18)</f>
        <v>3.2940895522388054</v>
      </c>
    </row>
    <row r="19" spans="1:47" s="162" customFormat="1" ht="12.75" customHeight="1" x14ac:dyDescent="0.2">
      <c r="A19" s="154">
        <f>Design!$D$13</f>
        <v>85</v>
      </c>
      <c r="B19" s="155">
        <f t="shared" si="0"/>
        <v>8.4750000000000032</v>
      </c>
      <c r="C19" s="156">
        <f t="shared" si="10"/>
        <v>3.5</v>
      </c>
      <c r="D19" s="156">
        <f ca="1">FORECAST(C19, OFFSET(Design!$C$15:$C$17,MATCH(C19,Design!$B$15:$B$17,1)-1,0,2), OFFSET(Design!$B$15:$B$17,MATCH(C19,Design!$B$15:$B$17,1)-1,0,2))+(M19-25)*Design!$B$18/1000</f>
        <v>0.39617716526972568</v>
      </c>
      <c r="E19" s="215">
        <f ca="1">IF(100*(Design!$C$28+D19+C19*IF(ISBLANK(Design!$B$40),Constants!$C$6,Design!$B$40)/1000*(1+Constants!$C$29/100*(N19-25)))/($B19+D19-C19*O19/1000)&gt;Design!$C$35,Design!$C$35,100*(Design!$C$28+D19+C19*IF(ISBLANK(Design!$B$40),Constants!$C$6,Design!$B$40)/1000*(1+Constants!$C$29/100*(N19-25)))/($B19+D19-C19*O19/1000))</f>
        <v>47.717329059209426</v>
      </c>
      <c r="F19" s="157">
        <f ca="1">IF(($B19-C19*IF(ISBLANK(Design!$B$40),Constants!$C$6,Design!$B$40)/1000*(1+Constants!$C$29/100*(N19-25))-Design!$C$28)/(IF(ISBLANK(Design!$B$39),Design!$B$38,Design!$B$39)/1000000)*E19/100/(IF(ISBLANK(Design!$B$32),Design!$B$31,Design!$B$32)*1000000)&lt;0, 0, ($B19-C19*IF(ISBLANK(Design!$B$40),Constants!$C$6,Design!$B$40)/1000*(1+Constants!$C$29/100*(N19-25))-Design!$C$28)/(IF(ISBLANK(Design!$B$39),Design!$B$38,Design!$B$39)/1000000)*E19/100/(IF(ISBLANK(Design!$B$32),Design!$B$31,Design!$B$32)*1000000))</f>
        <v>0.71272185399748644</v>
      </c>
      <c r="G19" s="207">
        <f>$B19*Constants!$C$18/1000+IF(ISBLANK(Design!$B$32),Design!$B$31,Design!$B$32)*1000000*Constants!$D$22/1000000000*(IF($B19&lt;Constants!$C$21,0,$B19-Constants!$C$21))</f>
        <v>8.9926000000000086E-3</v>
      </c>
      <c r="H19" s="207">
        <f>B19*C19*(B19/(Constants!$C$23*1000000000)*IF(ISBLANK(Design!$B$32),Design!$B$31,Design!$B$32)*1000000/2+B19/(Constants!$C$24*1000000000)*IF(ISBLANK(Design!$B$32),Design!$B$31,Design!$B$32)*1000000/2)</f>
        <v>0.14838974609375014</v>
      </c>
      <c r="I19" s="207">
        <f t="shared" ca="1" si="1"/>
        <v>1.5462502396409721</v>
      </c>
      <c r="J19" s="207">
        <f>Constants!$D$22/1000000000*Constants!$C$21*IF(ISBLANK(Design!$B$32),Design!$B$31,Design!$B$32)*1000000</f>
        <v>1.2499999999999999E-2</v>
      </c>
      <c r="K19" s="207">
        <f t="shared" ca="1" si="3"/>
        <v>1.7161325857347223</v>
      </c>
      <c r="L19" s="207">
        <f t="shared" ca="1" si="4"/>
        <v>0.72496201281182959</v>
      </c>
      <c r="M19" s="208">
        <f ca="1">A19+L19*Design!$B$19</f>
        <v>126.32283473027428</v>
      </c>
      <c r="N19" s="208">
        <f ca="1">K19*Design!$C$12+A19</f>
        <v>143.34850791498056</v>
      </c>
      <c r="O19" s="208">
        <f ca="1">Constants!$D$19+Constants!$D$19*Constants!$C$20/100*(N19-25)</f>
        <v>263.61456759838131</v>
      </c>
      <c r="P19" s="207">
        <f ca="1">(1-Constants!$C$17/1000000000*Design!$B$32*1000000) * ($B19+D19-C19*O19/1000) - (D19+C19*(1+($A19-25)*Constants!$C$29/100)*IF(ISBLANK(Design!$B$40),Constants!$C$6/1000,Design!$B$40/1000))</f>
        <v>7.0684167044718977</v>
      </c>
      <c r="Q19" s="213">
        <f ca="1">IF(P19&gt;Design!$C$28,Design!$C$28,P19)</f>
        <v>3.2940895522388054</v>
      </c>
      <c r="R19" s="335">
        <f t="shared" si="11"/>
        <v>2.3333333333333335</v>
      </c>
      <c r="S19" s="158">
        <f ca="1">FORECAST(R19, OFFSET(Design!$C$15:$C$17,MATCH(R19,Design!$B$15:$B$17,1)-1,0,2), OFFSET(Design!$B$15:$B$17,MATCH(R19,Design!$B$15:$B$17,1)-1,0,2))+(AB19-25)*Design!$B$18/1000</f>
        <v>0.38046047461717564</v>
      </c>
      <c r="T19" s="224">
        <f ca="1">IF(100*(Design!$C$28+S19+R19*IF(ISBLANK(Design!$B$40),Constants!$C$6,Design!$B$40)/1000*(1+Constants!$C$29/100*(AC19-25)))/($B19+S19-R19*AD19/1000)&gt;Design!$C$35,Design!$C$35,100*(Design!$C$28+S19+R19*IF(ISBLANK(Design!$B$40),Constants!$C$6,Design!$B$40)/1000*(1+Constants!$C$29/100*(AC19-25)))/($B19+S19-R19*AD19/1000))</f>
        <v>44.916652249416245</v>
      </c>
      <c r="U19" s="159">
        <f ca="1">IF(($B19-R19*IF(ISBLANK(Design!$B$40),Constants!$C$6,Design!$B$40)/1000*(1+Constants!$C$29/100*(AC19-25))-Design!$C$28)/(IF(ISBLANK(Design!$B$39),Design!$B$38,Design!$B$39)/1000000)*T19/100/(IF(ISBLANK(Design!$B$32),Design!$B$31,Design!$B$32)*1000000)&lt;0, 0, ($B19-R19*IF(ISBLANK(Design!$B$40),Constants!$C$6,Design!$B$40)/1000*(1+Constants!$C$29/100*(AC19-25))-Design!$C$28)/(IF(ISBLANK(Design!$B$39),Design!$B$38,Design!$B$39)/1000000)*T19/100/(IF(ISBLANK(Design!$B$32),Design!$B$31,Design!$B$32)*1000000))</f>
        <v>0.6762541249019407</v>
      </c>
      <c r="V19" s="159">
        <f>$B19*Constants!$C$18/1000+IF(ISBLANK(Design!$B$32),Design!$B$31,Design!$B$32)*1000000*Constants!$D$22/1000000000*(IF($B19&lt;Constants!$C$21,0,$B19-Constants!$C$21))</f>
        <v>8.9926000000000086E-3</v>
      </c>
      <c r="W19" s="225">
        <f>B19*R19*(B19/(Constants!$C$23*1000000000)*IF(ISBLANK(Design!$B$32),Design!$B$31,Design!$B$32)*1000000/2+B19/(Constants!$C$24*1000000000)*IF(ISBLANK(Design!$B$32),Design!$B$31,Design!$B$32)*1000000/2)</f>
        <v>9.8926497395833424E-2</v>
      </c>
      <c r="X19" s="225">
        <f t="shared" ca="1" si="5"/>
        <v>0.56644039746265784</v>
      </c>
      <c r="Y19" s="225">
        <f>Constants!$D$22/1000000000*Constants!$C$21*IF(ISBLANK(Design!$B$32),Design!$B$31,Design!$B$32)*1000000</f>
        <v>1.2499999999999999E-2</v>
      </c>
      <c r="Z19" s="225">
        <f t="shared" ca="1" si="6"/>
        <v>0.68685949485849118</v>
      </c>
      <c r="AA19" s="225">
        <f t="shared" ca="1" si="7"/>
        <v>0.48899752133610069</v>
      </c>
      <c r="AB19" s="226">
        <f ca="1">$A19+AA19*Design!$B$19</f>
        <v>112.87285871615774</v>
      </c>
      <c r="AC19" s="226">
        <f ca="1">Z19*Design!$C$12+A19</f>
        <v>108.35322282518871</v>
      </c>
      <c r="AD19" s="226">
        <f ca="1">Constants!$D$19+Constants!$D$19*Constants!$C$20/100*(AC19-25)</f>
        <v>230.01909391218118</v>
      </c>
      <c r="AE19" s="225">
        <f ca="1">(1-Constants!$C$17/1000000000*Design!$B$32*1000000) * ($B19+S19-R19*AD19/1000) - (S19+R19*(1+($A19-25)*Constants!$C$29/100)*IF(ISBLANK(Design!$B$40),Constants!$C$6/1000,Design!$B$40/1000))</f>
        <v>7.4646806514304753</v>
      </c>
      <c r="AF19" s="339">
        <f ca="1">IF(AE19&gt;Design!$C$28,Design!$C$28,AE19)</f>
        <v>3.2940895522388054</v>
      </c>
      <c r="AG19" s="237">
        <f t="shared" si="12"/>
        <v>1.1666666666666667</v>
      </c>
      <c r="AH19" s="160">
        <f ca="1">FORECAST(AG19, OFFSET(Design!$C$15:$C$17,MATCH(AG19,Design!$B$15:$B$17,1)-1,0,2), OFFSET(Design!$B$15:$B$17,MATCH(AG19,Design!$B$15:$B$17,1)-1,0,2))+(AQ19-25)*Design!$B$18/1000</f>
        <v>0.3228731494621393</v>
      </c>
      <c r="AI19" s="238">
        <f ca="1">IF(100*(Design!$C$28+AH19+AG19*IF(ISBLANK(Design!$B$40),Constants!$C$6,Design!$B$40)/1000*(1+Constants!$C$29/100*(AR19-25)))/($B19+AH19-AG19*AS19/1000)&gt;Design!$C$35,Design!$C$35,100*(Design!$C$28+AH19+AG19*IF(ISBLANK(Design!$B$40),Constants!$C$6,Design!$B$40)/1000*(1+Constants!$C$29/100*(AR19-25)))/($B19+AH19-AG19*AS19/1000))</f>
        <v>42.657543793920254</v>
      </c>
      <c r="AJ19" s="161">
        <f ca="1">IF(($B19-AG19*IF(ISBLANK(Design!$B$40),Constants!$C$6,Design!$B$40)/1000*(1+Constants!$C$29/100*(AR19-25))-Design!$C$28)/(IF(ISBLANK(Design!$B$39),Design!$B$38,Design!$B$39)/1000000)*AI19/100/(IF(ISBLANK(Design!$B$32),Design!$B$31,Design!$B$32)*1000000)&lt;0,0,($B19-AG19*IF(ISBLANK(Design!$B$40),Constants!$C$6,Design!$B$40)/1000*(1+Constants!$C$29/100*(AR19-25))-Design!$C$28)/(IF(ISBLANK(Design!$B$39),Design!$B$38,Design!$B$39)/1000000)*AI19/100/(IF(ISBLANK(Design!$B$32),Design!$B$31,Design!$B$32)*1000000))</f>
        <v>0.64631905564596304</v>
      </c>
      <c r="AK19" s="161">
        <f>$B19*Constants!$C$18/1000+IF(ISBLANK(Design!$B$32),Design!$B$31,Design!$B$32)*1000000*Constants!$D$22/1000000000*(IF($B19&lt;Constants!$C$21,0,$B19-Constants!$C$21))</f>
        <v>8.9926000000000086E-3</v>
      </c>
      <c r="AL19" s="239">
        <f>$B19*AG19*($B19/(Constants!$C$23*1000000000)*IF(ISBLANK(Design!$B$32),Design!$B$31,Design!$B$32)*1000000/2+$B19/(Constants!$C$24*1000000000)*IF(ISBLANK(Design!$B$32),Design!$B$31,Design!$B$32)*1000000/2)</f>
        <v>4.9463248697916712E-2</v>
      </c>
      <c r="AM19" s="239">
        <f t="shared" ca="1" si="2"/>
        <v>0.12747544464148999</v>
      </c>
      <c r="AN19" s="239">
        <f>Constants!$D$22/1000000000*Constants!$C$21*IF(ISBLANK(Design!$B$32),Design!$B$31,Design!$B$32)*1000000</f>
        <v>1.2499999999999999E-2</v>
      </c>
      <c r="AO19" s="239">
        <f t="shared" ca="1" si="13"/>
        <v>0.19843129333940673</v>
      </c>
      <c r="AP19" s="239">
        <f t="shared" ca="1" si="9"/>
        <v>0.21600062672010387</v>
      </c>
      <c r="AQ19" s="240">
        <f ca="1">$A19+AP19*Design!$B$19</f>
        <v>97.312035723045923</v>
      </c>
      <c r="AR19" s="240">
        <f ca="1">AO19*Design!$C$12+$A19</f>
        <v>91.746663973539825</v>
      </c>
      <c r="AS19" s="240">
        <f ca="1">Constants!$D$19+Constants!$D$19*Constants!$C$20/100*(AR19-25)</f>
        <v>214.07679741459822</v>
      </c>
      <c r="AT19" s="239">
        <f ca="1">(1-Constants!$C$17/1000000000*Design!$B$32*1000000) * ($B19+AH19-AG19*AS19/1000) - (AH19+AG19*(1+($A19-25)*Constants!$C$29/100)*IF(ISBLANK(Design!$B$40),Constants!$C$6/1000,Design!$B$40/1000))</f>
        <v>7.7690025587257159</v>
      </c>
      <c r="AU19" s="342">
        <f ca="1">IF(AT19&gt;Design!$C$28,Design!$C$28,AT19)</f>
        <v>3.2940895522388054</v>
      </c>
    </row>
    <row r="20" spans="1:47" s="162" customFormat="1" ht="12.75" customHeight="1" x14ac:dyDescent="0.2">
      <c r="A20" s="154">
        <f>Design!$D$13</f>
        <v>85</v>
      </c>
      <c r="B20" s="155">
        <f t="shared" si="0"/>
        <v>8.2400000000000038</v>
      </c>
      <c r="C20" s="156">
        <f t="shared" si="10"/>
        <v>3.5</v>
      </c>
      <c r="D20" s="156">
        <f ca="1">FORECAST(C20, OFFSET(Design!$C$15:$C$17,MATCH(C20,Design!$B$15:$B$17,1)-1,0,2), OFFSET(Design!$B$15:$B$17,MATCH(C20,Design!$B$15:$B$17,1)-1,0,2))+(M20-25)*Design!$B$18/1000</f>
        <v>0.39725584972589734</v>
      </c>
      <c r="E20" s="215">
        <f ca="1">IF(100*(Design!$C$28+D20+C20*IF(ISBLANK(Design!$B$40),Constants!$C$6,Design!$B$40)/1000*(1+Constants!$C$29/100*(N20-25)))/($B20+D20-C20*O20/1000)&gt;Design!$C$35,Design!$C$35,100*(Design!$C$28+D20+C20*IF(ISBLANK(Design!$B$40),Constants!$C$6,Design!$B$40)/1000*(1+Constants!$C$29/100*(N20-25)))/($B20+D20-C20*O20/1000))</f>
        <v>49.220366630276636</v>
      </c>
      <c r="F20" s="157">
        <f ca="1">IF(($B20-C20*IF(ISBLANK(Design!$B$40),Constants!$C$6,Design!$B$40)/1000*(1+Constants!$C$29/100*(N20-25))-Design!$C$28)/(IF(ISBLANK(Design!$B$39),Design!$B$38,Design!$B$39)/1000000)*E20/100/(IF(ISBLANK(Design!$B$32),Design!$B$31,Design!$B$32)*1000000)&lt;0, 0, ($B20-C20*IF(ISBLANK(Design!$B$40),Constants!$C$6,Design!$B$40)/1000*(1+Constants!$C$29/100*(N20-25))-Design!$C$28)/(IF(ISBLANK(Design!$B$39),Design!$B$38,Design!$B$39)/1000000)*E20/100/(IF(ISBLANK(Design!$B$32),Design!$B$31,Design!$B$32)*1000000))</f>
        <v>0.70108458454582423</v>
      </c>
      <c r="G20" s="207">
        <f>$B20*Constants!$C$18/1000+IF(ISBLANK(Design!$B$32),Design!$B$31,Design!$B$32)*1000000*Constants!$D$22/1000000000*(IF($B20&lt;Constants!$C$21,0,$B20-Constants!$C$21))</f>
        <v>8.3966400000000108E-3</v>
      </c>
      <c r="H20" s="207">
        <f>B20*C20*(B20/(Constants!$C$23*1000000000)*IF(ISBLANK(Design!$B$32),Design!$B$31,Design!$B$32)*1000000/2+B20/(Constants!$C$24*1000000000)*IF(ISBLANK(Design!$B$32),Design!$B$31,Design!$B$32)*1000000/2)</f>
        <v>0.14027455555555571</v>
      </c>
      <c r="I20" s="207">
        <f t="shared" ca="1" si="1"/>
        <v>1.604573847345848</v>
      </c>
      <c r="J20" s="207">
        <f>Constants!$D$22/1000000000*Constants!$C$21*IF(ISBLANK(Design!$B$32),Design!$B$31,Design!$B$32)*1000000</f>
        <v>1.2499999999999999E-2</v>
      </c>
      <c r="K20" s="207">
        <f t="shared" ca="1" si="3"/>
        <v>1.7657450429014037</v>
      </c>
      <c r="L20" s="207">
        <f t="shared" ca="1" si="4"/>
        <v>0.70603772410706456</v>
      </c>
      <c r="M20" s="208">
        <f ca="1">A20+L20*Design!$B$19</f>
        <v>125.24415027410268</v>
      </c>
      <c r="N20" s="208">
        <f ca="1">K20*Design!$C$12+A20</f>
        <v>145.03533145864773</v>
      </c>
      <c r="O20" s="208">
        <f ca="1">Constants!$D$19+Constants!$D$19*Constants!$C$20/100*(N20-25)</f>
        <v>265.23391820030179</v>
      </c>
      <c r="P20" s="207">
        <f ca="1">(1-Constants!$C$17/1000000000*Design!$B$32*1000000) * ($B20+D20-C20*O20/1000) - (D20+C20*(1+($A20-25)*Constants!$C$29/100)*IF(ISBLANK(Design!$B$40),Constants!$C$6/1000,Design!$B$40/1000))</f>
        <v>6.8397284294977059</v>
      </c>
      <c r="Q20" s="213">
        <f ca="1">IF(P20&gt;Design!$C$28,Design!$C$28,P20)</f>
        <v>3.2940895522388054</v>
      </c>
      <c r="R20" s="335">
        <f t="shared" si="11"/>
        <v>2.3333333333333335</v>
      </c>
      <c r="S20" s="158">
        <f ca="1">FORECAST(R20, OFFSET(Design!$C$15:$C$17,MATCH(R20,Design!$B$15:$B$17,1)-1,0,2), OFFSET(Design!$B$15:$B$17,MATCH(R20,Design!$B$15:$B$17,1)-1,0,2))+(AB20-25)*Design!$B$18/1000</f>
        <v>0.38108181582662293</v>
      </c>
      <c r="T20" s="224">
        <f ca="1">IF(100*(Design!$C$28+S20+R20*IF(ISBLANK(Design!$B$40),Constants!$C$6,Design!$B$40)/1000*(1+Constants!$C$29/100*(AC20-25)))/($B20+S20-R20*AD20/1000)&gt;Design!$C$35,Design!$C$35,100*(Design!$C$28+S20+R20*IF(ISBLANK(Design!$B$40),Constants!$C$6,Design!$B$40)/1000*(1+Constants!$C$29/100*(AC20-25)))/($B20+S20-R20*AD20/1000))</f>
        <v>46.23237862306604</v>
      </c>
      <c r="U20" s="159">
        <f ca="1">IF(($B20-R20*IF(ISBLANK(Design!$B$40),Constants!$C$6,Design!$B$40)/1000*(1+Constants!$C$29/100*(AC20-25))-Design!$C$28)/(IF(ISBLANK(Design!$B$39),Design!$B$38,Design!$B$39)/1000000)*T20/100/(IF(ISBLANK(Design!$B$32),Design!$B$31,Design!$B$32)*1000000)&lt;0, 0, ($B20-R20*IF(ISBLANK(Design!$B$40),Constants!$C$6,Design!$B$40)/1000*(1+Constants!$C$29/100*(AC20-25))-Design!$C$28)/(IF(ISBLANK(Design!$B$39),Design!$B$38,Design!$B$39)/1000000)*T20/100/(IF(ISBLANK(Design!$B$32),Design!$B$31,Design!$B$32)*1000000))</f>
        <v>0.66409899473788492</v>
      </c>
      <c r="V20" s="159">
        <f>$B20*Constants!$C$18/1000+IF(ISBLANK(Design!$B$32),Design!$B$31,Design!$B$32)*1000000*Constants!$D$22/1000000000*(IF($B20&lt;Constants!$C$21,0,$B20-Constants!$C$21))</f>
        <v>8.3966400000000108E-3</v>
      </c>
      <c r="W20" s="225">
        <f>B20*R20*(B20/(Constants!$C$23*1000000000)*IF(ISBLANK(Design!$B$32),Design!$B$31,Design!$B$32)*1000000/2+B20/(Constants!$C$24*1000000000)*IF(ISBLANK(Design!$B$32),Design!$B$31,Design!$B$32)*1000000/2)</f>
        <v>9.3516370370370472E-2</v>
      </c>
      <c r="X20" s="225">
        <f t="shared" ca="1" si="5"/>
        <v>0.58383010932685719</v>
      </c>
      <c r="Y20" s="225">
        <f>Constants!$D$22/1000000000*Constants!$C$21*IF(ISBLANK(Design!$B$32),Design!$B$31,Design!$B$32)*1000000</f>
        <v>1.2499999999999999E-2</v>
      </c>
      <c r="Z20" s="225">
        <f t="shared" ca="1" si="6"/>
        <v>0.69824311969722763</v>
      </c>
      <c r="AA20" s="225">
        <f t="shared" ca="1" si="7"/>
        <v>0.47809679836334135</v>
      </c>
      <c r="AB20" s="226">
        <f ca="1">$A20+AA20*Design!$B$19</f>
        <v>112.25151750671046</v>
      </c>
      <c r="AC20" s="226">
        <f ca="1">Z20*Design!$C$12+A20</f>
        <v>108.74026606970574</v>
      </c>
      <c r="AD20" s="226">
        <f ca="1">Constants!$D$19+Constants!$D$19*Constants!$C$20/100*(AC20-25)</f>
        <v>230.3906554269175</v>
      </c>
      <c r="AE20" s="225">
        <f ca="1">(1-Constants!$C$17/1000000000*Design!$B$32*1000000) * ($B20+S20-R20*AD20/1000) - (S20+R20*(1+($A20-25)*Constants!$C$29/100)*IF(ISBLANK(Design!$B$40),Constants!$C$6/1000,Design!$B$40/1000))</f>
        <v>7.2405759563456717</v>
      </c>
      <c r="AF20" s="339">
        <f ca="1">IF(AE20&gt;Design!$C$28,Design!$C$28,AE20)</f>
        <v>3.2940895522388054</v>
      </c>
      <c r="AG20" s="237">
        <f t="shared" si="12"/>
        <v>1.1666666666666667</v>
      </c>
      <c r="AH20" s="160">
        <f ca="1">FORECAST(AG20, OFFSET(Design!$C$15:$C$17,MATCH(AG20,Design!$B$15:$B$17,1)-1,0,2), OFFSET(Design!$B$15:$B$17,MATCH(AG20,Design!$B$15:$B$17,1)-1,0,2))+(AQ20-25)*Design!$B$18/1000</f>
        <v>0.32312310365386554</v>
      </c>
      <c r="AI20" s="238">
        <f ca="1">IF(100*(Design!$C$28+AH20+AG20*IF(ISBLANK(Design!$B$40),Constants!$C$6,Design!$B$40)/1000*(1+Constants!$C$29/100*(AR20-25)))/($B20+AH20-AG20*AS20/1000)&gt;Design!$C$35,Design!$C$35,100*(Design!$C$28+AH20+AG20*IF(ISBLANK(Design!$B$40),Constants!$C$6,Design!$B$40)/1000*(1+Constants!$C$29/100*(AR20-25)))/($B20+AH20-AG20*AS20/1000))</f>
        <v>43.865145317556724</v>
      </c>
      <c r="AJ20" s="161">
        <f ca="1">IF(($B20-AG20*IF(ISBLANK(Design!$B$40),Constants!$C$6,Design!$B$40)/1000*(1+Constants!$C$29/100*(AR20-25))-Design!$C$28)/(IF(ISBLANK(Design!$B$39),Design!$B$38,Design!$B$39)/1000000)*AI20/100/(IF(ISBLANK(Design!$B$32),Design!$B$31,Design!$B$32)*1000000)&lt;0,0,($B20-AG20*IF(ISBLANK(Design!$B$40),Constants!$C$6,Design!$B$40)/1000*(1+Constants!$C$29/100*(AR20-25))-Design!$C$28)/(IF(ISBLANK(Design!$B$39),Design!$B$38,Design!$B$39)/1000000)*AI20/100/(IF(ISBLANK(Design!$B$32),Design!$B$31,Design!$B$32)*1000000))</f>
        <v>0.6342972067483339</v>
      </c>
      <c r="AK20" s="161">
        <f>$B20*Constants!$C$18/1000+IF(ISBLANK(Design!$B$32),Design!$B$31,Design!$B$32)*1000000*Constants!$D$22/1000000000*(IF($B20&lt;Constants!$C$21,0,$B20-Constants!$C$21))</f>
        <v>8.3966400000000108E-3</v>
      </c>
      <c r="AL20" s="239">
        <f>$B20*AG20*($B20/(Constants!$C$23*1000000000)*IF(ISBLANK(Design!$B$32),Design!$B$31,Design!$B$32)*1000000/2+$B20/(Constants!$C$24*1000000000)*IF(ISBLANK(Design!$B$32),Design!$B$31,Design!$B$32)*1000000/2)</f>
        <v>4.6758185185185236E-2</v>
      </c>
      <c r="AM20" s="239">
        <f t="shared" ca="1" si="2"/>
        <v>0.13096751366459083</v>
      </c>
      <c r="AN20" s="239">
        <f>Constants!$D$22/1000000000*Constants!$C$21*IF(ISBLANK(Design!$B$32),Design!$B$31,Design!$B$32)*1000000</f>
        <v>1.2499999999999999E-2</v>
      </c>
      <c r="AO20" s="239">
        <f t="shared" ca="1" si="13"/>
        <v>0.19862233884977609</v>
      </c>
      <c r="AP20" s="239">
        <f t="shared" ca="1" si="9"/>
        <v>0.21161546546174767</v>
      </c>
      <c r="AQ20" s="240">
        <f ca="1">$A20+AP20*Design!$B$19</f>
        <v>97.06208153131962</v>
      </c>
      <c r="AR20" s="240">
        <f ca="1">AO20*Design!$C$12+$A20</f>
        <v>91.753159520892382</v>
      </c>
      <c r="AS20" s="240">
        <f ca="1">Constants!$D$19+Constants!$D$19*Constants!$C$20/100*(AR20-25)</f>
        <v>214.08303314005667</v>
      </c>
      <c r="AT20" s="239">
        <f ca="1">(1-Constants!$C$17/1000000000*Design!$B$32*1000000) * ($B20+AH20-AG20*AS20/1000) - (AH20+AG20*(1+($A20-25)*Constants!$C$29/100)*IF(ISBLANK(Design!$B$40),Constants!$C$6/1000,Design!$B$40/1000))</f>
        <v>7.5457331497537456</v>
      </c>
      <c r="AU20" s="342">
        <f ca="1">IF(AT20&gt;Design!$C$28,Design!$C$28,AT20)</f>
        <v>3.2940895522388054</v>
      </c>
    </row>
    <row r="21" spans="1:47" s="162" customFormat="1" ht="12.75" customHeight="1" x14ac:dyDescent="0.2">
      <c r="A21" s="154">
        <f>Design!$D$13</f>
        <v>85</v>
      </c>
      <c r="B21" s="155">
        <f t="shared" si="0"/>
        <v>8.0050000000000043</v>
      </c>
      <c r="C21" s="156">
        <f t="shared" si="10"/>
        <v>3.5</v>
      </c>
      <c r="D21" s="156">
        <f ca="1">FORECAST(C21, OFFSET(Design!$C$15:$C$17,MATCH(C21,Design!$B$15:$B$17,1)-1,0,2), OFFSET(Design!$B$15:$B$17,MATCH(C21,Design!$B$15:$B$17,1)-1,0,2))+(M21-25)*Design!$B$18/1000</f>
        <v>0.39841397930838729</v>
      </c>
      <c r="E21" s="215">
        <f ca="1">IF(100*(Design!$C$28+D21+C21*IF(ISBLANK(Design!$B$40),Constants!$C$6,Design!$B$40)/1000*(1+Constants!$C$29/100*(N21-25)))/($B21+D21-C21*O21/1000)&gt;Design!$C$35,Design!$C$35,100*(Design!$C$28+D21+C21*IF(ISBLANK(Design!$B$40),Constants!$C$6,Design!$B$40)/1000*(1+Constants!$C$29/100*(N21-25)))/($B21+D21-C21*O21/1000))</f>
        <v>50.825042947487987</v>
      </c>
      <c r="F21" s="157">
        <f ca="1">IF(($B21-C21*IF(ISBLANK(Design!$B$40),Constants!$C$6,Design!$B$40)/1000*(1+Constants!$C$29/100*(N21-25))-Design!$C$28)/(IF(ISBLANK(Design!$B$39),Design!$B$38,Design!$B$39)/1000000)*E21/100/(IF(ISBLANK(Design!$B$32),Design!$B$31,Design!$B$32)*1000000)&lt;0, 0, ($B21-C21*IF(ISBLANK(Design!$B$40),Constants!$C$6,Design!$B$40)/1000*(1+Constants!$C$29/100*(N21-25))-Design!$C$28)/(IF(ISBLANK(Design!$B$39),Design!$B$38,Design!$B$39)/1000000)*E21/100/(IF(ISBLANK(Design!$B$32),Design!$B$31,Design!$B$32)*1000000))</f>
        <v>0.68873554739374609</v>
      </c>
      <c r="G21" s="207">
        <f>$B21*Constants!$C$18/1000+IF(ISBLANK(Design!$B$32),Design!$B$31,Design!$B$32)*1000000*Constants!$D$22/1000000000*(IF($B21&lt;Constants!$C$21,0,$B21-Constants!$C$21))</f>
        <v>7.8006800000000112E-3</v>
      </c>
      <c r="H21" s="207">
        <f>B21*C21*(B21/(Constants!$C$23*1000000000)*IF(ISBLANK(Design!$B$32),Design!$B$31,Design!$B$32)*1000000/2+B21/(Constants!$C$24*1000000000)*IF(ISBLANK(Design!$B$32),Design!$B$31,Design!$B$32)*1000000/2)</f>
        <v>0.13238755164930571</v>
      </c>
      <c r="I21" s="207">
        <f t="shared" ca="1" si="1"/>
        <v>1.6678677132221327</v>
      </c>
      <c r="J21" s="207">
        <f>Constants!$D$22/1000000000*Constants!$C$21*IF(ISBLANK(Design!$B$32),Design!$B$31,Design!$B$32)*1000000</f>
        <v>1.2499999999999999E-2</v>
      </c>
      <c r="K21" s="207">
        <f t="shared" ca="1" si="3"/>
        <v>1.8205559448714383</v>
      </c>
      <c r="L21" s="207">
        <f t="shared" ca="1" si="4"/>
        <v>0.68571966125636241</v>
      </c>
      <c r="M21" s="208">
        <f ca="1">A21+L21*Design!$B$19</f>
        <v>124.08602069161266</v>
      </c>
      <c r="N21" s="208">
        <f ca="1">K21*Design!$C$12+A21</f>
        <v>146.89890212562889</v>
      </c>
      <c r="O21" s="208">
        <f ca="1">Constants!$D$19+Constants!$D$19*Constants!$C$20/100*(N21-25)</f>
        <v>267.02294604060376</v>
      </c>
      <c r="P21" s="207">
        <f ca="1">(1-Constants!$C$17/1000000000*Design!$B$32*1000000) * ($B21+D21-C21*O21/1000) - (D21+C21*(1+($A21-25)*Constants!$C$29/100)*IF(ISBLANK(Design!$B$40),Constants!$C$6/1000,Design!$B$40/1000))</f>
        <v>6.6104720054495765</v>
      </c>
      <c r="Q21" s="213">
        <f ca="1">IF(P21&gt;Design!$C$28,Design!$C$28,P21)</f>
        <v>3.2940895522388054</v>
      </c>
      <c r="R21" s="335">
        <f t="shared" si="11"/>
        <v>2.3333333333333335</v>
      </c>
      <c r="S21" s="158">
        <f ca="1">FORECAST(R21, OFFSET(Design!$C$15:$C$17,MATCH(R21,Design!$B$15:$B$17,1)-1,0,2), OFFSET(Design!$B$15:$B$17,MATCH(R21,Design!$B$15:$B$17,1)-1,0,2))+(AB21-25)*Design!$B$18/1000</f>
        <v>0.38174308889692488</v>
      </c>
      <c r="T21" s="224">
        <f ca="1">IF(100*(Design!$C$28+S21+R21*IF(ISBLANK(Design!$B$40),Constants!$C$6,Design!$B$40)/1000*(1+Constants!$C$29/100*(AC21-25)))/($B21+S21-R21*AD21/1000)&gt;Design!$C$35,Design!$C$35,100*(Design!$C$28+S21+R21*IF(ISBLANK(Design!$B$40),Constants!$C$6,Design!$B$40)/1000*(1+Constants!$C$29/100*(AC21-25)))/($B21+S21-R21*AD21/1000))</f>
        <v>47.627958249221756</v>
      </c>
      <c r="U21" s="159">
        <f ca="1">IF(($B21-R21*IF(ISBLANK(Design!$B$40),Constants!$C$6,Design!$B$40)/1000*(1+Constants!$C$29/100*(AC21-25))-Design!$C$28)/(IF(ISBLANK(Design!$B$39),Design!$B$38,Design!$B$39)/1000000)*T21/100/(IF(ISBLANK(Design!$B$32),Design!$B$31,Design!$B$32)*1000000)&lt;0, 0, ($B21-R21*IF(ISBLANK(Design!$B$40),Constants!$C$6,Design!$B$40)/1000*(1+Constants!$C$29/100*(AC21-25))-Design!$C$28)/(IF(ISBLANK(Design!$B$39),Design!$B$38,Design!$B$39)/1000000)*T21/100/(IF(ISBLANK(Design!$B$32),Design!$B$31,Design!$B$32)*1000000))</f>
        <v>0.65121520270339606</v>
      </c>
      <c r="V21" s="159">
        <f>$B21*Constants!$C$18/1000+IF(ISBLANK(Design!$B$32),Design!$B$31,Design!$B$32)*1000000*Constants!$D$22/1000000000*(IF($B21&lt;Constants!$C$21,0,$B21-Constants!$C$21))</f>
        <v>7.8006800000000112E-3</v>
      </c>
      <c r="W21" s="225">
        <f>B21*R21*(B21/(Constants!$C$23*1000000000)*IF(ISBLANK(Design!$B$32),Design!$B$31,Design!$B$32)*1000000/2+B21/(Constants!$C$24*1000000000)*IF(ISBLANK(Design!$B$32),Design!$B$31,Design!$B$32)*1000000/2)</f>
        <v>8.8258367766203813E-2</v>
      </c>
      <c r="X21" s="225">
        <f t="shared" ca="1" si="5"/>
        <v>0.60238032051000545</v>
      </c>
      <c r="Y21" s="225">
        <f>Constants!$D$22/1000000000*Constants!$C$21*IF(ISBLANK(Design!$B$32),Design!$B$31,Design!$B$32)*1000000</f>
        <v>1.2499999999999999E-2</v>
      </c>
      <c r="Z21" s="225">
        <f t="shared" ca="1" si="6"/>
        <v>0.71093936827620929</v>
      </c>
      <c r="AA21" s="225">
        <f t="shared" ca="1" si="7"/>
        <v>0.46649551642821868</v>
      </c>
      <c r="AB21" s="226">
        <f ca="1">$A21+AA21*Design!$B$19</f>
        <v>111.59024443640847</v>
      </c>
      <c r="AC21" s="226">
        <f ca="1">Z21*Design!$C$12+A21</f>
        <v>109.17193852139111</v>
      </c>
      <c r="AD21" s="226">
        <f ca="1">Constants!$D$19+Constants!$D$19*Constants!$C$20/100*(AC21-25)</f>
        <v>230.80506098053547</v>
      </c>
      <c r="AE21" s="225">
        <f ca="1">(1-Constants!$C$17/1000000000*Design!$B$32*1000000) * ($B21+S21-R21*AD21/1000) - (S21+R21*(1+($A21-25)*Constants!$C$29/100)*IF(ISBLANK(Design!$B$40),Constants!$C$6/1000,Design!$B$40/1000))</f>
        <v>7.0163742937149722</v>
      </c>
      <c r="AF21" s="339">
        <f ca="1">IF(AE21&gt;Design!$C$28,Design!$C$28,AE21)</f>
        <v>3.2940895522388054</v>
      </c>
      <c r="AG21" s="237">
        <f t="shared" si="12"/>
        <v>1.1666666666666667</v>
      </c>
      <c r="AH21" s="160">
        <f ca="1">FORECAST(AG21, OFFSET(Design!$C$15:$C$17,MATCH(AG21,Design!$B$15:$B$17,1)-1,0,2), OFFSET(Design!$B$15:$B$17,MATCH(AG21,Design!$B$15:$B$17,1)-1,0,2))+(AQ21-25)*Design!$B$18/1000</f>
        <v>0.32338804224885503</v>
      </c>
      <c r="AI21" s="238">
        <f ca="1">IF(100*(Design!$C$28+AH21+AG21*IF(ISBLANK(Design!$B$40),Constants!$C$6,Design!$B$40)/1000*(1+Constants!$C$29/100*(AR21-25)))/($B21+AH21-AG21*AS21/1000)&gt;Design!$C$35,Design!$C$35,100*(Design!$C$28+AH21+AG21*IF(ISBLANK(Design!$B$40),Constants!$C$6,Design!$B$40)/1000*(1+Constants!$C$29/100*(AR21-25)))/($B21+AH21-AG21*AS21/1000))</f>
        <v>45.14310287249706</v>
      </c>
      <c r="AJ21" s="161">
        <f ca="1">IF(($B21-AG21*IF(ISBLANK(Design!$B$40),Constants!$C$6,Design!$B$40)/1000*(1+Constants!$C$29/100*(AR21-25))-Design!$C$28)/(IF(ISBLANK(Design!$B$39),Design!$B$38,Design!$B$39)/1000000)*AI21/100/(IF(ISBLANK(Design!$B$32),Design!$B$31,Design!$B$32)*1000000)&lt;0,0,($B21-AG21*IF(ISBLANK(Design!$B$40),Constants!$C$6,Design!$B$40)/1000*(1+Constants!$C$29/100*(AR21-25))-Design!$C$28)/(IF(ISBLANK(Design!$B$39),Design!$B$38,Design!$B$39)/1000000)*AI21/100/(IF(ISBLANK(Design!$B$32),Design!$B$31,Design!$B$32)*1000000))</f>
        <v>0.62157463716747929</v>
      </c>
      <c r="AK21" s="161">
        <f>$B21*Constants!$C$18/1000+IF(ISBLANK(Design!$B$32),Design!$B$31,Design!$B$32)*1000000*Constants!$D$22/1000000000*(IF($B21&lt;Constants!$C$21,0,$B21-Constants!$C$21))</f>
        <v>7.8006800000000112E-3</v>
      </c>
      <c r="AL21" s="239">
        <f>$B21*AG21*($B21/(Constants!$C$23*1000000000)*IF(ISBLANK(Design!$B$32),Design!$B$31,Design!$B$32)*1000000/2+$B21/(Constants!$C$24*1000000000)*IF(ISBLANK(Design!$B$32),Design!$B$31,Design!$B$32)*1000000/2)</f>
        <v>4.4129183883101906E-2</v>
      </c>
      <c r="AM21" s="239">
        <f t="shared" ca="1" si="2"/>
        <v>0.13466409446757907</v>
      </c>
      <c r="AN21" s="239">
        <f>Constants!$D$22/1000000000*Constants!$C$21*IF(ISBLANK(Design!$B$32),Design!$B$31,Design!$B$32)*1000000</f>
        <v>1.2499999999999999E-2</v>
      </c>
      <c r="AO21" s="239">
        <f t="shared" ca="1" si="13"/>
        <v>0.199093958350681</v>
      </c>
      <c r="AP21" s="239">
        <f t="shared" ca="1" si="9"/>
        <v>0.20696741993561688</v>
      </c>
      <c r="AQ21" s="240">
        <f ca="1">$A21+AP21*Design!$B$19</f>
        <v>96.797142936330161</v>
      </c>
      <c r="AR21" s="240">
        <f ca="1">AO21*Design!$C$12+$A21</f>
        <v>91.769194583923152</v>
      </c>
      <c r="AS21" s="240">
        <f ca="1">Constants!$D$19+Constants!$D$19*Constants!$C$20/100*(AR21-25)</f>
        <v>214.09842680056624</v>
      </c>
      <c r="AT21" s="239">
        <f ca="1">(1-Constants!$C$17/1000000000*Design!$B$32*1000000) * ($B21+AH21-AG21*AS21/1000) - (AH21+AG21*(1+($A21-25)*Constants!$C$29/100)*IF(ISBLANK(Design!$B$40),Constants!$C$6/1000,Design!$B$40/1000))</f>
        <v>7.3224528415169345</v>
      </c>
      <c r="AU21" s="342">
        <f ca="1">IF(AT21&gt;Design!$C$28,Design!$C$28,AT21)</f>
        <v>3.2940895522388054</v>
      </c>
    </row>
    <row r="22" spans="1:47" s="162" customFormat="1" ht="12.75" customHeight="1" x14ac:dyDescent="0.2">
      <c r="A22" s="154">
        <f>Design!$D$13</f>
        <v>85</v>
      </c>
      <c r="B22" s="155">
        <f t="shared" si="0"/>
        <v>7.7700000000000049</v>
      </c>
      <c r="C22" s="156">
        <f t="shared" si="10"/>
        <v>3.5</v>
      </c>
      <c r="D22" s="156">
        <f ca="1">FORECAST(C22, OFFSET(Design!$C$15:$C$17,MATCH(C22,Design!$B$15:$B$17,1)-1,0,2), OFFSET(Design!$B$15:$B$17,MATCH(C22,Design!$B$15:$B$17,1)-1,0,2))+(M22-25)*Design!$B$18/1000</f>
        <v>0.39966103947322251</v>
      </c>
      <c r="E22" s="215">
        <f ca="1">IF(100*(Design!$C$28+D22+C22*IF(ISBLANK(Design!$B$40),Constants!$C$6,Design!$B$40)/1000*(1+Constants!$C$29/100*(N22-25)))/($B22+D22-C22*O22/1000)&gt;Design!$C$35,Design!$C$35,100*(Design!$C$28+D22+C22*IF(ISBLANK(Design!$B$40),Constants!$C$6,Design!$B$40)/1000*(1+Constants!$C$29/100*(N22-25)))/($B22+D22-C22*O22/1000))</f>
        <v>52.542540718614589</v>
      </c>
      <c r="F22" s="157">
        <f ca="1">IF(($B22-C22*IF(ISBLANK(Design!$B$40),Constants!$C$6,Design!$B$40)/1000*(1+Constants!$C$29/100*(N22-25))-Design!$C$28)/(IF(ISBLANK(Design!$B$39),Design!$B$38,Design!$B$39)/1000000)*E22/100/(IF(ISBLANK(Design!$B$32),Design!$B$31,Design!$B$32)*1000000)&lt;0, 0, ($B22-C22*IF(ISBLANK(Design!$B$40),Constants!$C$6,Design!$B$40)/1000*(1+Constants!$C$29/100*(N22-25))-Design!$C$28)/(IF(ISBLANK(Design!$B$39),Design!$B$38,Design!$B$39)/1000000)*E22/100/(IF(ISBLANK(Design!$B$32),Design!$B$31,Design!$B$32)*1000000))</f>
        <v>0.67560565601879874</v>
      </c>
      <c r="G22" s="207">
        <f>$B22*Constants!$C$18/1000+IF(ISBLANK(Design!$B$32),Design!$B$31,Design!$B$32)*1000000*Constants!$D$22/1000000000*(IF($B22&lt;Constants!$C$21,0,$B22-Constants!$C$21))</f>
        <v>7.2047200000000125E-3</v>
      </c>
      <c r="H22" s="207">
        <f>B22*C22*(B22/(Constants!$C$23*1000000000)*IF(ISBLANK(Design!$B$32),Design!$B$31,Design!$B$32)*1000000/2+B22/(Constants!$C$24*1000000000)*IF(ISBLANK(Design!$B$32),Design!$B$31,Design!$B$32)*1000000/2)</f>
        <v>0.12472873437500016</v>
      </c>
      <c r="I22" s="207">
        <f t="shared" ca="1" si="1"/>
        <v>1.736808271453288</v>
      </c>
      <c r="J22" s="207">
        <f>Constants!$D$22/1000000000*Constants!$C$21*IF(ISBLANK(Design!$B$32),Design!$B$31,Design!$B$32)*1000000</f>
        <v>1.2499999999999999E-2</v>
      </c>
      <c r="K22" s="207">
        <f t="shared" ca="1" si="3"/>
        <v>1.8812417258282881</v>
      </c>
      <c r="L22" s="207">
        <f t="shared" ca="1" si="4"/>
        <v>0.66384141275048181</v>
      </c>
      <c r="M22" s="208">
        <f ca="1">A22+L22*Design!$B$19</f>
        <v>122.83896052677747</v>
      </c>
      <c r="N22" s="208">
        <f ca="1">K22*Design!$C$12+A22</f>
        <v>148.9622186781618</v>
      </c>
      <c r="O22" s="208">
        <f ca="1">Constants!$D$19+Constants!$D$19*Constants!$C$20/100*(N22-25)</f>
        <v>269.00372993103531</v>
      </c>
      <c r="P22" s="207">
        <f ca="1">(1-Constants!$C$17/1000000000*Design!$B$32*1000000) * ($B22+D22-C22*O22/1000) - (D22+C22*(1+($A22-25)*Constants!$C$29/100)*IF(ISBLANK(Design!$B$40),Constants!$C$6/1000,Design!$B$40/1000))</f>
        <v>6.3805735460056505</v>
      </c>
      <c r="Q22" s="213">
        <f ca="1">IF(P22&gt;Design!$C$28,Design!$C$28,P22)</f>
        <v>3.2940895522388054</v>
      </c>
      <c r="R22" s="335">
        <f t="shared" si="11"/>
        <v>2.3333333333333335</v>
      </c>
      <c r="S22" s="158">
        <f ca="1">FORECAST(R22, OFFSET(Design!$C$15:$C$17,MATCH(R22,Design!$B$15:$B$17,1)-1,0,2), OFFSET(Design!$B$15:$B$17,MATCH(R22,Design!$B$15:$B$17,1)-1,0,2))+(AB22-25)*Design!$B$18/1000</f>
        <v>0.38244828807545561</v>
      </c>
      <c r="T22" s="224">
        <f ca="1">IF(100*(Design!$C$28+S22+R22*IF(ISBLANK(Design!$B$40),Constants!$C$6,Design!$B$40)/1000*(1+Constants!$C$29/100*(AC22-25)))/($B22+S22-R22*AD22/1000)&gt;Design!$C$35,Design!$C$35,100*(Design!$C$28+S22+R22*IF(ISBLANK(Design!$B$40),Constants!$C$6,Design!$B$40)/1000*(1+Constants!$C$29/100*(AC22-25)))/($B22+S22-R22*AD22/1000))</f>
        <v>49.110923880832615</v>
      </c>
      <c r="U22" s="159">
        <f ca="1">IF(($B22-R22*IF(ISBLANK(Design!$B$40),Constants!$C$6,Design!$B$40)/1000*(1+Constants!$C$29/100*(AC22-25))-Design!$C$28)/(IF(ISBLANK(Design!$B$39),Design!$B$38,Design!$B$39)/1000000)*T22/100/(IF(ISBLANK(Design!$B$32),Design!$B$31,Design!$B$32)*1000000)&lt;0, 0, ($B22-R22*IF(ISBLANK(Design!$B$40),Constants!$C$6,Design!$B$40)/1000*(1+Constants!$C$29/100*(AC22-25))-Design!$C$28)/(IF(ISBLANK(Design!$B$39),Design!$B$38,Design!$B$39)/1000000)*T22/100/(IF(ISBLANK(Design!$B$32),Design!$B$31,Design!$B$32)*1000000))</f>
        <v>0.63753469322524892</v>
      </c>
      <c r="V22" s="159">
        <f>$B22*Constants!$C$18/1000+IF(ISBLANK(Design!$B$32),Design!$B$31,Design!$B$32)*1000000*Constants!$D$22/1000000000*(IF($B22&lt;Constants!$C$21,0,$B22-Constants!$C$21))</f>
        <v>7.2047200000000125E-3</v>
      </c>
      <c r="W22" s="225">
        <f>B22*R22*(B22/(Constants!$C$23*1000000000)*IF(ISBLANK(Design!$B$32),Design!$B$31,Design!$B$32)*1000000/2+B22/(Constants!$C$24*1000000000)*IF(ISBLANK(Design!$B$32),Design!$B$31,Design!$B$32)*1000000/2)</f>
        <v>8.3152489583333447E-2</v>
      </c>
      <c r="X22" s="225">
        <f t="shared" ca="1" si="5"/>
        <v>0.6222104644347487</v>
      </c>
      <c r="Y22" s="225">
        <f>Constants!$D$22/1000000000*Constants!$C$21*IF(ISBLANK(Design!$B$32),Design!$B$31,Design!$B$32)*1000000</f>
        <v>1.2499999999999999E-2</v>
      </c>
      <c r="Z22" s="225">
        <f t="shared" ca="1" si="6"/>
        <v>0.72506767401808214</v>
      </c>
      <c r="AA22" s="225">
        <f t="shared" ca="1" si="7"/>
        <v>0.45412360101539945</v>
      </c>
      <c r="AB22" s="226">
        <f ca="1">$A22+AA22*Design!$B$19</f>
        <v>110.88504525787776</v>
      </c>
      <c r="AC22" s="226">
        <f ca="1">Z22*Design!$C$12+A22</f>
        <v>109.65230091661479</v>
      </c>
      <c r="AD22" s="226">
        <f ca="1">Constants!$D$19+Constants!$D$19*Constants!$C$20/100*(AC22-25)</f>
        <v>231.2662088799502</v>
      </c>
      <c r="AE22" s="225">
        <f ca="1">(1-Constants!$C$17/1000000000*Design!$B$32*1000000) * ($B22+S22-R22*AD22/1000) - (S22+R22*(1+($A22-25)*Constants!$C$29/100)*IF(ISBLANK(Design!$B$40),Constants!$C$6/1000,Design!$B$40/1000))</f>
        <v>6.7920668225790077</v>
      </c>
      <c r="AF22" s="339">
        <f ca="1">IF(AE22&gt;Design!$C$28,Design!$C$28,AE22)</f>
        <v>3.2940895522388054</v>
      </c>
      <c r="AG22" s="237">
        <f t="shared" si="12"/>
        <v>1.1666666666666667</v>
      </c>
      <c r="AH22" s="160">
        <f ca="1">FORECAST(AG22, OFFSET(Design!$C$15:$C$17,MATCH(AG22,Design!$B$15:$B$17,1)-1,0,2), OFFSET(Design!$B$15:$B$17,MATCH(AG22,Design!$B$15:$B$17,1)-1,0,2))+(AQ22-25)*Design!$B$18/1000</f>
        <v>0.32366935353527981</v>
      </c>
      <c r="AI22" s="238">
        <f ca="1">IF(100*(Design!$C$28+AH22+AG22*IF(ISBLANK(Design!$B$40),Constants!$C$6,Design!$B$40)/1000*(1+Constants!$C$29/100*(AR22-25)))/($B22+AH22-AG22*AS22/1000)&gt;Design!$C$35,Design!$C$35,100*(Design!$C$28+AH22+AG22*IF(ISBLANK(Design!$B$40),Constants!$C$6,Design!$B$40)/1000*(1+Constants!$C$29/100*(AR22-25)))/($B22+AH22-AG22*AS22/1000))</f>
        <v>46.497745659574527</v>
      </c>
      <c r="AJ22" s="161">
        <f ca="1">IF(($B22-AG22*IF(ISBLANK(Design!$B$40),Constants!$C$6,Design!$B$40)/1000*(1+Constants!$C$29/100*(AR22-25))-Design!$C$28)/(IF(ISBLANK(Design!$B$39),Design!$B$38,Design!$B$39)/1000000)*AI22/100/(IF(ISBLANK(Design!$B$32),Design!$B$31,Design!$B$32)*1000000)&lt;0,0,($B22-AG22*IF(ISBLANK(Design!$B$40),Constants!$C$6,Design!$B$40)/1000*(1+Constants!$C$29/100*(AR22-25))-Design!$C$28)/(IF(ISBLANK(Design!$B$39),Design!$B$38,Design!$B$39)/1000000)*AI22/100/(IF(ISBLANK(Design!$B$32),Design!$B$31,Design!$B$32)*1000000))</f>
        <v>0.60808821492797793</v>
      </c>
      <c r="AK22" s="161">
        <f>$B22*Constants!$C$18/1000+IF(ISBLANK(Design!$B$32),Design!$B$31,Design!$B$32)*1000000*Constants!$D$22/1000000000*(IF($B22&lt;Constants!$C$21,0,$B22-Constants!$C$21))</f>
        <v>7.2047200000000125E-3</v>
      </c>
      <c r="AL22" s="239">
        <f>$B22*AG22*($B22/(Constants!$C$23*1000000000)*IF(ISBLANK(Design!$B$32),Design!$B$31,Design!$B$32)*1000000/2+$B22/(Constants!$C$24*1000000000)*IF(ISBLANK(Design!$B$32),Design!$B$31,Design!$B$32)*1000000/2)</f>
        <v>4.1576244791666724E-2</v>
      </c>
      <c r="AM22" s="239">
        <f t="shared" ca="1" si="2"/>
        <v>0.13858376573905995</v>
      </c>
      <c r="AN22" s="239">
        <f>Constants!$D$22/1000000000*Constants!$C$21*IF(ISBLANK(Design!$B$32),Design!$B$31,Design!$B$32)*1000000</f>
        <v>1.2499999999999999E-2</v>
      </c>
      <c r="AO22" s="239">
        <f t="shared" ca="1" si="13"/>
        <v>0.1998647305307267</v>
      </c>
      <c r="AP22" s="239">
        <f t="shared" ca="1" si="9"/>
        <v>0.20203213420886576</v>
      </c>
      <c r="AQ22" s="240">
        <f ca="1">$A22+AP22*Design!$B$19</f>
        <v>96.515831649905351</v>
      </c>
      <c r="AR22" s="240">
        <f ca="1">AO22*Design!$C$12+$A22</f>
        <v>91.795400838044714</v>
      </c>
      <c r="AS22" s="240">
        <f ca="1">Constants!$D$19+Constants!$D$19*Constants!$C$20/100*(AR22-25)</f>
        <v>214.12358480452292</v>
      </c>
      <c r="AT22" s="239">
        <f ca="1">(1-Constants!$C$17/1000000000*Design!$B$32*1000000) * ($B22+AH22-AG22*AS22/1000) - (AH22+AG22*(1+($A22-25)*Constants!$C$29/100)*IF(ISBLANK(Design!$B$40),Constants!$C$6/1000,Design!$B$40/1000))</f>
        <v>7.0991608924982277</v>
      </c>
      <c r="AU22" s="342">
        <f ca="1">IF(AT22&gt;Design!$C$28,Design!$C$28,AT22)</f>
        <v>3.2940895522388054</v>
      </c>
    </row>
    <row r="23" spans="1:47" s="162" customFormat="1" ht="12.75" customHeight="1" x14ac:dyDescent="0.2">
      <c r="A23" s="154">
        <f>Design!$D$13</f>
        <v>85</v>
      </c>
      <c r="B23" s="155">
        <f t="shared" si="0"/>
        <v>7.5350000000000046</v>
      </c>
      <c r="C23" s="156">
        <f t="shared" si="10"/>
        <v>3.5</v>
      </c>
      <c r="D23" s="156">
        <f ca="1">FORECAST(C23, OFFSET(Design!$C$15:$C$17,MATCH(C23,Design!$B$15:$B$17,1)-1,0,2), OFFSET(Design!$B$15:$B$17,MATCH(C23,Design!$B$15:$B$17,1)-1,0,2))+(M23-25)*Design!$B$18/1000</f>
        <v>0.40100816480133183</v>
      </c>
      <c r="E23" s="215">
        <f ca="1">IF(100*(Design!$C$28+D23+C23*IF(ISBLANK(Design!$B$40),Constants!$C$6,Design!$B$40)/1000*(1+Constants!$C$29/100*(N23-25)))/($B23+D23-C23*O23/1000)&gt;Design!$C$35,Design!$C$35,100*(Design!$C$28+D23+C23*IF(ISBLANK(Design!$B$40),Constants!$C$6,Design!$B$40)/1000*(1+Constants!$C$29/100*(N23-25)))/($B23+D23-C23*O23/1000))</f>
        <v>54.385849661723313</v>
      </c>
      <c r="F23" s="157">
        <f ca="1">IF(($B23-C23*IF(ISBLANK(Design!$B$40),Constants!$C$6,Design!$B$40)/1000*(1+Constants!$C$29/100*(N23-25))-Design!$C$28)/(IF(ISBLANK(Design!$B$39),Design!$B$38,Design!$B$39)/1000000)*E23/100/(IF(ISBLANK(Design!$B$32),Design!$B$31,Design!$B$32)*1000000)&lt;0, 0, ($B23-C23*IF(ISBLANK(Design!$B$40),Constants!$C$6,Design!$B$40)/1000*(1+Constants!$C$29/100*(N23-25))-Design!$C$28)/(IF(ISBLANK(Design!$B$39),Design!$B$38,Design!$B$39)/1000000)*E23/100/(IF(ISBLANK(Design!$B$32),Design!$B$31,Design!$B$32)*1000000))</f>
        <v>0.66161638615327267</v>
      </c>
      <c r="G23" s="207">
        <f>$B23*Constants!$C$18/1000+IF(ISBLANK(Design!$B$32),Design!$B$31,Design!$B$32)*1000000*Constants!$D$22/1000000000*(IF($B23&lt;Constants!$C$21,0,$B23-Constants!$C$21))</f>
        <v>6.6087600000000121E-3</v>
      </c>
      <c r="H23" s="207">
        <f>B23*C23*(B23/(Constants!$C$23*1000000000)*IF(ISBLANK(Design!$B$32),Design!$B$31,Design!$B$32)*1000000/2+B23/(Constants!$C$24*1000000000)*IF(ISBLANK(Design!$B$32),Design!$B$31,Design!$B$32)*1000000/2)</f>
        <v>0.11729810373263905</v>
      </c>
      <c r="I23" s="207">
        <f t="shared" ca="1" si="1"/>
        <v>1.8122049810052492</v>
      </c>
      <c r="J23" s="207">
        <f>Constants!$D$22/1000000000*Constants!$C$21*IF(ISBLANK(Design!$B$32),Design!$B$31,Design!$B$32)*1000000</f>
        <v>1.2499999999999999E-2</v>
      </c>
      <c r="K23" s="207">
        <f t="shared" ca="1" si="3"/>
        <v>1.9486118447378882</v>
      </c>
      <c r="L23" s="207">
        <f t="shared" ca="1" si="4"/>
        <v>0.64020763506435341</v>
      </c>
      <c r="M23" s="208">
        <f ca="1">A23+L23*Design!$B$19</f>
        <v>121.49183519866814</v>
      </c>
      <c r="N23" s="208">
        <f ca="1">K23*Design!$C$12+A23</f>
        <v>151.25280272108819</v>
      </c>
      <c r="O23" s="208">
        <f ca="1">Constants!$D$19+Constants!$D$19*Constants!$C$20/100*(N23-25)</f>
        <v>271.20269061224462</v>
      </c>
      <c r="P23" s="207">
        <f ca="1">(1-Constants!$C$17/1000000000*Design!$B$32*1000000) * ($B23+D23-C23*O23/1000) - (D23+C23*(1+($A23-25)*Constants!$C$29/100)*IF(ISBLANK(Design!$B$40),Constants!$C$6/1000,Design!$B$40/1000))</f>
        <v>6.1499446454742239</v>
      </c>
      <c r="Q23" s="213">
        <f ca="1">IF(P23&gt;Design!$C$28,Design!$C$28,P23)</f>
        <v>3.2940895522388054</v>
      </c>
      <c r="R23" s="335">
        <f t="shared" si="11"/>
        <v>2.3333333333333335</v>
      </c>
      <c r="S23" s="158">
        <f ca="1">FORECAST(R23, OFFSET(Design!$C$15:$C$17,MATCH(R23,Design!$B$15:$B$17,1)-1,0,2), OFFSET(Design!$B$15:$B$17,MATCH(R23,Design!$B$15:$B$17,1)-1,0,2))+(AB23-25)*Design!$B$18/1000</f>
        <v>0.38320196141204738</v>
      </c>
      <c r="T23" s="224">
        <f ca="1">IF(100*(Design!$C$28+S23+R23*IF(ISBLANK(Design!$B$40),Constants!$C$6,Design!$B$40)/1000*(1+Constants!$C$29/100*(AC23-25)))/($B23+S23-R23*AD23/1000)&gt;Design!$C$35,Design!$C$35,100*(Design!$C$28+S23+R23*IF(ISBLANK(Design!$B$40),Constants!$C$6,Design!$B$40)/1000*(1+Constants!$C$29/100*(AC23-25)))/($B23+S23-R23*AD23/1000))</f>
        <v>50.689792160142339</v>
      </c>
      <c r="U23" s="159">
        <f ca="1">IF(($B23-R23*IF(ISBLANK(Design!$B$40),Constants!$C$6,Design!$B$40)/1000*(1+Constants!$C$29/100*(AC23-25))-Design!$C$28)/(IF(ISBLANK(Design!$B$39),Design!$B$38,Design!$B$39)/1000000)*T23/100/(IF(ISBLANK(Design!$B$32),Design!$B$31,Design!$B$32)*1000000)&lt;0, 0, ($B23-R23*IF(ISBLANK(Design!$B$40),Constants!$C$6,Design!$B$40)/1000*(1+Constants!$C$29/100*(AC23-25))-Design!$C$28)/(IF(ISBLANK(Design!$B$39),Design!$B$38,Design!$B$39)/1000000)*T23/100/(IF(ISBLANK(Design!$B$32),Design!$B$31,Design!$B$32)*1000000))</f>
        <v>0.62298062722824232</v>
      </c>
      <c r="V23" s="159">
        <f>$B23*Constants!$C$18/1000+IF(ISBLANK(Design!$B$32),Design!$B$31,Design!$B$32)*1000000*Constants!$D$22/1000000000*(IF($B23&lt;Constants!$C$21,0,$B23-Constants!$C$21))</f>
        <v>6.6087600000000121E-3</v>
      </c>
      <c r="W23" s="225">
        <f>B23*R23*(B23/(Constants!$C$23*1000000000)*IF(ISBLANK(Design!$B$32),Design!$B$31,Design!$B$32)*1000000/2+B23/(Constants!$C$24*1000000000)*IF(ISBLANK(Design!$B$32),Design!$B$31,Design!$B$32)*1000000/2)</f>
        <v>7.8198735821759374E-2</v>
      </c>
      <c r="X23" s="225">
        <f t="shared" ca="1" si="5"/>
        <v>0.64345706642175782</v>
      </c>
      <c r="Y23" s="225">
        <f>Constants!$D$22/1000000000*Constants!$C$21*IF(ISBLANK(Design!$B$32),Design!$B$31,Design!$B$32)*1000000</f>
        <v>1.2499999999999999E-2</v>
      </c>
      <c r="Z23" s="225">
        <f t="shared" ca="1" si="6"/>
        <v>0.74076456224351717</v>
      </c>
      <c r="AA23" s="225">
        <f t="shared" ca="1" si="7"/>
        <v>0.44090126177694733</v>
      </c>
      <c r="AB23" s="226">
        <f ca="1">$A23+AA23*Design!$B$19</f>
        <v>110.13137192128599</v>
      </c>
      <c r="AC23" s="226">
        <f ca="1">Z23*Design!$C$12+A23</f>
        <v>110.18599511627959</v>
      </c>
      <c r="AD23" s="226">
        <f ca="1">Constants!$D$19+Constants!$D$19*Constants!$C$20/100*(AC23-25)</f>
        <v>231.77855531162839</v>
      </c>
      <c r="AE23" s="225">
        <f ca="1">(1-Constants!$C$17/1000000000*Design!$B$32*1000000) * ($B23+S23-R23*AD23/1000) - (S23+R23*(1+($A23-25)*Constants!$C$29/100)*IF(ISBLANK(Design!$B$40),Constants!$C$6/1000,Design!$B$40/1000))</f>
        <v>6.5676434376552919</v>
      </c>
      <c r="AF23" s="339">
        <f ca="1">IF(AE23&gt;Design!$C$28,Design!$C$28,AE23)</f>
        <v>3.2940895522388054</v>
      </c>
      <c r="AG23" s="237">
        <f t="shared" si="12"/>
        <v>1.1666666666666667</v>
      </c>
      <c r="AH23" s="160">
        <f ca="1">FORECAST(AG23, OFFSET(Design!$C$15:$C$17,MATCH(AG23,Design!$B$15:$B$17,1)-1,0,2), OFFSET(Design!$B$15:$B$17,MATCH(AG23,Design!$B$15:$B$17,1)-1,0,2))+(AQ23-25)*Design!$B$18/1000</f>
        <v>0.32396860266425809</v>
      </c>
      <c r="AI23" s="238">
        <f ca="1">IF(100*(Design!$C$28+AH23+AG23*IF(ISBLANK(Design!$B$40),Constants!$C$6,Design!$B$40)/1000*(1+Constants!$C$29/100*(AR23-25)))/($B23+AH23-AG23*AS23/1000)&gt;Design!$C$35,Design!$C$35,100*(Design!$C$28+AH23+AG23*IF(ISBLANK(Design!$B$40),Constants!$C$6,Design!$B$40)/1000*(1+Constants!$C$29/100*(AR23-25)))/($B23+AH23-AG23*AS23/1000))</f>
        <v>47.936185031075944</v>
      </c>
      <c r="AJ23" s="161">
        <f ca="1">IF(($B23-AG23*IF(ISBLANK(Design!$B$40),Constants!$C$6,Design!$B$40)/1000*(1+Constants!$C$29/100*(AR23-25))-Design!$C$28)/(IF(ISBLANK(Design!$B$39),Design!$B$38,Design!$B$39)/1000000)*AI23/100/(IF(ISBLANK(Design!$B$32),Design!$B$31,Design!$B$32)*1000000)&lt;0,0,($B23-AG23*IF(ISBLANK(Design!$B$40),Constants!$C$6,Design!$B$40)/1000*(1+Constants!$C$29/100*(AR23-25))-Design!$C$28)/(IF(ISBLANK(Design!$B$39),Design!$B$38,Design!$B$39)/1000000)*AI23/100/(IF(ISBLANK(Design!$B$32),Design!$B$31,Design!$B$32)*1000000))</f>
        <v>0.5937669945442382</v>
      </c>
      <c r="AK23" s="161">
        <f>$B23*Constants!$C$18/1000+IF(ISBLANK(Design!$B$32),Design!$B$31,Design!$B$32)*1000000*Constants!$D$22/1000000000*(IF($B23&lt;Constants!$C$21,0,$B23-Constants!$C$21))</f>
        <v>6.6087600000000121E-3</v>
      </c>
      <c r="AL23" s="239">
        <f>$B23*AG23*($B23/(Constants!$C$23*1000000000)*IF(ISBLANK(Design!$B$32),Design!$B$31,Design!$B$32)*1000000/2+$B23/(Constants!$C$24*1000000000)*IF(ISBLANK(Design!$B$32),Design!$B$31,Design!$B$32)*1000000/2)</f>
        <v>3.9099367910879687E-2</v>
      </c>
      <c r="AM23" s="239">
        <f t="shared" ca="1" si="2"/>
        <v>0.14274745743165373</v>
      </c>
      <c r="AN23" s="239">
        <f>Constants!$D$22/1000000000*Constants!$C$21*IF(ISBLANK(Design!$B$32),Design!$B$31,Design!$B$32)*1000000</f>
        <v>1.2499999999999999E-2</v>
      </c>
      <c r="AO23" s="239">
        <f t="shared" ca="1" si="13"/>
        <v>0.20095558534253344</v>
      </c>
      <c r="AP23" s="239">
        <f t="shared" ca="1" si="9"/>
        <v>0.19678214948994943</v>
      </c>
      <c r="AQ23" s="240">
        <f ca="1">$A23+AP23*Design!$B$19</f>
        <v>96.216582520927119</v>
      </c>
      <c r="AR23" s="240">
        <f ca="1">AO23*Design!$C$12+$A23</f>
        <v>91.832489901646142</v>
      </c>
      <c r="AS23" s="240">
        <f ca="1">Constants!$D$19+Constants!$D$19*Constants!$C$20/100*(AR23-25)</f>
        <v>214.1591903055803</v>
      </c>
      <c r="AT23" s="239">
        <f ca="1">(1-Constants!$C$17/1000000000*Design!$B$32*1000000) * ($B23+AH23-AG23*AS23/1000) - (AH23+AG23*(1+($A23-25)*Constants!$C$29/100)*IF(ISBLANK(Design!$B$40),Constants!$C$6/1000,Design!$B$40/1000))</f>
        <v>6.8758564672781066</v>
      </c>
      <c r="AU23" s="342">
        <f ca="1">IF(AT23&gt;Design!$C$28,Design!$C$28,AT23)</f>
        <v>3.2940895522388054</v>
      </c>
    </row>
    <row r="24" spans="1:47" s="162" customFormat="1" ht="12.75" customHeight="1" x14ac:dyDescent="0.2">
      <c r="A24" s="154">
        <f>Design!$D$13</f>
        <v>85</v>
      </c>
      <c r="B24" s="155">
        <f t="shared" si="0"/>
        <v>7.3000000000000043</v>
      </c>
      <c r="C24" s="156">
        <f t="shared" si="10"/>
        <v>3.5</v>
      </c>
      <c r="D24" s="156">
        <f ca="1">FORECAST(C24, OFFSET(Design!$C$15:$C$17,MATCH(C24,Design!$B$15:$B$17,1)-1,0,2), OFFSET(Design!$B$15:$B$17,MATCH(C24,Design!$B$15:$B$17,1)-1,0,2))+(M24-25)*Design!$B$18/1000</f>
        <v>0.40246853415434197</v>
      </c>
      <c r="E24" s="215">
        <f ca="1">IF(100*(Design!$C$28+D24+C24*IF(ISBLANK(Design!$B$40),Constants!$C$6,Design!$B$40)/1000*(1+Constants!$C$29/100*(N24-25)))/($B24+D24-C24*O24/1000)&gt;Design!$C$35,Design!$C$35,100*(Design!$C$28+D24+C24*IF(ISBLANK(Design!$B$40),Constants!$C$6,Design!$B$40)/1000*(1+Constants!$C$29/100*(N24-25)))/($B24+D24-C24*O24/1000))</f>
        <v>56.370174280252691</v>
      </c>
      <c r="F24" s="157">
        <f ca="1">IF(($B24-C24*IF(ISBLANK(Design!$B$40),Constants!$C$6,Design!$B$40)/1000*(1+Constants!$C$29/100*(N24-25))-Design!$C$28)/(IF(ISBLANK(Design!$B$39),Design!$B$38,Design!$B$39)/1000000)*E24/100/(IF(ISBLANK(Design!$B$32),Design!$B$31,Design!$B$32)*1000000)&lt;0, 0, ($B24-C24*IF(ISBLANK(Design!$B$40),Constants!$C$6,Design!$B$40)/1000*(1+Constants!$C$29/100*(N24-25))-Design!$C$28)/(IF(ISBLANK(Design!$B$39),Design!$B$38,Design!$B$39)/1000000)*E24/100/(IF(ISBLANK(Design!$B$32),Design!$B$31,Design!$B$32)*1000000))</f>
        <v>0.64667805779617893</v>
      </c>
      <c r="G24" s="207">
        <f>$B24*Constants!$C$18/1000+IF(ISBLANK(Design!$B$32),Design!$B$31,Design!$B$32)*1000000*Constants!$D$22/1000000000*(IF($B24&lt;Constants!$C$21,0,$B24-Constants!$C$21))</f>
        <v>6.0128000000000117E-3</v>
      </c>
      <c r="H24" s="207">
        <f>B24*C24*(B24/(Constants!$C$23*1000000000)*IF(ISBLANK(Design!$B$32),Design!$B$31,Design!$B$32)*1000000/2+B24/(Constants!$C$24*1000000000)*IF(ISBLANK(Design!$B$32),Design!$B$31,Design!$B$32)*1000000/2)</f>
        <v>0.11009565972222236</v>
      </c>
      <c r="I24" s="207">
        <f t="shared" ca="1" si="1"/>
        <v>1.8950359257617189</v>
      </c>
      <c r="J24" s="207">
        <f>Constants!$D$22/1000000000*Constants!$C$21*IF(ISBLANK(Design!$B$32),Design!$B$31,Design!$B$32)*1000000</f>
        <v>1.2499999999999999E-2</v>
      </c>
      <c r="K24" s="207">
        <f t="shared" ca="1" si="3"/>
        <v>2.0236443854839412</v>
      </c>
      <c r="L24" s="207">
        <f t="shared" ca="1" si="4"/>
        <v>0.61458712009926375</v>
      </c>
      <c r="M24" s="208">
        <f ca="1">A24+L24*Design!$B$19</f>
        <v>120.03146584565803</v>
      </c>
      <c r="N24" s="208">
        <f ca="1">K24*Design!$C$12+A24</f>
        <v>153.803909106454</v>
      </c>
      <c r="O24" s="208">
        <f ca="1">Constants!$D$19+Constants!$D$19*Constants!$C$20/100*(N24-25)</f>
        <v>273.65175274219587</v>
      </c>
      <c r="P24" s="207">
        <f ca="1">(1-Constants!$C$17/1000000000*Design!$B$32*1000000) * ($B24+D24-C24*O24/1000) - (D24+C24*(1+($A24-25)*Constants!$C$29/100)*IF(ISBLANK(Design!$B$40),Constants!$C$6/1000,Design!$B$40/1000))</f>
        <v>5.9184784954244849</v>
      </c>
      <c r="Q24" s="213">
        <f ca="1">IF(P24&gt;Design!$C$28,Design!$C$28,P24)</f>
        <v>3.2940895522388054</v>
      </c>
      <c r="R24" s="335">
        <f t="shared" si="11"/>
        <v>2.3333333333333335</v>
      </c>
      <c r="S24" s="158">
        <f ca="1">FORECAST(R24, OFFSET(Design!$C$15:$C$17,MATCH(R24,Design!$B$15:$B$17,1)-1,0,2), OFFSET(Design!$B$15:$B$17,MATCH(R24,Design!$B$15:$B$17,1)-1,0,2))+(AB24-25)*Design!$B$18/1000</f>
        <v>0.38400931073617028</v>
      </c>
      <c r="T24" s="224">
        <f ca="1">IF(100*(Design!$C$28+S24+R24*IF(ISBLANK(Design!$B$40),Constants!$C$6,Design!$B$40)/1000*(1+Constants!$C$29/100*(AC24-25)))/($B24+S24-R24*AD24/1000)&gt;Design!$C$35,Design!$C$35,100*(Design!$C$28+S24+R24*IF(ISBLANK(Design!$B$40),Constants!$C$6,Design!$B$40)/1000*(1+Constants!$C$29/100*(AC24-25)))/($B24+S24-R24*AD24/1000))</f>
        <v>52.374230823208912</v>
      </c>
      <c r="U24" s="159">
        <f ca="1">IF(($B24-R24*IF(ISBLANK(Design!$B$40),Constants!$C$6,Design!$B$40)/1000*(1+Constants!$C$29/100*(AC24-25))-Design!$C$28)/(IF(ISBLANK(Design!$B$39),Design!$B$38,Design!$B$39)/1000000)*T24/100/(IF(ISBLANK(Design!$B$32),Design!$B$31,Design!$B$32)*1000000)&lt;0, 0, ($B24-R24*IF(ISBLANK(Design!$B$40),Constants!$C$6,Design!$B$40)/1000*(1+Constants!$C$29/100*(AC24-25))-Design!$C$28)/(IF(ISBLANK(Design!$B$39),Design!$B$38,Design!$B$39)/1000000)*T24/100/(IF(ISBLANK(Design!$B$32),Design!$B$31,Design!$B$32)*1000000))</f>
        <v>0.6074659099311569</v>
      </c>
      <c r="V24" s="159">
        <f>$B24*Constants!$C$18/1000+IF(ISBLANK(Design!$B$32),Design!$B$31,Design!$B$32)*1000000*Constants!$D$22/1000000000*(IF($B24&lt;Constants!$C$21,0,$B24-Constants!$C$21))</f>
        <v>6.0128000000000117E-3</v>
      </c>
      <c r="W24" s="225">
        <f>B24*R24*(B24/(Constants!$C$23*1000000000)*IF(ISBLANK(Design!$B$32),Design!$B$31,Design!$B$32)*1000000/2+B24/(Constants!$C$24*1000000000)*IF(ISBLANK(Design!$B$32),Design!$B$31,Design!$B$32)*1000000/2)</f>
        <v>7.339710648148158E-2</v>
      </c>
      <c r="X24" s="225">
        <f t="shared" ca="1" si="5"/>
        <v>0.66627693784038733</v>
      </c>
      <c r="Y24" s="225">
        <f>Constants!$D$22/1000000000*Constants!$C$21*IF(ISBLANK(Design!$B$32),Design!$B$31,Design!$B$32)*1000000</f>
        <v>1.2499999999999999E-2</v>
      </c>
      <c r="Z24" s="225">
        <f t="shared" ca="1" si="6"/>
        <v>0.75818684432186889</v>
      </c>
      <c r="AA24" s="225">
        <f t="shared" ca="1" si="7"/>
        <v>0.42673723854672146</v>
      </c>
      <c r="AB24" s="226">
        <f ca="1">$A24+AA24*Design!$B$19</f>
        <v>109.32402259716312</v>
      </c>
      <c r="AC24" s="226">
        <f ca="1">Z24*Design!$C$12+A24</f>
        <v>110.77835270694354</v>
      </c>
      <c r="AD24" s="226">
        <f ca="1">Constants!$D$19+Constants!$D$19*Constants!$C$20/100*(AC24-25)</f>
        <v>232.34721859866579</v>
      </c>
      <c r="AE24" s="225">
        <f ca="1">(1-Constants!$C$17/1000000000*Design!$B$32*1000000) * ($B24+S24-R24*AD24/1000) - (S24+R24*(1+($A24-25)*Constants!$C$29/100)*IF(ISBLANK(Design!$B$40),Constants!$C$6/1000,Design!$B$40/1000))</f>
        <v>6.3430925332361525</v>
      </c>
      <c r="AF24" s="339">
        <f ca="1">IF(AE24&gt;Design!$C$28,Design!$C$28,AE24)</f>
        <v>3.2940895522388054</v>
      </c>
      <c r="AG24" s="237">
        <f t="shared" si="12"/>
        <v>1.1666666666666667</v>
      </c>
      <c r="AH24" s="160">
        <f ca="1">FORECAST(AG24, OFFSET(Design!$C$15:$C$17,MATCH(AG24,Design!$B$15:$B$17,1)-1,0,2), OFFSET(Design!$B$15:$B$17,MATCH(AG24,Design!$B$15:$B$17,1)-1,0,2))+(AQ24-25)*Design!$B$18/1000</f>
        <v>0.32428756072365306</v>
      </c>
      <c r="AI24" s="238">
        <f ca="1">IF(100*(Design!$C$28+AH24+AG24*IF(ISBLANK(Design!$B$40),Constants!$C$6,Design!$B$40)/1000*(1+Constants!$C$29/100*(AR24-25)))/($B24+AH24-AG24*AS24/1000)&gt;Design!$C$35,Design!$C$35,100*(Design!$C$28+AH24+AG24*IF(ISBLANK(Design!$B$40),Constants!$C$6,Design!$B$40)/1000*(1+Constants!$C$29/100*(AR24-25)))/($B24+AH24-AG24*AS24/1000))</f>
        <v>49.466439080355961</v>
      </c>
      <c r="AJ24" s="161">
        <f ca="1">IF(($B24-AG24*IF(ISBLANK(Design!$B$40),Constants!$C$6,Design!$B$40)/1000*(1+Constants!$C$29/100*(AR24-25))-Design!$C$28)/(IF(ISBLANK(Design!$B$39),Design!$B$38,Design!$B$39)/1000000)*AI24/100/(IF(ISBLANK(Design!$B$32),Design!$B$31,Design!$B$32)*1000000)&lt;0,0,($B24-AG24*IF(ISBLANK(Design!$B$40),Constants!$C$6,Design!$B$40)/1000*(1+Constants!$C$29/100*(AR24-25))-Design!$C$28)/(IF(ISBLANK(Design!$B$39),Design!$B$38,Design!$B$39)/1000000)*AI24/100/(IF(ISBLANK(Design!$B$32),Design!$B$31,Design!$B$32)*1000000))</f>
        <v>0.57853097041769852</v>
      </c>
      <c r="AK24" s="161">
        <f>$B24*Constants!$C$18/1000+IF(ISBLANK(Design!$B$32),Design!$B$31,Design!$B$32)*1000000*Constants!$D$22/1000000000*(IF($B24&lt;Constants!$C$21,0,$B24-Constants!$C$21))</f>
        <v>6.0128000000000117E-3</v>
      </c>
      <c r="AL24" s="239">
        <f>$B24*AG24*($B24/(Constants!$C$23*1000000000)*IF(ISBLANK(Design!$B$32),Design!$B$31,Design!$B$32)*1000000/2+$B24/(Constants!$C$24*1000000000)*IF(ISBLANK(Design!$B$32),Design!$B$31,Design!$B$32)*1000000/2)</f>
        <v>3.669855324074079E-2</v>
      </c>
      <c r="AM24" s="239">
        <f t="shared" ca="1" si="2"/>
        <v>0.14717884015579086</v>
      </c>
      <c r="AN24" s="239">
        <f>Constants!$D$22/1000000000*Constants!$C$21*IF(ISBLANK(Design!$B$32),Design!$B$31,Design!$B$32)*1000000</f>
        <v>1.2499999999999999E-2</v>
      </c>
      <c r="AO24" s="239">
        <f t="shared" ca="1" si="13"/>
        <v>0.20239019339653166</v>
      </c>
      <c r="AP24" s="239">
        <f t="shared" ca="1" si="9"/>
        <v>0.19118639406196736</v>
      </c>
      <c r="AQ24" s="240">
        <f ca="1">$A24+AP24*Design!$B$19</f>
        <v>95.897624461532132</v>
      </c>
      <c r="AR24" s="240">
        <f ca="1">AO24*Design!$C$12+$A24</f>
        <v>91.881266575482073</v>
      </c>
      <c r="AS24" s="240">
        <f ca="1">Constants!$D$19+Constants!$D$19*Constants!$C$20/100*(AR24-25)</f>
        <v>214.20601591246279</v>
      </c>
      <c r="AT24" s="239">
        <f ca="1">(1-Constants!$C$17/1000000000*Design!$B$32*1000000) * ($B24+AH24-AG24*AS24/1000) - (AH24+AG24*(1+($A24-25)*Constants!$C$29/100)*IF(ISBLANK(Design!$B$40),Constants!$C$6/1000,Design!$B$40/1000))</f>
        <v>6.652538620994175</v>
      </c>
      <c r="AU24" s="342">
        <f ca="1">IF(AT24&gt;Design!$C$28,Design!$C$28,AT24)</f>
        <v>3.2940895522388054</v>
      </c>
    </row>
    <row r="25" spans="1:47" s="162" customFormat="1" ht="12.75" customHeight="1" x14ac:dyDescent="0.2">
      <c r="A25" s="154">
        <f>Design!$D$13</f>
        <v>85</v>
      </c>
      <c r="B25" s="155">
        <f t="shared" si="0"/>
        <v>7.0650000000000039</v>
      </c>
      <c r="C25" s="156">
        <f t="shared" si="10"/>
        <v>3.5</v>
      </c>
      <c r="D25" s="156">
        <f ca="1">FORECAST(C25, OFFSET(Design!$C$15:$C$17,MATCH(C25,Design!$B$15:$B$17,1)-1,0,2), OFFSET(Design!$B$15:$B$17,MATCH(C25,Design!$B$15:$B$17,1)-1,0,2))+(M25-25)*Design!$B$18/1000</f>
        <v>0.40405789210208864</v>
      </c>
      <c r="E25" s="215">
        <f ca="1">IF(100*(Design!$C$28+D25+C25*IF(ISBLANK(Design!$B$40),Constants!$C$6,Design!$B$40)/1000*(1+Constants!$C$29/100*(N25-25)))/($B25+D25-C25*O25/1000)&gt;Design!$C$35,Design!$C$35,100*(Design!$C$28+D25+C25*IF(ISBLANK(Design!$B$40),Constants!$C$6,Design!$B$40)/1000*(1+Constants!$C$29/100*(N25-25)))/($B25+D25-C25*O25/1000))</f>
        <v>58.51346631264115</v>
      </c>
      <c r="F25" s="157">
        <f ca="1">IF(($B25-C25*IF(ISBLANK(Design!$B$40),Constants!$C$6,Design!$B$40)/1000*(1+Constants!$C$29/100*(N25-25))-Design!$C$28)/(IF(ISBLANK(Design!$B$39),Design!$B$38,Design!$B$39)/1000000)*E25/100/(IF(ISBLANK(Design!$B$32),Design!$B$31,Design!$B$32)*1000000)&lt;0, 0, ($B25-C25*IF(ISBLANK(Design!$B$40),Constants!$C$6,Design!$B$40)/1000*(1+Constants!$C$29/100*(N25-25))-Design!$C$28)/(IF(ISBLANK(Design!$B$39),Design!$B$38,Design!$B$39)/1000000)*E25/100/(IF(ISBLANK(Design!$B$32),Design!$B$31,Design!$B$32)*1000000))</f>
        <v>0.63068771292596448</v>
      </c>
      <c r="G25" s="207">
        <f>$B25*Constants!$C$18/1000+IF(ISBLANK(Design!$B$32),Design!$B$31,Design!$B$32)*1000000*Constants!$D$22/1000000000*(IF($B25&lt;Constants!$C$21,0,$B25-Constants!$C$21))</f>
        <v>5.4168400000000104E-3</v>
      </c>
      <c r="H25" s="207">
        <f>B25*C25*(B25/(Constants!$C$23*1000000000)*IF(ISBLANK(Design!$B$32),Design!$B$31,Design!$B$32)*1000000/2+B25/(Constants!$C$24*1000000000)*IF(ISBLANK(Design!$B$32),Design!$B$31,Design!$B$32)*1000000/2)</f>
        <v>0.10312140234375011</v>
      </c>
      <c r="I25" s="207">
        <f t="shared" ca="1" si="1"/>
        <v>1.9864959167653005</v>
      </c>
      <c r="J25" s="207">
        <f>Constants!$D$22/1000000000*Constants!$C$21*IF(ISBLANK(Design!$B$32),Design!$B$31,Design!$B$32)*1000000</f>
        <v>1.2499999999999999E-2</v>
      </c>
      <c r="K25" s="207">
        <f t="shared" ca="1" si="3"/>
        <v>2.1075341591090506</v>
      </c>
      <c r="L25" s="207">
        <f t="shared" ca="1" si="4"/>
        <v>0.58670364733177782</v>
      </c>
      <c r="M25" s="208">
        <f ca="1">A25+L25*Design!$B$19</f>
        <v>118.44210789791134</v>
      </c>
      <c r="N25" s="208">
        <f ca="1">K25*Design!$C$12+A25</f>
        <v>156.65616140970772</v>
      </c>
      <c r="O25" s="208">
        <f ca="1">Constants!$D$19+Constants!$D$19*Constants!$C$20/100*(N25-25)</f>
        <v>276.38991495331942</v>
      </c>
      <c r="P25" s="207">
        <f ca="1">(1-Constants!$C$17/1000000000*Design!$B$32*1000000) * ($B25+D25-C25*O25/1000) - (D25+C25*(1+($A25-25)*Constants!$C$29/100)*IF(ISBLANK(Design!$B$40),Constants!$C$6/1000,Design!$B$40/1000))</f>
        <v>5.6860446381751117</v>
      </c>
      <c r="Q25" s="213">
        <f ca="1">IF(P25&gt;Design!$C$28,Design!$C$28,P25)</f>
        <v>3.2940895522388054</v>
      </c>
      <c r="R25" s="335">
        <f t="shared" si="11"/>
        <v>2.3333333333333335</v>
      </c>
      <c r="S25" s="158">
        <f ca="1">FORECAST(R25, OFFSET(Design!$C$15:$C$17,MATCH(R25,Design!$B$15:$B$17,1)-1,0,2), OFFSET(Design!$B$15:$B$17,MATCH(R25,Design!$B$15:$B$17,1)-1,0,2))+(AB25-25)*Design!$B$18/1000</f>
        <v>0.3848763142432054</v>
      </c>
      <c r="T25" s="224">
        <f ca="1">IF(100*(Design!$C$28+S25+R25*IF(ISBLANK(Design!$B$40),Constants!$C$6,Design!$B$40)/1000*(1+Constants!$C$29/100*(AC25-25)))/($B25+S25-R25*AD25/1000)&gt;Design!$C$35,Design!$C$35,100*(Design!$C$28+S25+R25*IF(ISBLANK(Design!$B$40),Constants!$C$6,Design!$B$40)/1000*(1+Constants!$C$29/100*(AC25-25)))/($B25+S25-R25*AD25/1000))</f>
        <v>54.175261490375739</v>
      </c>
      <c r="U25" s="159">
        <f ca="1">IF(($B25-R25*IF(ISBLANK(Design!$B$40),Constants!$C$6,Design!$B$40)/1000*(1+Constants!$C$29/100*(AC25-25))-Design!$C$28)/(IF(ISBLANK(Design!$B$39),Design!$B$38,Design!$B$39)/1000000)*T25/100/(IF(ISBLANK(Design!$B$32),Design!$B$31,Design!$B$32)*1000000)&lt;0, 0, ($B25-R25*IF(ISBLANK(Design!$B$40),Constants!$C$6,Design!$B$40)/1000*(1+Constants!$C$29/100*(AC25-25))-Design!$C$28)/(IF(ISBLANK(Design!$B$39),Design!$B$38,Design!$B$39)/1000000)*T25/100/(IF(ISBLANK(Design!$B$32),Design!$B$31,Design!$B$32)*1000000))</f>
        <v>0.59089141028017333</v>
      </c>
      <c r="V25" s="159">
        <f>$B25*Constants!$C$18/1000+IF(ISBLANK(Design!$B$32),Design!$B$31,Design!$B$32)*1000000*Constants!$D$22/1000000000*(IF($B25&lt;Constants!$C$21,0,$B25-Constants!$C$21))</f>
        <v>5.4168400000000104E-3</v>
      </c>
      <c r="W25" s="225">
        <f>B25*R25*(B25/(Constants!$C$23*1000000000)*IF(ISBLANK(Design!$B$32),Design!$B$31,Design!$B$32)*1000000/2+B25/(Constants!$C$24*1000000000)*IF(ISBLANK(Design!$B$32),Design!$B$31,Design!$B$32)*1000000/2)</f>
        <v>6.874760156250008E-2</v>
      </c>
      <c r="X25" s="225">
        <f t="shared" ca="1" si="5"/>
        <v>0.69085111997774151</v>
      </c>
      <c r="Y25" s="225">
        <f>Constants!$D$22/1000000000*Constants!$C$21*IF(ISBLANK(Design!$B$32),Design!$B$31,Design!$B$32)*1000000</f>
        <v>1.2499999999999999E-2</v>
      </c>
      <c r="Z25" s="225">
        <f t="shared" ca="1" si="6"/>
        <v>0.7775155615402416</v>
      </c>
      <c r="AA25" s="225">
        <f t="shared" ca="1" si="7"/>
        <v>0.41152665070400019</v>
      </c>
      <c r="AB25" s="226">
        <f ca="1">$A25+AA25*Design!$B$19</f>
        <v>108.45701909012801</v>
      </c>
      <c r="AC25" s="226">
        <f ca="1">Z25*Design!$C$12+A25</f>
        <v>111.43552909236821</v>
      </c>
      <c r="AD25" s="226">
        <f ca="1">Constants!$D$19+Constants!$D$19*Constants!$C$20/100*(AC25-25)</f>
        <v>232.97810792867347</v>
      </c>
      <c r="AE25" s="225">
        <f ca="1">(1-Constants!$C$17/1000000000*Design!$B$32*1000000) * ($B25+S25-R25*AD25/1000) - (S25+R25*(1+($A25-25)*Constants!$C$29/100)*IF(ISBLANK(Design!$B$40),Constants!$C$6/1000,Design!$B$40/1000))</f>
        <v>6.1184007117126171</v>
      </c>
      <c r="AF25" s="339">
        <f ca="1">IF(AE25&gt;Design!$C$28,Design!$C$28,AE25)</f>
        <v>3.2940895522388054</v>
      </c>
      <c r="AG25" s="237">
        <f t="shared" si="12"/>
        <v>1.1666666666666667</v>
      </c>
      <c r="AH25" s="160">
        <f ca="1">FORECAST(AG25, OFFSET(Design!$C$15:$C$17,MATCH(AG25,Design!$B$15:$B$17,1)-1,0,2), OFFSET(Design!$B$15:$B$17,MATCH(AG25,Design!$B$15:$B$17,1)-1,0,2))+(AQ25-25)*Design!$B$18/1000</f>
        <v>0.32462823973835125</v>
      </c>
      <c r="AI25" s="238">
        <f ca="1">IF(100*(Design!$C$28+AH25+AG25*IF(ISBLANK(Design!$B$40),Constants!$C$6,Design!$B$40)/1000*(1+Constants!$C$29/100*(AR25-25)))/($B25+AH25-AG25*AS25/1000)&gt;Design!$C$35,Design!$C$35,100*(Design!$C$28+AH25+AG25*IF(ISBLANK(Design!$B$40),Constants!$C$6,Design!$B$40)/1000*(1+Constants!$C$29/100*(AR25-25)))/($B25+AH25-AG25*AS25/1000))</f>
        <v>51.097581812710224</v>
      </c>
      <c r="AJ25" s="161">
        <f ca="1">IF(($B25-AG25*IF(ISBLANK(Design!$B$40),Constants!$C$6,Design!$B$40)/1000*(1+Constants!$C$29/100*(AR25-25))-Design!$C$28)/(IF(ISBLANK(Design!$B$39),Design!$B$38,Design!$B$39)/1000000)*AI25/100/(IF(ISBLANK(Design!$B$32),Design!$B$31,Design!$B$32)*1000000)&lt;0,0,($B25-AG25*IF(ISBLANK(Design!$B$40),Constants!$C$6,Design!$B$40)/1000*(1+Constants!$C$29/100*(AR25-25))-Design!$C$28)/(IF(ISBLANK(Design!$B$39),Design!$B$38,Design!$B$39)/1000000)*AI25/100/(IF(ISBLANK(Design!$B$32),Design!$B$31,Design!$B$32)*1000000))</f>
        <v>0.56228958387388694</v>
      </c>
      <c r="AK25" s="161">
        <f>$B25*Constants!$C$18/1000+IF(ISBLANK(Design!$B$32),Design!$B$31,Design!$B$32)*1000000*Constants!$D$22/1000000000*(IF($B25&lt;Constants!$C$21,0,$B25-Constants!$C$21))</f>
        <v>5.4168400000000104E-3</v>
      </c>
      <c r="AL25" s="239">
        <f>$B25*AG25*($B25/(Constants!$C$23*1000000000)*IF(ISBLANK(Design!$B$32),Design!$B$31,Design!$B$32)*1000000/2+$B25/(Constants!$C$24*1000000000)*IF(ISBLANK(Design!$B$32),Design!$B$31,Design!$B$32)*1000000/2)</f>
        <v>3.437380078125004E-2</v>
      </c>
      <c r="AM25" s="239">
        <f t="shared" ca="1" si="2"/>
        <v>0.15190479570739499</v>
      </c>
      <c r="AN25" s="239">
        <f>Constants!$D$22/1000000000*Constants!$C$21*IF(ISBLANK(Design!$B$32),Design!$B$31,Design!$B$32)*1000000</f>
        <v>1.2499999999999999E-2</v>
      </c>
      <c r="AO25" s="239">
        <f t="shared" ca="1" si="13"/>
        <v>0.20419543648864505</v>
      </c>
      <c r="AP25" s="239">
        <f t="shared" ca="1" si="9"/>
        <v>0.18520956924270049</v>
      </c>
      <c r="AQ25" s="240">
        <f ca="1">$A25+AP25*Design!$B$19</f>
        <v>95.556945446833936</v>
      </c>
      <c r="AR25" s="240">
        <f ca="1">AO25*Design!$C$12+$A25</f>
        <v>91.942644840613937</v>
      </c>
      <c r="AS25" s="240">
        <f ca="1">Constants!$D$19+Constants!$D$19*Constants!$C$20/100*(AR25-25)</f>
        <v>214.26493904698938</v>
      </c>
      <c r="AT25" s="239">
        <f ca="1">(1-Constants!$C$17/1000000000*Design!$B$32*1000000) * ($B25+AH25-AG25*AS25/1000) - (AH25+AG25*(1+($A25-25)*Constants!$C$29/100)*IF(ISBLANK(Design!$B$40),Constants!$C$6/1000,Design!$B$40/1000))</f>
        <v>6.4292062805693391</v>
      </c>
      <c r="AU25" s="342">
        <f ca="1">IF(AT25&gt;Design!$C$28,Design!$C$28,AT25)</f>
        <v>3.2940895522388054</v>
      </c>
    </row>
    <row r="26" spans="1:47" s="162" customFormat="1" ht="12.75" customHeight="1" x14ac:dyDescent="0.2">
      <c r="A26" s="154">
        <f>Design!$D$13</f>
        <v>85</v>
      </c>
      <c r="B26" s="155">
        <f t="shared" si="0"/>
        <v>6.8300000000000036</v>
      </c>
      <c r="C26" s="156">
        <f t="shared" si="10"/>
        <v>3.5</v>
      </c>
      <c r="D26" s="156">
        <f ca="1">FORECAST(C26, OFFSET(Design!$C$15:$C$17,MATCH(C26,Design!$B$15:$B$17,1)-1,0,2), OFFSET(Design!$B$15:$B$17,MATCH(C26,Design!$B$15:$B$17,1)-1,0,2))+(M26-25)*Design!$B$18/1000</f>
        <v>0.40579524924188948</v>
      </c>
      <c r="E26" s="215">
        <f ca="1">IF(100*(Design!$C$28+D26+C26*IF(ISBLANK(Design!$B$40),Constants!$C$6,Design!$B$40)/1000*(1+Constants!$C$29/100*(N26-25)))/($B26+D26-C26*O26/1000)&gt;Design!$C$35,Design!$C$35,100*(Design!$C$28+D26+C26*IF(ISBLANK(Design!$B$40),Constants!$C$6,Design!$B$40)/1000*(1+Constants!$C$29/100*(N26-25)))/($B26+D26-C26*O26/1000))</f>
        <v>60.837132339885841</v>
      </c>
      <c r="F26" s="157">
        <f ca="1">IF(($B26-C26*IF(ISBLANK(Design!$B$40),Constants!$C$6,Design!$B$40)/1000*(1+Constants!$C$29/100*(N26-25))-Design!$C$28)/(IF(ISBLANK(Design!$B$39),Design!$B$38,Design!$B$39)/1000000)*E26/100/(IF(ISBLANK(Design!$B$32),Design!$B$31,Design!$B$32)*1000000)&lt;0, 0, ($B26-C26*IF(ISBLANK(Design!$B$40),Constants!$C$6,Design!$B$40)/1000*(1+Constants!$C$29/100*(N26-25))-Design!$C$28)/(IF(ISBLANK(Design!$B$39),Design!$B$38,Design!$B$39)/1000000)*E26/100/(IF(ISBLANK(Design!$B$32),Design!$B$31,Design!$B$32)*1000000))</f>
        <v>0.61352646798364274</v>
      </c>
      <c r="G26" s="207">
        <f>$B26*Constants!$C$18/1000+IF(ISBLANK(Design!$B$32),Design!$B$31,Design!$B$32)*1000000*Constants!$D$22/1000000000*(IF($B26&lt;Constants!$C$21,0,$B26-Constants!$C$21))</f>
        <v>4.8208800000000092E-3</v>
      </c>
      <c r="H26" s="207">
        <f>B26*C26*(B26/(Constants!$C$23*1000000000)*IF(ISBLANK(Design!$B$32),Design!$B$31,Design!$B$32)*1000000/2+B26/(Constants!$C$24*1000000000)*IF(ISBLANK(Design!$B$32),Design!$B$31,Design!$B$32)*1000000/2)</f>
        <v>9.6375331597222322E-2</v>
      </c>
      <c r="I26" s="207">
        <f t="shared" ca="1" si="1"/>
        <v>2.0880627232991547</v>
      </c>
      <c r="J26" s="207">
        <f>Constants!$D$22/1000000000*Constants!$C$21*IF(ISBLANK(Design!$B$32),Design!$B$31,Design!$B$32)*1000000</f>
        <v>1.2499999999999999E-2</v>
      </c>
      <c r="K26" s="207">
        <f t="shared" ca="1" si="3"/>
        <v>2.2017589348963771</v>
      </c>
      <c r="L26" s="207">
        <f t="shared" ca="1" si="4"/>
        <v>0.55622369751071055</v>
      </c>
      <c r="M26" s="208">
        <f ca="1">A26+L26*Design!$B$19</f>
        <v>116.70475075811049</v>
      </c>
      <c r="N26" s="208">
        <f ca="1">K26*Design!$C$12+A26</f>
        <v>159.85980378647682</v>
      </c>
      <c r="O26" s="208">
        <f ca="1">Constants!$D$19+Constants!$D$19*Constants!$C$20/100*(N26-25)</f>
        <v>279.46541163501774</v>
      </c>
      <c r="P26" s="207">
        <f ca="1">(1-Constants!$C$17/1000000000*Design!$B$32*1000000) * ($B26+D26-C26*O26/1000) - (D26+C26*(1+($A26-25)*Constants!$C$29/100)*IF(ISBLANK(Design!$B$40),Constants!$C$6/1000,Design!$B$40/1000))</f>
        <v>5.4524817438514752</v>
      </c>
      <c r="Q26" s="213">
        <f ca="1">IF(P26&gt;Design!$C$28,Design!$C$28,P26)</f>
        <v>3.2940895522388054</v>
      </c>
      <c r="R26" s="335">
        <f t="shared" si="11"/>
        <v>2.3333333333333335</v>
      </c>
      <c r="S26" s="158">
        <f ca="1">FORECAST(R26, OFFSET(Design!$C$15:$C$17,MATCH(R26,Design!$B$15:$B$17,1)-1,0,2), OFFSET(Design!$B$15:$B$17,MATCH(R26,Design!$B$15:$B$17,1)-1,0,2))+(AB26-25)*Design!$B$18/1000</f>
        <v>0.38580987793153226</v>
      </c>
      <c r="T26" s="224">
        <f ca="1">IF(100*(Design!$C$28+S26+R26*IF(ISBLANK(Design!$B$40),Constants!$C$6,Design!$B$40)/1000*(1+Constants!$C$29/100*(AC26-25)))/($B26+S26-R26*AD26/1000)&gt;Design!$C$35,Design!$C$35,100*(Design!$C$28+S26+R26*IF(ISBLANK(Design!$B$40),Constants!$C$6,Design!$B$40)/1000*(1+Constants!$C$29/100*(AC26-25)))/($B26+S26-R26*AD26/1000))</f>
        <v>56.105507292013876</v>
      </c>
      <c r="U26" s="159">
        <f ca="1">IF(($B26-R26*IF(ISBLANK(Design!$B$40),Constants!$C$6,Design!$B$40)/1000*(1+Constants!$C$29/100*(AC26-25))-Design!$C$28)/(IF(ISBLANK(Design!$B$39),Design!$B$38,Design!$B$39)/1000000)*T26/100/(IF(ISBLANK(Design!$B$32),Design!$B$31,Design!$B$32)*1000000)&lt;0, 0, ($B26-R26*IF(ISBLANK(Design!$B$40),Constants!$C$6,Design!$B$40)/1000*(1+Constants!$C$29/100*(AC26-25))-Design!$C$28)/(IF(ISBLANK(Design!$B$39),Design!$B$38,Design!$B$39)/1000000)*T26/100/(IF(ISBLANK(Design!$B$32),Design!$B$31,Design!$B$32)*1000000))</f>
        <v>0.57314379333338961</v>
      </c>
      <c r="V26" s="159">
        <f>$B26*Constants!$C$18/1000+IF(ISBLANK(Design!$B$32),Design!$B$31,Design!$B$32)*1000000*Constants!$D$22/1000000000*(IF($B26&lt;Constants!$C$21,0,$B26-Constants!$C$21))</f>
        <v>4.8208800000000092E-3</v>
      </c>
      <c r="W26" s="225">
        <f>B26*R26*(B26/(Constants!$C$23*1000000000)*IF(ISBLANK(Design!$B$32),Design!$B$31,Design!$B$32)*1000000/2+B26/(Constants!$C$24*1000000000)*IF(ISBLANK(Design!$B$32),Design!$B$31,Design!$B$32)*1000000/2)</f>
        <v>6.4250221064814886E-2</v>
      </c>
      <c r="X26" s="225">
        <f t="shared" ca="1" si="5"/>
        <v>0.7173897929282379</v>
      </c>
      <c r="Y26" s="225">
        <f>Constants!$D$22/1000000000*Constants!$C$21*IF(ISBLANK(Design!$B$32),Design!$B$31,Design!$B$32)*1000000</f>
        <v>1.2499999999999999E-2</v>
      </c>
      <c r="Z26" s="225">
        <f t="shared" ca="1" si="6"/>
        <v>0.79896089399305281</v>
      </c>
      <c r="AA26" s="225">
        <f t="shared" ca="1" si="7"/>
        <v>0.39514834038247543</v>
      </c>
      <c r="AB26" s="226">
        <f ca="1">$A26+AA26*Design!$B$19</f>
        <v>107.5234554018011</v>
      </c>
      <c r="AC26" s="226">
        <f ca="1">Z26*Design!$C$12+A26</f>
        <v>112.16467039576379</v>
      </c>
      <c r="AD26" s="226">
        <f ca="1">Constants!$D$19+Constants!$D$19*Constants!$C$20/100*(AC26-25)</f>
        <v>233.67808357993323</v>
      </c>
      <c r="AE26" s="225">
        <f ca="1">(1-Constants!$C$17/1000000000*Design!$B$32*1000000) * ($B26+S26-R26*AD26/1000) - (S26+R26*(1+($A26-25)*Constants!$C$29/100)*IF(ISBLANK(Design!$B$40),Constants!$C$6/1000,Design!$B$40/1000))</f>
        <v>5.8935524208345749</v>
      </c>
      <c r="AF26" s="339">
        <f ca="1">IF(AE26&gt;Design!$C$28,Design!$C$28,AE26)</f>
        <v>3.2940895522388054</v>
      </c>
      <c r="AG26" s="237">
        <f t="shared" si="12"/>
        <v>1.1666666666666667</v>
      </c>
      <c r="AH26" s="160">
        <f ca="1">FORECAST(AG26, OFFSET(Design!$C$15:$C$17,MATCH(AG26,Design!$B$15:$B$17,1)-1,0,2), OFFSET(Design!$B$15:$B$17,MATCH(AG26,Design!$B$15:$B$17,1)-1,0,2))+(AQ26-25)*Design!$B$18/1000</f>
        <v>0.32499293505507421</v>
      </c>
      <c r="AI26" s="238">
        <f ca="1">IF(100*(Design!$C$28+AH26+AG26*IF(ISBLANK(Design!$B$40),Constants!$C$6,Design!$B$40)/1000*(1+Constants!$C$29/100*(AR26-25)))/($B26+AH26-AG26*AS26/1000)&gt;Design!$C$35,Design!$C$35,100*(Design!$C$28+AH26+AG26*IF(ISBLANK(Design!$B$40),Constants!$C$6,Design!$B$40)/1000*(1+Constants!$C$29/100*(AR26-25)))/($B26+AH26-AG26*AS26/1000))</f>
        <v>52.839922743607715</v>
      </c>
      <c r="AJ26" s="161">
        <f ca="1">IF(($B26-AG26*IF(ISBLANK(Design!$B$40),Constants!$C$6,Design!$B$40)/1000*(1+Constants!$C$29/100*(AR26-25))-Design!$C$28)/(IF(ISBLANK(Design!$B$39),Design!$B$38,Design!$B$39)/1000000)*AI26/100/(IF(ISBLANK(Design!$B$32),Design!$B$31,Design!$B$32)*1000000)&lt;0,0,($B26-AG26*IF(ISBLANK(Design!$B$40),Constants!$C$6,Design!$B$40)/1000*(1+Constants!$C$29/100*(AR26-25))-Design!$C$28)/(IF(ISBLANK(Design!$B$39),Design!$B$38,Design!$B$39)/1000000)*AI26/100/(IF(ISBLANK(Design!$B$32),Design!$B$31,Design!$B$32)*1000000))</f>
        <v>0.54493992514821477</v>
      </c>
      <c r="AK26" s="161">
        <f>$B26*Constants!$C$18/1000+IF(ISBLANK(Design!$B$32),Design!$B$31,Design!$B$32)*1000000*Constants!$D$22/1000000000*(IF($B26&lt;Constants!$C$21,0,$B26-Constants!$C$21))</f>
        <v>4.8208800000000092E-3</v>
      </c>
      <c r="AL26" s="239">
        <f>$B26*AG26*($B26/(Constants!$C$23*1000000000)*IF(ISBLANK(Design!$B$32),Design!$B$31,Design!$B$32)*1000000/2+$B26/(Constants!$C$24*1000000000)*IF(ISBLANK(Design!$B$32),Design!$B$31,Design!$B$32)*1000000/2)</f>
        <v>3.2125110532407443E-2</v>
      </c>
      <c r="AM26" s="239">
        <f t="shared" ca="1" si="2"/>
        <v>0.15695598942852901</v>
      </c>
      <c r="AN26" s="239">
        <f>Constants!$D$22/1000000000*Constants!$C$21*IF(ISBLANK(Design!$B$32),Design!$B$31,Design!$B$32)*1000000</f>
        <v>1.2499999999999999E-2</v>
      </c>
      <c r="AO26" s="239">
        <f t="shared" ca="1" si="13"/>
        <v>0.20640197996093645</v>
      </c>
      <c r="AP26" s="239">
        <f t="shared" ca="1" si="9"/>
        <v>0.17881140579142146</v>
      </c>
      <c r="AQ26" s="240">
        <f ca="1">$A26+AP26*Design!$B$19</f>
        <v>95.19225013011102</v>
      </c>
      <c r="AR26" s="240">
        <f ca="1">AO26*Design!$C$12+$A26</f>
        <v>92.01766731867184</v>
      </c>
      <c r="AS26" s="240">
        <f ca="1">Constants!$D$19+Constants!$D$19*Constants!$C$20/100*(AR26-25)</f>
        <v>214.33696062592497</v>
      </c>
      <c r="AT26" s="239">
        <f ca="1">(1-Constants!$C$17/1000000000*Design!$B$32*1000000) * ($B26+AH26-AG26*AS26/1000) - (AH26+AG26*(1+($A26-25)*Constants!$C$29/100)*IF(ISBLANK(Design!$B$40),Constants!$C$6/1000,Design!$B$40/1000))</f>
        <v>6.2058582218868494</v>
      </c>
      <c r="AU26" s="342">
        <f ca="1">IF(AT26&gt;Design!$C$28,Design!$C$28,AT26)</f>
        <v>3.2940895522388054</v>
      </c>
    </row>
    <row r="27" spans="1:47" s="162" customFormat="1" ht="12.75" customHeight="1" x14ac:dyDescent="0.2">
      <c r="A27" s="154">
        <f>Design!$D$13</f>
        <v>85</v>
      </c>
      <c r="B27" s="155">
        <f t="shared" si="0"/>
        <v>6.5950000000000033</v>
      </c>
      <c r="C27" s="156">
        <f t="shared" si="10"/>
        <v>3.5</v>
      </c>
      <c r="D27" s="156">
        <f ca="1">FORECAST(C27, OFFSET(Design!$C$15:$C$17,MATCH(C27,Design!$B$15:$B$17,1)-1,0,2), OFFSET(Design!$B$15:$B$17,MATCH(C27,Design!$B$15:$B$17,1)-1,0,2))+(M27-25)*Design!$B$18/1000</f>
        <v>0.40770384215636735</v>
      </c>
      <c r="E27" s="215">
        <f ca="1">IF(100*(Design!$C$28+D27+C27*IF(ISBLANK(Design!$B$40),Constants!$C$6,Design!$B$40)/1000*(1+Constants!$C$29/100*(N27-25)))/($B27+D27-C27*O27/1000)&gt;Design!$C$35,Design!$C$35,100*(Design!$C$28+D27+C27*IF(ISBLANK(Design!$B$40),Constants!$C$6,Design!$B$40)/1000*(1+Constants!$C$29/100*(N27-25)))/($B27+D27-C27*O27/1000))</f>
        <v>63.366993584152176</v>
      </c>
      <c r="F27" s="157">
        <f ca="1">IF(($B27-C27*IF(ISBLANK(Design!$B$40),Constants!$C$6,Design!$B$40)/1000*(1+Constants!$C$29/100*(N27-25))-Design!$C$28)/(IF(ISBLANK(Design!$B$39),Design!$B$38,Design!$B$39)/1000000)*E27/100/(IF(ISBLANK(Design!$B$32),Design!$B$31,Design!$B$32)*1000000)&lt;0, 0, ($B27-C27*IF(ISBLANK(Design!$B$40),Constants!$C$6,Design!$B$40)/1000*(1+Constants!$C$29/100*(N27-25))-Design!$C$28)/(IF(ISBLANK(Design!$B$39),Design!$B$38,Design!$B$39)/1000000)*E27/100/(IF(ISBLANK(Design!$B$32),Design!$B$31,Design!$B$32)*1000000))</f>
        <v>0.59505617471768135</v>
      </c>
      <c r="G27" s="207">
        <f>$B27*Constants!$C$18/1000+IF(ISBLANK(Design!$B$32),Design!$B$31,Design!$B$32)*1000000*Constants!$D$22/1000000000*(IF($B27&lt;Constants!$C$21,0,$B27-Constants!$C$21))</f>
        <v>4.2249200000000087E-3</v>
      </c>
      <c r="H27" s="207">
        <f>B27*C27*(B27/(Constants!$C$23*1000000000)*IF(ISBLANK(Design!$B$32),Design!$B$31,Design!$B$32)*1000000/2+B27/(Constants!$C$24*1000000000)*IF(ISBLANK(Design!$B$32),Design!$B$31,Design!$B$32)*1000000/2)</f>
        <v>8.9857447482638964E-2</v>
      </c>
      <c r="I27" s="207">
        <f t="shared" ca="1" si="1"/>
        <v>2.2015902545334258</v>
      </c>
      <c r="J27" s="207">
        <f>Constants!$D$22/1000000000*Constants!$C$21*IF(ISBLANK(Design!$B$32),Design!$B$31,Design!$B$32)*1000000</f>
        <v>1.2499999999999999E-2</v>
      </c>
      <c r="K27" s="207">
        <f t="shared" ca="1" si="3"/>
        <v>2.3081726220160648</v>
      </c>
      <c r="L27" s="207">
        <f t="shared" ca="1" si="4"/>
        <v>0.52273961129180047</v>
      </c>
      <c r="M27" s="208">
        <f ca="1">A27+L27*Design!$B$19</f>
        <v>114.79615784363263</v>
      </c>
      <c r="N27" s="208">
        <f ca="1">K27*Design!$C$12+A27</f>
        <v>163.4778691485462</v>
      </c>
      <c r="O27" s="208">
        <f ca="1">Constants!$D$19+Constants!$D$19*Constants!$C$20/100*(N27-25)</f>
        <v>282.93875438260432</v>
      </c>
      <c r="P27" s="207">
        <f ca="1">(1-Constants!$C$17/1000000000*Design!$B$32*1000000) * ($B27+D27-C27*O27/1000) - (D27+C27*(1+($A27-25)*Constants!$C$29/100)*IF(ISBLANK(Design!$B$40),Constants!$C$6/1000,Design!$B$40/1000))</f>
        <v>5.2175874495700247</v>
      </c>
      <c r="Q27" s="213">
        <f ca="1">IF(P27&gt;Design!$C$28,Design!$C$28,P27)</f>
        <v>3.2940895522388054</v>
      </c>
      <c r="R27" s="335">
        <f t="shared" si="11"/>
        <v>2.3333333333333335</v>
      </c>
      <c r="S27" s="158">
        <f ca="1">FORECAST(R27, OFFSET(Design!$C$15:$C$17,MATCH(R27,Design!$B$15:$B$17,1)-1,0,2), OFFSET(Design!$B$15:$B$17,MATCH(R27,Design!$B$15:$B$17,1)-1,0,2))+(AB27-25)*Design!$B$18/1000</f>
        <v>0.38681802419826283</v>
      </c>
      <c r="T27" s="224">
        <f ca="1">IF(100*(Design!$C$28+S27+R27*IF(ISBLANK(Design!$B$40),Constants!$C$6,Design!$B$40)/1000*(1+Constants!$C$29/100*(AC27-25)))/($B27+S27-R27*AD27/1000)&gt;Design!$C$35,Design!$C$35,100*(Design!$C$28+S27+R27*IF(ISBLANK(Design!$B$40),Constants!$C$6,Design!$B$40)/1000*(1+Constants!$C$29/100*(AC27-25)))/($B27+S27-R27*AD27/1000))</f>
        <v>58.179497464638033</v>
      </c>
      <c r="U27" s="159">
        <f ca="1">IF(($B27-R27*IF(ISBLANK(Design!$B$40),Constants!$C$6,Design!$B$40)/1000*(1+Constants!$C$29/100*(AC27-25))-Design!$C$28)/(IF(ISBLANK(Design!$B$39),Design!$B$38,Design!$B$39)/1000000)*T27/100/(IF(ISBLANK(Design!$B$32),Design!$B$31,Design!$B$32)*1000000)&lt;0, 0, ($B27-R27*IF(ISBLANK(Design!$B$40),Constants!$C$6,Design!$B$40)/1000*(1+Constants!$C$29/100*(AC27-25))-Design!$C$28)/(IF(ISBLANK(Design!$B$39),Design!$B$38,Design!$B$39)/1000000)*T27/100/(IF(ISBLANK(Design!$B$32),Design!$B$31,Design!$B$32)*1000000))</f>
        <v>0.55409286287212001</v>
      </c>
      <c r="V27" s="159">
        <f>$B27*Constants!$C$18/1000+IF(ISBLANK(Design!$B$32),Design!$B$31,Design!$B$32)*1000000*Constants!$D$22/1000000000*(IF($B27&lt;Constants!$C$21,0,$B27-Constants!$C$21))</f>
        <v>4.2249200000000087E-3</v>
      </c>
      <c r="W27" s="225">
        <f>B27*R27*(B27/(Constants!$C$23*1000000000)*IF(ISBLANK(Design!$B$32),Design!$B$31,Design!$B$32)*1000000/2+B27/(Constants!$C$24*1000000000)*IF(ISBLANK(Design!$B$32),Design!$B$31,Design!$B$32)*1000000/2)</f>
        <v>5.9904964988425992E-2</v>
      </c>
      <c r="X27" s="225">
        <f t="shared" ca="1" si="5"/>
        <v>0.74613843907081612</v>
      </c>
      <c r="Y27" s="225">
        <f>Constants!$D$22/1000000000*Constants!$C$21*IF(ISBLANK(Design!$B$32),Design!$B$31,Design!$B$32)*1000000</f>
        <v>1.2499999999999999E-2</v>
      </c>
      <c r="Z27" s="225">
        <f t="shared" ca="1" si="6"/>
        <v>0.82276832405924205</v>
      </c>
      <c r="AA27" s="225">
        <f t="shared" ca="1" si="7"/>
        <v>0.37746156377316703</v>
      </c>
      <c r="AB27" s="226">
        <f ca="1">$A27+AA27*Design!$B$19</f>
        <v>106.51530913507052</v>
      </c>
      <c r="AC27" s="226">
        <f ca="1">Z27*Design!$C$12+A27</f>
        <v>112.97412301801423</v>
      </c>
      <c r="AD27" s="226">
        <f ca="1">Constants!$D$19+Constants!$D$19*Constants!$C$20/100*(AC27-25)</f>
        <v>234.45515809729363</v>
      </c>
      <c r="AE27" s="225">
        <f ca="1">(1-Constants!$C$17/1000000000*Design!$B$32*1000000) * ($B27+S27-R27*AD27/1000) - (S27+R27*(1+($A27-25)*Constants!$C$29/100)*IF(ISBLANK(Design!$B$40),Constants!$C$6/1000,Design!$B$40/1000))</f>
        <v>5.6685294983410879</v>
      </c>
      <c r="AF27" s="339">
        <f ca="1">IF(AE27&gt;Design!$C$28,Design!$C$28,AE27)</f>
        <v>3.2940895522388054</v>
      </c>
      <c r="AG27" s="237">
        <f t="shared" si="12"/>
        <v>1.1666666666666667</v>
      </c>
      <c r="AH27" s="160">
        <f ca="1">FORECAST(AG27, OFFSET(Design!$C$15:$C$17,MATCH(AG27,Design!$B$15:$B$17,1)-1,0,2), OFFSET(Design!$B$15:$B$17,MATCH(AG27,Design!$B$15:$B$17,1)-1,0,2))+(AQ27-25)*Design!$B$18/1000</f>
        <v>0.32538427699440575</v>
      </c>
      <c r="AI27" s="238">
        <f ca="1">IF(100*(Design!$C$28+AH27+AG27*IF(ISBLANK(Design!$B$40),Constants!$C$6,Design!$B$40)/1000*(1+Constants!$C$29/100*(AR27-25)))/($B27+AH27-AG27*AS27/1000)&gt;Design!$C$35,Design!$C$35,100*(Design!$C$28+AH27+AG27*IF(ISBLANK(Design!$B$40),Constants!$C$6,Design!$B$40)/1000*(1+Constants!$C$29/100*(AR27-25)))/($B27+AH27-AG27*AS27/1000))</f>
        <v>54.705224413972701</v>
      </c>
      <c r="AJ27" s="161">
        <f ca="1">IF(($B27-AG27*IF(ISBLANK(Design!$B$40),Constants!$C$6,Design!$B$40)/1000*(1+Constants!$C$29/100*(AR27-25))-Design!$C$28)/(IF(ISBLANK(Design!$B$39),Design!$B$38,Design!$B$39)/1000000)*AI27/100/(IF(ISBLANK(Design!$B$32),Design!$B$31,Design!$B$32)*1000000)&lt;0,0,($B27-AG27*IF(ISBLANK(Design!$B$40),Constants!$C$6,Design!$B$40)/1000*(1+Constants!$C$29/100*(AR27-25))-Design!$C$28)/(IF(ISBLANK(Design!$B$39),Design!$B$38,Design!$B$39)/1000000)*AI27/100/(IF(ISBLANK(Design!$B$32),Design!$B$31,Design!$B$32)*1000000))</f>
        <v>0.52636455510037217</v>
      </c>
      <c r="AK27" s="161">
        <f>$B27*Constants!$C$18/1000+IF(ISBLANK(Design!$B$32),Design!$B$31,Design!$B$32)*1000000*Constants!$D$22/1000000000*(IF($B27&lt;Constants!$C$21,0,$B27-Constants!$C$21))</f>
        <v>4.2249200000000087E-3</v>
      </c>
      <c r="AL27" s="239">
        <f>$B27*AG27*($B27/(Constants!$C$23*1000000000)*IF(ISBLANK(Design!$B$32),Design!$B$31,Design!$B$32)*1000000/2+$B27/(Constants!$C$24*1000000000)*IF(ISBLANK(Design!$B$32),Design!$B$31,Design!$B$32)*1000000/2)</f>
        <v>2.9952482494212996E-2</v>
      </c>
      <c r="AM27" s="239">
        <f t="shared" ca="1" si="2"/>
        <v>0.16236757143773403</v>
      </c>
      <c r="AN27" s="239">
        <f>Constants!$D$22/1000000000*Constants!$C$21*IF(ISBLANK(Design!$B$32),Design!$B$31,Design!$B$32)*1000000</f>
        <v>1.2499999999999999E-2</v>
      </c>
      <c r="AO27" s="239">
        <f t="shared" ca="1" si="13"/>
        <v>0.20904497393194704</v>
      </c>
      <c r="AP27" s="239">
        <f t="shared" ca="1" si="9"/>
        <v>0.17194575773297249</v>
      </c>
      <c r="AQ27" s="240">
        <f ca="1">$A27+AP27*Design!$B$19</f>
        <v>94.800908190779438</v>
      </c>
      <c r="AR27" s="240">
        <f ca="1">AO27*Design!$C$12+$A27</f>
        <v>92.107529113686198</v>
      </c>
      <c r="AS27" s="240">
        <f ca="1">Constants!$D$19+Constants!$D$19*Constants!$C$20/100*(AR27-25)</f>
        <v>214.42322794913875</v>
      </c>
      <c r="AT27" s="239">
        <f ca="1">(1-Constants!$C$17/1000000000*Design!$B$32*1000000) * ($B27+AH27-AG27*AS27/1000) - (AH27+AG27*(1+($A27-25)*Constants!$C$29/100)*IF(ISBLANK(Design!$B$40),Constants!$C$6/1000,Design!$B$40/1000))</f>
        <v>5.9824930418399873</v>
      </c>
      <c r="AU27" s="342">
        <f ca="1">IF(AT27&gt;Design!$C$28,Design!$C$28,AT27)</f>
        <v>3.2940895522388054</v>
      </c>
    </row>
    <row r="28" spans="1:47" s="162" customFormat="1" ht="12.75" customHeight="1" x14ac:dyDescent="0.2">
      <c r="A28" s="154">
        <f>Design!$D$13</f>
        <v>85</v>
      </c>
      <c r="B28" s="155">
        <f t="shared" si="0"/>
        <v>6.360000000000003</v>
      </c>
      <c r="C28" s="156">
        <f t="shared" si="10"/>
        <v>3.5</v>
      </c>
      <c r="D28" s="156">
        <f ca="1">FORECAST(C28, OFFSET(Design!$C$15:$C$17,MATCH(C28,Design!$B$15:$B$17,1)-1,0,2), OFFSET(Design!$B$15:$B$17,MATCH(C28,Design!$B$15:$B$17,1)-1,0,2))+(M28-25)*Design!$B$18/1000</f>
        <v>0.40981248093246492</v>
      </c>
      <c r="E28" s="215">
        <f ca="1">IF(100*(Design!$C$28+D28+C28*IF(ISBLANK(Design!$B$40),Constants!$C$6,Design!$B$40)/1000*(1+Constants!$C$29/100*(N28-25)))/($B28+D28-C28*O28/1000)&gt;Design!$C$35,Design!$C$35,100*(Design!$C$28+D28+C28*IF(ISBLANK(Design!$B$40),Constants!$C$6,Design!$B$40)/1000*(1+Constants!$C$29/100*(N28-25)))/($B28+D28-C28*O28/1000))</f>
        <v>66.134619323033746</v>
      </c>
      <c r="F28" s="157">
        <f ca="1">IF(($B28-C28*IF(ISBLANK(Design!$B$40),Constants!$C$6,Design!$B$40)/1000*(1+Constants!$C$29/100*(N28-25))-Design!$C$28)/(IF(ISBLANK(Design!$B$39),Design!$B$38,Design!$B$39)/1000000)*E28/100/(IF(ISBLANK(Design!$B$32),Design!$B$31,Design!$B$32)*1000000)&lt;0, 0, ($B28-C28*IF(ISBLANK(Design!$B$40),Constants!$C$6,Design!$B$40)/1000*(1+Constants!$C$29/100*(N28-25))-Design!$C$28)/(IF(ISBLANK(Design!$B$39),Design!$B$38,Design!$B$39)/1000000)*E28/100/(IF(ISBLANK(Design!$B$32),Design!$B$31,Design!$B$32)*1000000))</f>
        <v>0.57511515622454801</v>
      </c>
      <c r="G28" s="207">
        <f>$B28*Constants!$C$18/1000+IF(ISBLANK(Design!$B$32),Design!$B$31,Design!$B$32)*1000000*Constants!$D$22/1000000000*(IF($B28&lt;Constants!$C$21,0,$B28-Constants!$C$21))</f>
        <v>3.6289600000000079E-3</v>
      </c>
      <c r="H28" s="207">
        <f>B28*C28*(B28/(Constants!$C$23*1000000000)*IF(ISBLANK(Design!$B$32),Design!$B$31,Design!$B$32)*1000000/2+B28/(Constants!$C$24*1000000000)*IF(ISBLANK(Design!$B$32),Design!$B$31,Design!$B$32)*1000000/2)</f>
        <v>8.3567750000000093E-2</v>
      </c>
      <c r="I28" s="207">
        <f t="shared" ca="1" si="1"/>
        <v>2.3294429747505432</v>
      </c>
      <c r="J28" s="207">
        <f>Constants!$D$22/1000000000*Constants!$C$21*IF(ISBLANK(Design!$B$32),Design!$B$31,Design!$B$32)*1000000</f>
        <v>1.2499999999999999E-2</v>
      </c>
      <c r="K28" s="207">
        <f t="shared" ca="1" si="3"/>
        <v>2.4291396847505435</v>
      </c>
      <c r="L28" s="207">
        <f t="shared" ca="1" si="4"/>
        <v>0.48574594855324638</v>
      </c>
      <c r="M28" s="208">
        <f ca="1">A28+L28*Design!$B$19</f>
        <v>112.68751906753505</v>
      </c>
      <c r="N28" s="208">
        <f ca="1">K28*Design!$C$12+A28</f>
        <v>167.59074928151847</v>
      </c>
      <c r="O28" s="208">
        <f ca="1">Constants!$D$19+Constants!$D$19*Constants!$C$20/100*(N28-25)</f>
        <v>286.88711931025773</v>
      </c>
      <c r="P28" s="207">
        <f ca="1">(1-Constants!$C$17/1000000000*Design!$B$32*1000000) * ($B28+D28-C28*O28/1000) - (D28+C28*(1+($A28-25)*Constants!$C$29/100)*IF(ISBLANK(Design!$B$40),Constants!$C$6/1000,Design!$B$40/1000))</f>
        <v>4.9811037042467721</v>
      </c>
      <c r="Q28" s="213">
        <f ca="1">IF(P28&gt;Design!$C$28,Design!$C$28,P28)</f>
        <v>3.2940895522388054</v>
      </c>
      <c r="R28" s="335">
        <f t="shared" si="11"/>
        <v>2.3333333333333335</v>
      </c>
      <c r="S28" s="158">
        <f ca="1">FORECAST(R28, OFFSET(Design!$C$15:$C$17,MATCH(R28,Design!$B$15:$B$17,1)-1,0,2), OFFSET(Design!$B$15:$B$17,MATCH(R28,Design!$B$15:$B$17,1)-1,0,2))+(AB28-25)*Design!$B$18/1000</f>
        <v>0.38791012877713787</v>
      </c>
      <c r="T28" s="224">
        <f ca="1">IF(100*(Design!$C$28+S28+R28*IF(ISBLANK(Design!$B$40),Constants!$C$6,Design!$B$40)/1000*(1+Constants!$C$29/100*(AC28-25)))/($B28+S28-R28*AD28/1000)&gt;Design!$C$35,Design!$C$35,100*(Design!$C$28+S28+R28*IF(ISBLANK(Design!$B$40),Constants!$C$6,Design!$B$40)/1000*(1+Constants!$C$29/100*(AC28-25)))/($B28+S28-R28*AD28/1000))</f>
        <v>60.414045006240812</v>
      </c>
      <c r="U28" s="159">
        <f ca="1">IF(($B28-R28*IF(ISBLANK(Design!$B$40),Constants!$C$6,Design!$B$40)/1000*(1+Constants!$C$29/100*(AC28-25))-Design!$C$28)/(IF(ISBLANK(Design!$B$39),Design!$B$38,Design!$B$39)/1000000)*T28/100/(IF(ISBLANK(Design!$B$32),Design!$B$31,Design!$B$32)*1000000)&lt;0, 0, ($B28-R28*IF(ISBLANK(Design!$B$40),Constants!$C$6,Design!$B$40)/1000*(1+Constants!$C$29/100*(AC28-25))-Design!$C$28)/(IF(ISBLANK(Design!$B$39),Design!$B$38,Design!$B$39)/1000000)*T28/100/(IF(ISBLANK(Design!$B$32),Design!$B$31,Design!$B$32)*1000000))</f>
        <v>0.53358827879117254</v>
      </c>
      <c r="V28" s="159">
        <f>$B28*Constants!$C$18/1000+IF(ISBLANK(Design!$B$32),Design!$B$31,Design!$B$32)*1000000*Constants!$D$22/1000000000*(IF($B28&lt;Constants!$C$21,0,$B28-Constants!$C$21))</f>
        <v>3.6289600000000079E-3</v>
      </c>
      <c r="W28" s="225">
        <f>B28*R28*(B28/(Constants!$C$23*1000000000)*IF(ISBLANK(Design!$B$32),Design!$B$31,Design!$B$32)*1000000/2+B28/(Constants!$C$24*1000000000)*IF(ISBLANK(Design!$B$32),Design!$B$31,Design!$B$32)*1000000/2)</f>
        <v>5.5711833333333398E-2</v>
      </c>
      <c r="X28" s="225">
        <f t="shared" ca="1" si="5"/>
        <v>0.77738565532477233</v>
      </c>
      <c r="Y28" s="225">
        <f>Constants!$D$22/1000000000*Constants!$C$21*IF(ISBLANK(Design!$B$32),Design!$B$31,Design!$B$32)*1000000</f>
        <v>1.2499999999999999E-2</v>
      </c>
      <c r="Z28" s="225">
        <f t="shared" ca="1" si="6"/>
        <v>0.8492264486581057</v>
      </c>
      <c r="AA28" s="225">
        <f t="shared" ca="1" si="7"/>
        <v>0.35830183431921925</v>
      </c>
      <c r="AB28" s="226">
        <f ca="1">$A28+AA28*Design!$B$19</f>
        <v>105.4232045561955</v>
      </c>
      <c r="AC28" s="226">
        <f ca="1">Z28*Design!$C$12+A28</f>
        <v>113.87369925437559</v>
      </c>
      <c r="AD28" s="226">
        <f ca="1">Constants!$D$19+Constants!$D$19*Constants!$C$20/100*(AC28-25)</f>
        <v>235.31875128420057</v>
      </c>
      <c r="AE28" s="225">
        <f ca="1">(1-Constants!$C$17/1000000000*Design!$B$32*1000000) * ($B28+S28-R28*AD28/1000) - (S28+R28*(1+($A28-25)*Constants!$C$29/100)*IF(ISBLANK(Design!$B$40),Constants!$C$6/1000,Design!$B$40/1000))</f>
        <v>5.4433105948811678</v>
      </c>
      <c r="AF28" s="339">
        <f ca="1">IF(AE28&gt;Design!$C$28,Design!$C$28,AE28)</f>
        <v>3.2940895522388054</v>
      </c>
      <c r="AG28" s="237">
        <f t="shared" si="12"/>
        <v>1.1666666666666667</v>
      </c>
      <c r="AH28" s="160">
        <f ca="1">FORECAST(AG28, OFFSET(Design!$C$15:$C$17,MATCH(AG28,Design!$B$15:$B$17,1)-1,0,2), OFFSET(Design!$B$15:$B$17,MATCH(AG28,Design!$B$15:$B$17,1)-1,0,2))+(AQ28-25)*Design!$B$18/1000</f>
        <v>0.32580529422163163</v>
      </c>
      <c r="AI28" s="238">
        <f ca="1">IF(100*(Design!$C$28+AH28+AG28*IF(ISBLANK(Design!$B$40),Constants!$C$6,Design!$B$40)/1000*(1+Constants!$C$29/100*(AR28-25)))/($B28+AH28-AG28*AS28/1000)&gt;Design!$C$35,Design!$C$35,100*(Design!$C$28+AH28+AG28*IF(ISBLANK(Design!$B$40),Constants!$C$6,Design!$B$40)/1000*(1+Constants!$C$29/100*(AR28-25)))/($B28+AH28-AG28*AS28/1000))</f>
        <v>56.706967494154711</v>
      </c>
      <c r="AJ28" s="161">
        <f ca="1">IF(($B28-AG28*IF(ISBLANK(Design!$B$40),Constants!$C$6,Design!$B$40)/1000*(1+Constants!$C$29/100*(AR28-25))-Design!$C$28)/(IF(ISBLANK(Design!$B$39),Design!$B$38,Design!$B$39)/1000000)*AI28/100/(IF(ISBLANK(Design!$B$32),Design!$B$31,Design!$B$32)*1000000)&lt;0,0,($B28-AG28*IF(ISBLANK(Design!$B$40),Constants!$C$6,Design!$B$40)/1000*(1+Constants!$C$29/100*(AR28-25))-Design!$C$28)/(IF(ISBLANK(Design!$B$39),Design!$B$38,Design!$B$39)/1000000)*AI28/100/(IF(ISBLANK(Design!$B$32),Design!$B$31,Design!$B$32)*1000000))</f>
        <v>0.50642884948489619</v>
      </c>
      <c r="AK28" s="161">
        <f>$B28*Constants!$C$18/1000+IF(ISBLANK(Design!$B$32),Design!$B$31,Design!$B$32)*1000000*Constants!$D$22/1000000000*(IF($B28&lt;Constants!$C$21,0,$B28-Constants!$C$21))</f>
        <v>3.6289600000000079E-3</v>
      </c>
      <c r="AL28" s="239">
        <f>$B28*AG28*($B28/(Constants!$C$23*1000000000)*IF(ISBLANK(Design!$B$32),Design!$B$31,Design!$B$32)*1000000/2+$B28/(Constants!$C$24*1000000000)*IF(ISBLANK(Design!$B$32),Design!$B$31,Design!$B$32)*1000000/2)</f>
        <v>2.7855916666666699E-2</v>
      </c>
      <c r="AM28" s="239">
        <f t="shared" ca="1" si="2"/>
        <v>0.16818004239739268</v>
      </c>
      <c r="AN28" s="239">
        <f>Constants!$D$22/1000000000*Constants!$C$21*IF(ISBLANK(Design!$B$32),Design!$B$31,Design!$B$32)*1000000</f>
        <v>1.2499999999999999E-2</v>
      </c>
      <c r="AO28" s="239">
        <f t="shared" ca="1" si="13"/>
        <v>0.2121649190640594</v>
      </c>
      <c r="AP28" s="239">
        <f t="shared" ca="1" si="9"/>
        <v>0.16455949058865851</v>
      </c>
      <c r="AQ28" s="240">
        <f ca="1">$A28+AP28*Design!$B$19</f>
        <v>94.379890963553535</v>
      </c>
      <c r="AR28" s="240">
        <f ca="1">AO28*Design!$C$12+$A28</f>
        <v>92.213607248178022</v>
      </c>
      <c r="AS28" s="240">
        <f ca="1">Constants!$D$19+Constants!$D$19*Constants!$C$20/100*(AR28-25)</f>
        <v>214.52506295825089</v>
      </c>
      <c r="AT28" s="239">
        <f ca="1">(1-Constants!$C$17/1000000000*Design!$B$32*1000000) * ($B28+AH28-AG28*AS28/1000) - (AH28+AG28*(1+($A28-25)*Constants!$C$29/100)*IF(ISBLANK(Design!$B$40),Constants!$C$6/1000,Design!$B$40/1000))</f>
        <v>5.7591091238435261</v>
      </c>
      <c r="AU28" s="342">
        <f ca="1">IF(AT28&gt;Design!$C$28,Design!$C$28,AT28)</f>
        <v>3.2940895522388054</v>
      </c>
    </row>
    <row r="29" spans="1:47" s="162" customFormat="1" ht="12.75" customHeight="1" x14ac:dyDescent="0.2">
      <c r="A29" s="154">
        <f>Design!$D$13</f>
        <v>85</v>
      </c>
      <c r="B29" s="155">
        <f t="shared" si="0"/>
        <v>6.1250000000000027</v>
      </c>
      <c r="C29" s="156">
        <f t="shared" si="10"/>
        <v>3.5</v>
      </c>
      <c r="D29" s="156">
        <f ca="1">FORECAST(C29, OFFSET(Design!$C$15:$C$17,MATCH(C29,Design!$B$15:$B$17,1)-1,0,2), OFFSET(Design!$B$15:$B$17,MATCH(C29,Design!$B$15:$B$17,1)-1,0,2))+(M29-25)*Design!$B$18/1000</f>
        <v>0.41215749460253503</v>
      </c>
      <c r="E29" s="215">
        <f ca="1">IF(100*(Design!$C$28+D29+C29*IF(ISBLANK(Design!$B$40),Constants!$C$6,Design!$B$40)/1000*(1+Constants!$C$29/100*(N29-25)))/($B29+D29-C29*O29/1000)&gt;Design!$C$35,Design!$C$35,100*(Design!$C$28+D29+C29*IF(ISBLANK(Design!$B$40),Constants!$C$6,Design!$B$40)/1000*(1+Constants!$C$29/100*(N29-25)))/($B29+D29-C29*O29/1000))</f>
        <v>69.179232718930962</v>
      </c>
      <c r="F29" s="157">
        <f ca="1">IF(($B29-C29*IF(ISBLANK(Design!$B$40),Constants!$C$6,Design!$B$40)/1000*(1+Constants!$C$29/100*(N29-25))-Design!$C$28)/(IF(ISBLANK(Design!$B$39),Design!$B$38,Design!$B$39)/1000000)*E29/100/(IF(ISBLANK(Design!$B$32),Design!$B$31,Design!$B$32)*1000000)&lt;0, 0, ($B29-C29*IF(ISBLANK(Design!$B$40),Constants!$C$6,Design!$B$40)/1000*(1+Constants!$C$29/100*(N29-25))-Design!$C$28)/(IF(ISBLANK(Design!$B$39),Design!$B$38,Design!$B$39)/1000000)*E29/100/(IF(ISBLANK(Design!$B$32),Design!$B$31,Design!$B$32)*1000000))</f>
        <v>0.55351268479012961</v>
      </c>
      <c r="G29" s="207">
        <f>$B29*Constants!$C$18/1000+IF(ISBLANK(Design!$B$32),Design!$B$31,Design!$B$32)*1000000*Constants!$D$22/1000000000*(IF($B29&lt;Constants!$C$21,0,$B29-Constants!$C$21))</f>
        <v>3.033000000000007E-3</v>
      </c>
      <c r="H29" s="207">
        <f>B29*C29*(B29/(Constants!$C$23*1000000000)*IF(ISBLANK(Design!$B$32),Design!$B$31,Design!$B$32)*1000000/2+B29/(Constants!$C$24*1000000000)*IF(ISBLANK(Design!$B$32),Design!$B$31,Design!$B$32)*1000000/2)</f>
        <v>7.7506239149305628E-2</v>
      </c>
      <c r="I29" s="207">
        <f t="shared" ca="1" si="1"/>
        <v>2.4746955605402556</v>
      </c>
      <c r="J29" s="207">
        <f>Constants!$D$22/1000000000*Constants!$C$21*IF(ISBLANK(Design!$B$32),Design!$B$31,Design!$B$32)*1000000</f>
        <v>1.2499999999999999E-2</v>
      </c>
      <c r="K29" s="207">
        <f t="shared" ca="1" si="3"/>
        <v>2.5677347996895614</v>
      </c>
      <c r="L29" s="207">
        <f t="shared" ca="1" si="4"/>
        <v>0.44460535785026201</v>
      </c>
      <c r="M29" s="208">
        <f ca="1">A29+L29*Design!$B$19</f>
        <v>110.34250539746493</v>
      </c>
      <c r="N29" s="208">
        <f ca="1">K29*Design!$C$12+A29</f>
        <v>172.30298318944509</v>
      </c>
      <c r="O29" s="208">
        <f ca="1">Constants!$D$19+Constants!$D$19*Constants!$C$20/100*(N29-25)</f>
        <v>291.41086386186726</v>
      </c>
      <c r="P29" s="207">
        <f ca="1">(1-Constants!$C$17/1000000000*Design!$B$32*1000000) * ($B29+D29-C29*O29/1000) - (D29+C29*(1+($A29-25)*Constants!$C$29/100)*IF(ISBLANK(Design!$B$40),Constants!$C$6/1000,Design!$B$40/1000))</f>
        <v>4.7426950029291666</v>
      </c>
      <c r="Q29" s="213">
        <f ca="1">IF(P29&gt;Design!$C$28,Design!$C$28,P29)</f>
        <v>3.2940895522388054</v>
      </c>
      <c r="R29" s="335">
        <f t="shared" si="11"/>
        <v>2.3333333333333335</v>
      </c>
      <c r="S29" s="158">
        <f ca="1">FORECAST(R29, OFFSET(Design!$C$15:$C$17,MATCH(R29,Design!$B$15:$B$17,1)-1,0,2), OFFSET(Design!$B$15:$B$17,MATCH(R29,Design!$B$15:$B$17,1)-1,0,2))+(AB29-25)*Design!$B$18/1000</f>
        <v>0.38909722125940654</v>
      </c>
      <c r="T29" s="224">
        <f ca="1">IF(100*(Design!$C$28+S29+R29*IF(ISBLANK(Design!$B$40),Constants!$C$6,Design!$B$40)/1000*(1+Constants!$C$29/100*(AC29-25)))/($B29+S29-R29*AD29/1000)&gt;Design!$C$35,Design!$C$35,100*(Design!$C$28+S29+R29*IF(ISBLANK(Design!$B$40),Constants!$C$6,Design!$B$40)/1000*(1+Constants!$C$29/100*(AC29-25)))/($B29+S29-R29*AD29/1000))</f>
        <v>62.828718966346038</v>
      </c>
      <c r="U29" s="159">
        <f ca="1">IF(($B29-R29*IF(ISBLANK(Design!$B$40),Constants!$C$6,Design!$B$40)/1000*(1+Constants!$C$29/100*(AC29-25))-Design!$C$28)/(IF(ISBLANK(Design!$B$39),Design!$B$38,Design!$B$39)/1000000)*T29/100/(IF(ISBLANK(Design!$B$32),Design!$B$31,Design!$B$32)*1000000)&lt;0, 0, ($B29-R29*IF(ISBLANK(Design!$B$40),Constants!$C$6,Design!$B$40)/1000*(1+Constants!$C$29/100*(AC29-25))-Design!$C$28)/(IF(ISBLANK(Design!$B$39),Design!$B$38,Design!$B$39)/1000000)*T29/100/(IF(ISBLANK(Design!$B$32),Design!$B$31,Design!$B$32)*1000000))</f>
        <v>0.51145546872987868</v>
      </c>
      <c r="V29" s="159">
        <f>$B29*Constants!$C$18/1000+IF(ISBLANK(Design!$B$32),Design!$B$31,Design!$B$32)*1000000*Constants!$D$22/1000000000*(IF($B29&lt;Constants!$C$21,0,$B29-Constants!$C$21))</f>
        <v>3.033000000000007E-3</v>
      </c>
      <c r="W29" s="225">
        <f>B29*R29*(B29/(Constants!$C$23*1000000000)*IF(ISBLANK(Design!$B$32),Design!$B$31,Design!$B$32)*1000000/2+B29/(Constants!$C$24*1000000000)*IF(ISBLANK(Design!$B$32),Design!$B$31,Design!$B$32)*1000000/2)</f>
        <v>5.1670826099537083E-2</v>
      </c>
      <c r="X29" s="225">
        <f t="shared" ca="1" si="5"/>
        <v>0.81147315792135088</v>
      </c>
      <c r="Y29" s="225">
        <f>Constants!$D$22/1000000000*Constants!$C$21*IF(ISBLANK(Design!$B$32),Design!$B$31,Design!$B$32)*1000000</f>
        <v>1.2499999999999999E-2</v>
      </c>
      <c r="Z29" s="225">
        <f t="shared" ca="1" si="6"/>
        <v>0.8786769840208879</v>
      </c>
      <c r="AA29" s="225">
        <f t="shared" ca="1" si="7"/>
        <v>0.3374756504197689</v>
      </c>
      <c r="AB29" s="226">
        <f ca="1">$A29+AA29*Design!$B$19</f>
        <v>104.23611207392682</v>
      </c>
      <c r="AC29" s="226">
        <f ca="1">Z29*Design!$C$12+A29</f>
        <v>114.8750174567102</v>
      </c>
      <c r="AD29" s="226">
        <f ca="1">Constants!$D$19+Constants!$D$19*Constants!$C$20/100*(AC29-25)</f>
        <v>236.28001675844177</v>
      </c>
      <c r="AE29" s="225">
        <f ca="1">(1-Constants!$C$17/1000000000*Design!$B$32*1000000) * ($B29+S29-R29*AD29/1000) - (S29+R29*(1+($A29-25)*Constants!$C$29/100)*IF(ISBLANK(Design!$B$40),Constants!$C$6/1000,Design!$B$40/1000))</f>
        <v>5.2178704351224861</v>
      </c>
      <c r="AF29" s="339">
        <f ca="1">IF(AE29&gt;Design!$C$28,Design!$C$28,AE29)</f>
        <v>3.2940895522388054</v>
      </c>
      <c r="AG29" s="237">
        <f t="shared" si="12"/>
        <v>1.1666666666666667</v>
      </c>
      <c r="AH29" s="160">
        <f ca="1">FORECAST(AG29, OFFSET(Design!$C$15:$C$17,MATCH(AG29,Design!$B$15:$B$17,1)-1,0,2), OFFSET(Design!$B$15:$B$17,MATCH(AG29,Design!$B$15:$B$17,1)-1,0,2))+(AQ29-25)*Design!$B$18/1000</f>
        <v>0.32625949205776983</v>
      </c>
      <c r="AI29" s="238">
        <f ca="1">IF(100*(Design!$C$28+AH29+AG29*IF(ISBLANK(Design!$B$40),Constants!$C$6,Design!$B$40)/1000*(1+Constants!$C$29/100*(AR29-25)))/($B29+AH29-AG29*AS29/1000)&gt;Design!$C$35,Design!$C$35,100*(Design!$C$28+AH29+AG29*IF(ISBLANK(Design!$B$40),Constants!$C$6,Design!$B$40)/1000*(1+Constants!$C$29/100*(AR29-25)))/($B29+AH29-AG29*AS29/1000))</f>
        <v>58.860676071709264</v>
      </c>
      <c r="AJ29" s="161">
        <f ca="1">IF(($B29-AG29*IF(ISBLANK(Design!$B$40),Constants!$C$6,Design!$B$40)/1000*(1+Constants!$C$29/100*(AR29-25))-Design!$C$28)/(IF(ISBLANK(Design!$B$39),Design!$B$38,Design!$B$39)/1000000)*AI29/100/(IF(ISBLANK(Design!$B$32),Design!$B$31,Design!$B$32)*1000000)&lt;0,0,($B29-AG29*IF(ISBLANK(Design!$B$40),Constants!$C$6,Design!$B$40)/1000*(1+Constants!$C$29/100*(AR29-25))-Design!$C$28)/(IF(ISBLANK(Design!$B$39),Design!$B$38,Design!$B$39)/1000000)*AI29/100/(IF(ISBLANK(Design!$B$32),Design!$B$31,Design!$B$32)*1000000))</f>
        <v>0.48497773917980508</v>
      </c>
      <c r="AK29" s="161">
        <f>$B29*Constants!$C$18/1000+IF(ISBLANK(Design!$B$32),Design!$B$31,Design!$B$32)*1000000*Constants!$D$22/1000000000*(IF($B29&lt;Constants!$C$21,0,$B29-Constants!$C$21))</f>
        <v>3.033000000000007E-3</v>
      </c>
      <c r="AL29" s="239">
        <f>$B29*AG29*($B29/(Constants!$C$23*1000000000)*IF(ISBLANK(Design!$B$32),Design!$B$31,Design!$B$32)*1000000/2+$B29/(Constants!$C$24*1000000000)*IF(ISBLANK(Design!$B$32),Design!$B$31,Design!$B$32)*1000000/2)</f>
        <v>2.5835413049768541E-2</v>
      </c>
      <c r="AM29" s="239">
        <f t="shared" ca="1" si="2"/>
        <v>0.17444033137717327</v>
      </c>
      <c r="AN29" s="239">
        <f>Constants!$D$22/1000000000*Constants!$C$21*IF(ISBLANK(Design!$B$32),Design!$B$31,Design!$B$32)*1000000</f>
        <v>1.2499999999999999E-2</v>
      </c>
      <c r="AO29" s="239">
        <f t="shared" ca="1" si="13"/>
        <v>0.21580874442694184</v>
      </c>
      <c r="AP29" s="239">
        <f t="shared" ca="1" si="9"/>
        <v>0.15659110749851557</v>
      </c>
      <c r="AQ29" s="240">
        <f ca="1">$A29+AP29*Design!$B$19</f>
        <v>93.925693127415386</v>
      </c>
      <c r="AR29" s="240">
        <f ca="1">AO29*Design!$C$12+$A29</f>
        <v>92.337497310516028</v>
      </c>
      <c r="AS29" s="240">
        <f ca="1">Constants!$D$19+Constants!$D$19*Constants!$C$20/100*(AR29-25)</f>
        <v>214.64399741809538</v>
      </c>
      <c r="AT29" s="239">
        <f ca="1">(1-Constants!$C$17/1000000000*Design!$B$32*1000000) * ($B29+AH29-AG29*AS29/1000) - (AH29+AG29*(1+($A29-25)*Constants!$C$29/100)*IF(ISBLANK(Design!$B$40),Constants!$C$6/1000,Design!$B$40/1000))</f>
        <v>5.5357045949253907</v>
      </c>
      <c r="AU29" s="342">
        <f ca="1">IF(AT29&gt;Design!$C$28,Design!$C$28,AT29)</f>
        <v>3.2940895522388054</v>
      </c>
    </row>
    <row r="30" spans="1:47" s="162" customFormat="1" ht="12.75" customHeight="1" x14ac:dyDescent="0.2">
      <c r="A30" s="154">
        <f>Design!$D$13</f>
        <v>85</v>
      </c>
      <c r="B30" s="155">
        <f t="shared" si="0"/>
        <v>5.8900000000000023</v>
      </c>
      <c r="C30" s="156">
        <f t="shared" si="10"/>
        <v>3.5</v>
      </c>
      <c r="D30" s="156">
        <f ca="1">FORECAST(C30, OFFSET(Design!$C$15:$C$17,MATCH(C30,Design!$B$15:$B$17,1)-1,0,2), OFFSET(Design!$B$15:$B$17,MATCH(C30,Design!$B$15:$B$17,1)-1,0,2))+(M30-25)*Design!$B$18/1000</f>
        <v>0.41478563606168634</v>
      </c>
      <c r="E30" s="215">
        <f ca="1">IF(100*(Design!$C$28+D30+C30*IF(ISBLANK(Design!$B$40),Constants!$C$6,Design!$B$40)/1000*(1+Constants!$C$29/100*(N30-25)))/($B30+D30-C30*O30/1000)&gt;Design!$C$35,Design!$C$35,100*(Design!$C$28+D30+C30*IF(ISBLANK(Design!$B$40),Constants!$C$6,Design!$B$40)/1000*(1+Constants!$C$29/100*(N30-25)))/($B30+D30-C30*O30/1000))</f>
        <v>72.550529491637249</v>
      </c>
      <c r="F30" s="157">
        <f ca="1">IF(($B30-C30*IF(ISBLANK(Design!$B$40),Constants!$C$6,Design!$B$40)/1000*(1+Constants!$C$29/100*(N30-25))-Design!$C$28)/(IF(ISBLANK(Design!$B$39),Design!$B$38,Design!$B$39)/1000000)*E30/100/(IF(ISBLANK(Design!$B$32),Design!$B$31,Design!$B$32)*1000000)&lt;0, 0, ($B30-C30*IF(ISBLANK(Design!$B$40),Constants!$C$6,Design!$B$40)/1000*(1+Constants!$C$29/100*(N30-25))-Design!$C$28)/(IF(ISBLANK(Design!$B$39),Design!$B$38,Design!$B$39)/1000000)*E30/100/(IF(ISBLANK(Design!$B$32),Design!$B$31,Design!$B$32)*1000000))</f>
        <v>0.53002171394172726</v>
      </c>
      <c r="G30" s="207">
        <f>$B30*Constants!$C$18/1000+IF(ISBLANK(Design!$B$32),Design!$B$31,Design!$B$32)*1000000*Constants!$D$22/1000000000*(IF($B30&lt;Constants!$C$21,0,$B30-Constants!$C$21))</f>
        <v>2.4370400000000062E-3</v>
      </c>
      <c r="H30" s="207">
        <f>B30*C30*(B30/(Constants!$C$23*1000000000)*IF(ISBLANK(Design!$B$32),Design!$B$31,Design!$B$32)*1000000/2+B30/(Constants!$C$24*1000000000)*IF(ISBLANK(Design!$B$32),Design!$B$31,Design!$B$32)*1000000/2)</f>
        <v>7.1672914930555623E-2</v>
      </c>
      <c r="I30" s="207">
        <f t="shared" ca="1" si="1"/>
        <v>2.6414399825027362</v>
      </c>
      <c r="J30" s="207">
        <f>Constants!$D$22/1000000000*Constants!$C$21*IF(ISBLANK(Design!$B$32),Design!$B$31,Design!$B$32)*1000000</f>
        <v>1.2499999999999999E-2</v>
      </c>
      <c r="K30" s="207">
        <f t="shared" ca="1" si="3"/>
        <v>2.7280499374332918</v>
      </c>
      <c r="L30" s="207">
        <f t="shared" ca="1" si="4"/>
        <v>0.39849761295287106</v>
      </c>
      <c r="M30" s="208">
        <f ca="1">A30+L30*Design!$B$19</f>
        <v>107.71436393831365</v>
      </c>
      <c r="N30" s="208">
        <f ca="1">K30*Design!$C$12+A30</f>
        <v>177.75369787273192</v>
      </c>
      <c r="O30" s="208">
        <f ca="1">Constants!$D$19+Constants!$D$19*Constants!$C$20/100*(N30-25)</f>
        <v>296.64354995782264</v>
      </c>
      <c r="P30" s="207">
        <f ca="1">(1-Constants!$C$17/1000000000*Design!$B$32*1000000) * ($B30+D30-C30*O30/1000) - (D30+C30*(1+($A30-25)*Constants!$C$29/100)*IF(ISBLANK(Design!$B$40),Constants!$C$6/1000,Design!$B$40/1000))</f>
        <v>4.5019149145871573</v>
      </c>
      <c r="Q30" s="213">
        <f ca="1">IF(P30&gt;Design!$C$28,Design!$C$28,P30)</f>
        <v>3.2940895522388054</v>
      </c>
      <c r="R30" s="335">
        <f t="shared" si="11"/>
        <v>2.3333333333333335</v>
      </c>
      <c r="S30" s="158">
        <f ca="1">FORECAST(R30, OFFSET(Design!$C$15:$C$17,MATCH(R30,Design!$B$15:$B$17,1)-1,0,2), OFFSET(Design!$B$15:$B$17,MATCH(R30,Design!$B$15:$B$17,1)-1,0,2))+(AB30-25)*Design!$B$18/1000</f>
        <v>0.39039237024871132</v>
      </c>
      <c r="T30" s="224">
        <f ca="1">IF(100*(Design!$C$28+S30+R30*IF(ISBLANK(Design!$B$40),Constants!$C$6,Design!$B$40)/1000*(1+Constants!$C$29/100*(AC30-25)))/($B30+S30-R30*AD30/1000)&gt;Design!$C$35,Design!$C$35,100*(Design!$C$28+S30+R30*IF(ISBLANK(Design!$B$40),Constants!$C$6,Design!$B$40)/1000*(1+Constants!$C$29/100*(AC30-25)))/($B30+S30-R30*AD30/1000))</f>
        <v>65.44644066764576</v>
      </c>
      <c r="U30" s="159">
        <f ca="1">IF(($B30-R30*IF(ISBLANK(Design!$B$40),Constants!$C$6,Design!$B$40)/1000*(1+Constants!$C$29/100*(AC30-25))-Design!$C$28)/(IF(ISBLANK(Design!$B$39),Design!$B$38,Design!$B$39)/1000000)*T30/100/(IF(ISBLANK(Design!$B$32),Design!$B$31,Design!$B$32)*1000000)&lt;0, 0, ($B30-R30*IF(ISBLANK(Design!$B$40),Constants!$C$6,Design!$B$40)/1000*(1+Constants!$C$29/100*(AC30-25))-Design!$C$28)/(IF(ISBLANK(Design!$B$39),Design!$B$38,Design!$B$39)/1000000)*T30/100/(IF(ISBLANK(Design!$B$32),Design!$B$31,Design!$B$32)*1000000))</f>
        <v>0.48749049044625442</v>
      </c>
      <c r="V30" s="159">
        <f>$B30*Constants!$C$18/1000+IF(ISBLANK(Design!$B$32),Design!$B$31,Design!$B$32)*1000000*Constants!$D$22/1000000000*(IF($B30&lt;Constants!$C$21,0,$B30-Constants!$C$21))</f>
        <v>2.4370400000000062E-3</v>
      </c>
      <c r="W30" s="225">
        <f>B30*R30*(B30/(Constants!$C$23*1000000000)*IF(ISBLANK(Design!$B$32),Design!$B$31,Design!$B$32)*1000000/2+B30/(Constants!$C$24*1000000000)*IF(ISBLANK(Design!$B$32),Design!$B$31,Design!$B$32)*1000000/2)</f>
        <v>4.7781943287037082E-2</v>
      </c>
      <c r="X30" s="225">
        <f t="shared" ca="1" si="5"/>
        <v>0.84880874059982969</v>
      </c>
      <c r="Y30" s="225">
        <f>Constants!$D$22/1000000000*Constants!$C$21*IF(ISBLANK(Design!$B$32),Design!$B$31,Design!$B$32)*1000000</f>
        <v>1.2499999999999999E-2</v>
      </c>
      <c r="Z30" s="225">
        <f t="shared" ca="1" si="6"/>
        <v>0.91152772388686676</v>
      </c>
      <c r="AA30" s="225">
        <f t="shared" ca="1" si="7"/>
        <v>0.31475373832670256</v>
      </c>
      <c r="AB30" s="226">
        <f ca="1">$A30+AA30*Design!$B$19</f>
        <v>102.94096308462204</v>
      </c>
      <c r="AC30" s="226">
        <f ca="1">Z30*Design!$C$12+A30</f>
        <v>115.99194261215347</v>
      </c>
      <c r="AD30" s="226">
        <f ca="1">Constants!$D$19+Constants!$D$19*Constants!$C$20/100*(AC30-25)</f>
        <v>237.35226490766732</v>
      </c>
      <c r="AE30" s="225">
        <f ca="1">(1-Constants!$C$17/1000000000*Design!$B$32*1000000) * ($B30+S30-R30*AD30/1000) - (S30+R30*(1+($A30-25)*Constants!$C$29/100)*IF(ISBLANK(Design!$B$40),Constants!$C$6/1000,Design!$B$40/1000))</f>
        <v>4.9921788609422375</v>
      </c>
      <c r="AF30" s="339">
        <f ca="1">IF(AE30&gt;Design!$C$28,Design!$C$28,AE30)</f>
        <v>3.2940895522388054</v>
      </c>
      <c r="AG30" s="237">
        <f t="shared" si="12"/>
        <v>1.1666666666666667</v>
      </c>
      <c r="AH30" s="160">
        <f ca="1">FORECAST(AG30, OFFSET(Design!$C$15:$C$17,MATCH(AG30,Design!$B$15:$B$17,1)-1,0,2), OFFSET(Design!$B$15:$B$17,MATCH(AG30,Design!$B$15:$B$17,1)-1,0,2))+(AQ30-25)*Design!$B$18/1000</f>
        <v>0.3267509500047997</v>
      </c>
      <c r="AI30" s="238">
        <f ca="1">IF(100*(Design!$C$28+AH30+AG30*IF(ISBLANK(Design!$B$40),Constants!$C$6,Design!$B$40)/1000*(1+Constants!$C$29/100*(AR30-25)))/($B30+AH30-AG30*AS30/1000)&gt;Design!$C$35,Design!$C$35,100*(Design!$C$28+AH30+AG30*IF(ISBLANK(Design!$B$40),Constants!$C$6,Design!$B$40)/1000*(1+Constants!$C$29/100*(AR30-25)))/($B30+AH30-AG30*AS30/1000))</f>
        <v>61.184319673910615</v>
      </c>
      <c r="AJ30" s="161">
        <f ca="1">IF(($B30-AG30*IF(ISBLANK(Design!$B$40),Constants!$C$6,Design!$B$40)/1000*(1+Constants!$C$29/100*(AR30-25))-Design!$C$28)/(IF(ISBLANK(Design!$B$39),Design!$B$38,Design!$B$39)/1000000)*AI30/100/(IF(ISBLANK(Design!$B$32),Design!$B$31,Design!$B$32)*1000000)&lt;0,0,($B30-AG30*IF(ISBLANK(Design!$B$40),Constants!$C$6,Design!$B$40)/1000*(1+Constants!$C$29/100*(AR30-25))-Design!$C$28)/(IF(ISBLANK(Design!$B$39),Design!$B$38,Design!$B$39)/1000000)*AI30/100/(IF(ISBLANK(Design!$B$32),Design!$B$31,Design!$B$32)*1000000))</f>
        <v>0.46183167994081858</v>
      </c>
      <c r="AK30" s="161">
        <f>$B30*Constants!$C$18/1000+IF(ISBLANK(Design!$B$32),Design!$B$31,Design!$B$32)*1000000*Constants!$D$22/1000000000*(IF($B30&lt;Constants!$C$21,0,$B30-Constants!$C$21))</f>
        <v>2.4370400000000062E-3</v>
      </c>
      <c r="AL30" s="239">
        <f>$B30*AG30*($B30/(Constants!$C$23*1000000000)*IF(ISBLANK(Design!$B$32),Design!$B$31,Design!$B$32)*1000000/2+$B30/(Constants!$C$24*1000000000)*IF(ISBLANK(Design!$B$32),Design!$B$31,Design!$B$32)*1000000/2)</f>
        <v>2.3890971643518541E-2</v>
      </c>
      <c r="AM30" s="239">
        <f t="shared" ca="1" si="2"/>
        <v>0.18120314996599371</v>
      </c>
      <c r="AN30" s="239">
        <f>Constants!$D$22/1000000000*Constants!$C$21*IF(ISBLANK(Design!$B$32),Design!$B$31,Design!$B$32)*1000000</f>
        <v>1.2499999999999999E-2</v>
      </c>
      <c r="AO30" s="239">
        <f t="shared" ca="1" si="13"/>
        <v>0.22003116160951228</v>
      </c>
      <c r="AP30" s="239">
        <f t="shared" ca="1" si="9"/>
        <v>0.14796903825237709</v>
      </c>
      <c r="AQ30" s="240">
        <f ca="1">$A30+AP30*Design!$B$19</f>
        <v>93.4342351803855</v>
      </c>
      <c r="AR30" s="240">
        <f ca="1">AO30*Design!$C$12+$A30</f>
        <v>92.481059494723411</v>
      </c>
      <c r="AS30" s="240">
        <f ca="1">Constants!$D$19+Constants!$D$19*Constants!$C$20/100*(AR30-25)</f>
        <v>214.78181711493448</v>
      </c>
      <c r="AT30" s="239">
        <f ca="1">(1-Constants!$C$17/1000000000*Design!$B$32*1000000) * ($B30+AH30-AG30*AS30/1000) - (AH30+AG30*(1+($A30-25)*Constants!$C$29/100)*IF(ISBLANK(Design!$B$40),Constants!$C$6/1000,Design!$B$40/1000))</f>
        <v>5.3122772718640432</v>
      </c>
      <c r="AU30" s="342">
        <f ca="1">IF(AT30&gt;Design!$C$28,Design!$C$28,AT30)</f>
        <v>3.2940895522388054</v>
      </c>
    </row>
    <row r="31" spans="1:47" s="162" customFormat="1" ht="12.75" customHeight="1" x14ac:dyDescent="0.2">
      <c r="A31" s="154">
        <f>Design!$D$13</f>
        <v>85</v>
      </c>
      <c r="B31" s="155">
        <f t="shared" si="0"/>
        <v>5.655000000000002</v>
      </c>
      <c r="C31" s="156">
        <f t="shared" si="10"/>
        <v>3.5</v>
      </c>
      <c r="D31" s="156">
        <f ca="1">FORECAST(C31, OFFSET(Design!$C$15:$C$17,MATCH(C31,Design!$B$15:$B$17,1)-1,0,2), OFFSET(Design!$B$15:$B$17,MATCH(C31,Design!$B$15:$B$17,1)-1,0,2))+(M31-25)*Design!$B$18/1000</f>
        <v>0.4177586018292605</v>
      </c>
      <c r="E31" s="215">
        <f ca="1">IF(100*(Design!$C$28+D31+C31*IF(ISBLANK(Design!$B$40),Constants!$C$6,Design!$B$40)/1000*(1+Constants!$C$29/100*(N31-25)))/($B31+D31-C31*O31/1000)&gt;Design!$C$35,Design!$C$35,100*(Design!$C$28+D31+C31*IF(ISBLANK(Design!$B$40),Constants!$C$6,Design!$B$40)/1000*(1+Constants!$C$29/100*(N31-25)))/($B31+D31-C31*O31/1000))</f>
        <v>76.313024707955705</v>
      </c>
      <c r="F31" s="157">
        <f ca="1">IF(($B31-C31*IF(ISBLANK(Design!$B$40),Constants!$C$6,Design!$B$40)/1000*(1+Constants!$C$29/100*(N31-25))-Design!$C$28)/(IF(ISBLANK(Design!$B$39),Design!$B$38,Design!$B$39)/1000000)*E31/100/(IF(ISBLANK(Design!$B$32),Design!$B$31,Design!$B$32)*1000000)&lt;0, 0, ($B31-C31*IF(ISBLANK(Design!$B$40),Constants!$C$6,Design!$B$40)/1000*(1+Constants!$C$29/100*(N31-25))-Design!$C$28)/(IF(ISBLANK(Design!$B$39),Design!$B$38,Design!$B$39)/1000000)*E31/100/(IF(ISBLANK(Design!$B$32),Design!$B$31,Design!$B$32)*1000000))</f>
        <v>0.5043691338830526</v>
      </c>
      <c r="G31" s="207">
        <f>$B31*Constants!$C$18/1000+IF(ISBLANK(Design!$B$32),Design!$B$31,Design!$B$32)*1000000*Constants!$D$22/1000000000*(IF($B31&lt;Constants!$C$21,0,$B31-Constants!$C$21))</f>
        <v>1.8410800000000051E-3</v>
      </c>
      <c r="H31" s="207">
        <f>B31*C31*(B31/(Constants!$C$23*1000000000)*IF(ISBLANK(Design!$B$32),Design!$B$31,Design!$B$32)*1000000/2+B31/(Constants!$C$24*1000000000)*IF(ISBLANK(Design!$B$32),Design!$B$31,Design!$B$32)*1000000/2)</f>
        <v>6.606777734375005E-2</v>
      </c>
      <c r="I31" s="207">
        <f t="shared" ca="1" si="1"/>
        <v>2.835278172688632</v>
      </c>
      <c r="J31" s="207">
        <f>Constants!$D$22/1000000000*Constants!$C$21*IF(ISBLANK(Design!$B$32),Design!$B$31,Design!$B$32)*1000000</f>
        <v>1.2499999999999999E-2</v>
      </c>
      <c r="K31" s="207">
        <f t="shared" ca="1" si="3"/>
        <v>2.9156870300323821</v>
      </c>
      <c r="L31" s="207">
        <f t="shared" ca="1" si="4"/>
        <v>0.34634031878490334</v>
      </c>
      <c r="M31" s="208">
        <f ca="1">A31+L31*Design!$B$19</f>
        <v>104.74139817073949</v>
      </c>
      <c r="N31" s="208">
        <f ca="1">K31*Design!$C$12+A31</f>
        <v>184.133359021101</v>
      </c>
      <c r="O31" s="208">
        <f ca="1">Constants!$D$19+Constants!$D$19*Constants!$C$20/100*(N31-25)</f>
        <v>302.76802466025697</v>
      </c>
      <c r="P31" s="207">
        <f ca="1">(1-Constants!$C$17/1000000000*Design!$B$32*1000000) * ($B31+D31-C31*O31/1000) - (D31+C31*(1+($A31-25)*Constants!$C$29/100)*IF(ISBLANK(Design!$B$40),Constants!$C$6/1000,Design!$B$40/1000))</f>
        <v>4.2581523879131842</v>
      </c>
      <c r="Q31" s="213">
        <f ca="1">IF(P31&gt;Design!$C$28,Design!$C$28,P31)</f>
        <v>3.2940895522388054</v>
      </c>
      <c r="R31" s="335">
        <f t="shared" si="11"/>
        <v>2.3333333333333335</v>
      </c>
      <c r="S31" s="158">
        <f ca="1">FORECAST(R31, OFFSET(Design!$C$15:$C$17,MATCH(R31,Design!$B$15:$B$17,1)-1,0,2), OFFSET(Design!$B$15:$B$17,MATCH(R31,Design!$B$15:$B$17,1)-1,0,2))+(AB31-25)*Design!$B$18/1000</f>
        <v>0.39181118265836806</v>
      </c>
      <c r="T31" s="224">
        <f ca="1">IF(100*(Design!$C$28+S31+R31*IF(ISBLANK(Design!$B$40),Constants!$C$6,Design!$B$40)/1000*(1+Constants!$C$29/100*(AC31-25)))/($B31+S31-R31*AD31/1000)&gt;Design!$C$35,Design!$C$35,100*(Design!$C$28+S31+R31*IF(ISBLANK(Design!$B$40),Constants!$C$6,Design!$B$40)/1000*(1+Constants!$C$29/100*(AC31-25)))/($B31+S31-R31*AD31/1000))</f>
        <v>68.2942441914509</v>
      </c>
      <c r="U31" s="159">
        <f ca="1">IF(($B31-R31*IF(ISBLANK(Design!$B$40),Constants!$C$6,Design!$B$40)/1000*(1+Constants!$C$29/100*(AC31-25))-Design!$C$28)/(IF(ISBLANK(Design!$B$39),Design!$B$38,Design!$B$39)/1000000)*T31/100/(IF(ISBLANK(Design!$B$32),Design!$B$31,Design!$B$32)*1000000)&lt;0, 0, ($B31-R31*IF(ISBLANK(Design!$B$40),Constants!$C$6,Design!$B$40)/1000*(1+Constants!$C$29/100*(AC31-25))-Design!$C$28)/(IF(ISBLANK(Design!$B$39),Design!$B$38,Design!$B$39)/1000000)*T31/100/(IF(ISBLANK(Design!$B$32),Design!$B$31,Design!$B$32)*1000000))</f>
        <v>0.46145351223816011</v>
      </c>
      <c r="V31" s="159">
        <f>$B31*Constants!$C$18/1000+IF(ISBLANK(Design!$B$32),Design!$B$31,Design!$B$32)*1000000*Constants!$D$22/1000000000*(IF($B31&lt;Constants!$C$21,0,$B31-Constants!$C$21))</f>
        <v>1.8410800000000051E-3</v>
      </c>
      <c r="W31" s="225">
        <f>B31*R31*(B31/(Constants!$C$23*1000000000)*IF(ISBLANK(Design!$B$32),Design!$B$31,Design!$B$32)*1000000/2+B31/(Constants!$C$24*1000000000)*IF(ISBLANK(Design!$B$32),Design!$B$31,Design!$B$32)*1000000/2)</f>
        <v>4.4045184895833367E-2</v>
      </c>
      <c r="X31" s="225">
        <f t="shared" ca="1" si="5"/>
        <v>0.88988326804956996</v>
      </c>
      <c r="Y31" s="225">
        <f>Constants!$D$22/1000000000*Constants!$C$21*IF(ISBLANK(Design!$B$32),Design!$B$31,Design!$B$32)*1000000</f>
        <v>1.2499999999999999E-2</v>
      </c>
      <c r="Z31" s="225">
        <f t="shared" ca="1" si="6"/>
        <v>0.94826953294540328</v>
      </c>
      <c r="AA31" s="225">
        <f t="shared" ca="1" si="7"/>
        <v>0.28986229254325102</v>
      </c>
      <c r="AB31" s="226">
        <f ca="1">$A31+AA31*Design!$B$19</f>
        <v>101.5221506749653</v>
      </c>
      <c r="AC31" s="226">
        <f ca="1">Z31*Design!$C$12+A31</f>
        <v>117.24116412014371</v>
      </c>
      <c r="AD31" s="226">
        <f ca="1">Constants!$D$19+Constants!$D$19*Constants!$C$20/100*(AC31-25)</f>
        <v>238.55151755533797</v>
      </c>
      <c r="AE31" s="225">
        <f ca="1">(1-Constants!$C$17/1000000000*Design!$B$32*1000000) * ($B31+S31-R31*AD31/1000) - (S31+R31*(1+($A31-25)*Constants!$C$29/100)*IF(ISBLANK(Design!$B$40),Constants!$C$6/1000,Design!$B$40/1000))</f>
        <v>4.7661995769527508</v>
      </c>
      <c r="AF31" s="339">
        <f ca="1">IF(AE31&gt;Design!$C$28,Design!$C$28,AE31)</f>
        <v>3.2940895522388054</v>
      </c>
      <c r="AG31" s="237">
        <f t="shared" si="12"/>
        <v>1.1666666666666667</v>
      </c>
      <c r="AH31" s="160">
        <f ca="1">FORECAST(AG31, OFFSET(Design!$C$15:$C$17,MATCH(AG31,Design!$B$15:$B$17,1)-1,0,2), OFFSET(Design!$B$15:$B$17,MATCH(AG31,Design!$B$15:$B$17,1)-1,0,2))+(AQ31-25)*Design!$B$18/1000</f>
        <v>0.3272844442148844</v>
      </c>
      <c r="AI31" s="238">
        <f ca="1">IF(100*(Design!$C$28+AH31+AG31*IF(ISBLANK(Design!$B$40),Constants!$C$6,Design!$B$40)/1000*(1+Constants!$C$29/100*(AR31-25)))/($B31+AH31-AG31*AS31/1000)&gt;Design!$C$35,Design!$C$35,100*(Design!$C$28+AH31+AG31*IF(ISBLANK(Design!$B$40),Constants!$C$6,Design!$B$40)/1000*(1+Constants!$C$29/100*(AR31-25)))/($B31+AH31-AG31*AS31/1000))</f>
        <v>63.698813985263577</v>
      </c>
      <c r="AJ31" s="161">
        <f ca="1">IF(($B31-AG31*IF(ISBLANK(Design!$B$40),Constants!$C$6,Design!$B$40)/1000*(1+Constants!$C$29/100*(AR31-25))-Design!$C$28)/(IF(ISBLANK(Design!$B$39),Design!$B$38,Design!$B$39)/1000000)*AI31/100/(IF(ISBLANK(Design!$B$32),Design!$B$31,Design!$B$32)*1000000)&lt;0,0,($B31-AG31*IF(ISBLANK(Design!$B$40),Constants!$C$6,Design!$B$40)/1000*(1+Constants!$C$29/100*(AR31-25))-Design!$C$28)/(IF(ISBLANK(Design!$B$39),Design!$B$38,Design!$B$39)/1000000)*AI31/100/(IF(ISBLANK(Design!$B$32),Design!$B$31,Design!$B$32)*1000000))</f>
        <v>0.43678163075149889</v>
      </c>
      <c r="AK31" s="161">
        <f>$B31*Constants!$C$18/1000+IF(ISBLANK(Design!$B$32),Design!$B$31,Design!$B$32)*1000000*Constants!$D$22/1000000000*(IF($B31&lt;Constants!$C$21,0,$B31-Constants!$C$21))</f>
        <v>1.8410800000000051E-3</v>
      </c>
      <c r="AL31" s="239">
        <f>$B31*AG31*($B31/(Constants!$C$23*1000000000)*IF(ISBLANK(Design!$B$32),Design!$B$31,Design!$B$32)*1000000/2+$B31/(Constants!$C$24*1000000000)*IF(ISBLANK(Design!$B$32),Design!$B$31,Design!$B$32)*1000000/2)</f>
        <v>2.2022592447916683E-2</v>
      </c>
      <c r="AM31" s="239">
        <f t="shared" ca="1" si="2"/>
        <v>0.18853271025691964</v>
      </c>
      <c r="AN31" s="239">
        <f>Constants!$D$22/1000000000*Constants!$C$21*IF(ISBLANK(Design!$B$32),Design!$B$31,Design!$B$32)*1000000</f>
        <v>1.2499999999999999E-2</v>
      </c>
      <c r="AO31" s="239">
        <f t="shared" ca="1" si="13"/>
        <v>0.22489638270483633</v>
      </c>
      <c r="AP31" s="239">
        <f t="shared" ca="1" si="9"/>
        <v>0.13860949070703169</v>
      </c>
      <c r="AQ31" s="240">
        <f ca="1">$A31+AP31*Design!$B$19</f>
        <v>92.900740970300802</v>
      </c>
      <c r="AR31" s="240">
        <f ca="1">AO31*Design!$C$12+$A31</f>
        <v>92.646477011964436</v>
      </c>
      <c r="AS31" s="240">
        <f ca="1">Constants!$D$19+Constants!$D$19*Constants!$C$20/100*(AR31-25)</f>
        <v>214.94061793148586</v>
      </c>
      <c r="AT31" s="239">
        <f ca="1">(1-Constants!$C$17/1000000000*Design!$B$32*1000000) * ($B31+AH31-AG31*AS31/1000) - (AH31+AG31*(1+($A31-25)*Constants!$C$29/100)*IF(ISBLANK(Design!$B$40),Constants!$C$6/1000,Design!$B$40/1000))</f>
        <v>5.0888245929151941</v>
      </c>
      <c r="AU31" s="342">
        <f ca="1">IF(AT31&gt;Design!$C$28,Design!$C$28,AT31)</f>
        <v>3.2940895522388054</v>
      </c>
    </row>
    <row r="32" spans="1:47" s="162" customFormat="1" ht="12.75" customHeight="1" x14ac:dyDescent="0.2">
      <c r="A32" s="154">
        <f>Design!$D$13</f>
        <v>85</v>
      </c>
      <c r="B32" s="155">
        <f t="shared" si="0"/>
        <v>5.4200000000000017</v>
      </c>
      <c r="C32" s="156">
        <f t="shared" si="10"/>
        <v>3.5</v>
      </c>
      <c r="D32" s="156">
        <f ca="1">FORECAST(C32, OFFSET(Design!$C$15:$C$17,MATCH(C32,Design!$B$15:$B$17,1)-1,0,2), OFFSET(Design!$B$15:$B$17,MATCH(C32,Design!$B$15:$B$17,1)-1,0,2))+(M32-25)*Design!$B$18/1000</f>
        <v>0.42116043478241111</v>
      </c>
      <c r="E32" s="215">
        <f ca="1">IF(100*(Design!$C$28+D32+C32*IF(ISBLANK(Design!$B$40),Constants!$C$6,Design!$B$40)/1000*(1+Constants!$C$29/100*(N32-25)))/($B32+D32-C32*O32/1000)&gt;Design!$C$35,Design!$C$35,100*(Design!$C$28+D32+C32*IF(ISBLANK(Design!$B$40),Constants!$C$6,Design!$B$40)/1000*(1+Constants!$C$29/100*(N32-25)))/($B32+D32-C32*O32/1000))</f>
        <v>80.553115682241284</v>
      </c>
      <c r="F32" s="157">
        <f ca="1">IF(($B32-C32*IF(ISBLANK(Design!$B$40),Constants!$C$6,Design!$B$40)/1000*(1+Constants!$C$29/100*(N32-25))-Design!$C$28)/(IF(ISBLANK(Design!$B$39),Design!$B$38,Design!$B$39)/1000000)*E32/100/(IF(ISBLANK(Design!$B$32),Design!$B$31,Design!$B$32)*1000000)&lt;0, 0, ($B32-C32*IF(ISBLANK(Design!$B$40),Constants!$C$6,Design!$B$40)/1000*(1+Constants!$C$29/100*(N32-25))-Design!$C$28)/(IF(ISBLANK(Design!$B$39),Design!$B$38,Design!$B$39)/1000000)*E32/100/(IF(ISBLANK(Design!$B$32),Design!$B$31,Design!$B$32)*1000000))</f>
        <v>0.4762224271998397</v>
      </c>
      <c r="G32" s="207">
        <f>$B32*Constants!$C$18/1000+IF(ISBLANK(Design!$B$32),Design!$B$31,Design!$B$32)*1000000*Constants!$D$22/1000000000*(IF($B32&lt;Constants!$C$21,0,$B32-Constants!$C$21))</f>
        <v>1.2451200000000043E-3</v>
      </c>
      <c r="H32" s="207">
        <f>B32*C32*(B32/(Constants!$C$23*1000000000)*IF(ISBLANK(Design!$B$32),Design!$B$31,Design!$B$32)*1000000/2+B32/(Constants!$C$24*1000000000)*IF(ISBLANK(Design!$B$32),Design!$B$31,Design!$B$32)*1000000/2)</f>
        <v>6.0690826388888924E-2</v>
      </c>
      <c r="I32" s="207">
        <f t="shared" ca="1" si="1"/>
        <v>3.064154856899211</v>
      </c>
      <c r="J32" s="207">
        <f>Constants!$D$22/1000000000*Constants!$C$21*IF(ISBLANK(Design!$B$32),Design!$B$31,Design!$B$32)*1000000</f>
        <v>1.2499999999999999E-2</v>
      </c>
      <c r="K32" s="207">
        <f t="shared" ca="1" si="3"/>
        <v>3.1385908032881003</v>
      </c>
      <c r="L32" s="207">
        <f t="shared" ca="1" si="4"/>
        <v>0.286659038905068</v>
      </c>
      <c r="M32" s="208">
        <f ca="1">A32+L32*Design!$B$19</f>
        <v>101.33956521758887</v>
      </c>
      <c r="N32" s="208">
        <f ca="1">K32*Design!$C$12+A32</f>
        <v>191.71208731179541</v>
      </c>
      <c r="O32" s="208">
        <f ca="1">Constants!$D$19+Constants!$D$19*Constants!$C$20/100*(N32-25)</f>
        <v>310.04360381932361</v>
      </c>
      <c r="P32" s="207">
        <f ca="1">(1-Constants!$C$17/1000000000*Design!$B$32*1000000) * ($B32+D32-C32*O32/1000) - (D32+C32*(1+($A32-25)*Constants!$C$29/100)*IF(ISBLANK(Design!$B$40),Constants!$C$6/1000,Design!$B$40/1000))</f>
        <v>4.0105409955616294</v>
      </c>
      <c r="Q32" s="213">
        <f ca="1">IF(P32&gt;Design!$C$28,Design!$C$28,P32)</f>
        <v>3.2940895522388054</v>
      </c>
      <c r="R32" s="335">
        <f t="shared" si="11"/>
        <v>2.3333333333333335</v>
      </c>
      <c r="S32" s="158">
        <f ca="1">FORECAST(R32, OFFSET(Design!$C$15:$C$17,MATCH(R32,Design!$B$15:$B$17,1)-1,0,2), OFFSET(Design!$B$15:$B$17,MATCH(R32,Design!$B$15:$B$17,1)-1,0,2))+(AB32-25)*Design!$B$18/1000</f>
        <v>0.3933724591939165</v>
      </c>
      <c r="T32" s="224">
        <f ca="1">IF(100*(Design!$C$28+S32+R32*IF(ISBLANK(Design!$B$40),Constants!$C$6,Design!$B$40)/1000*(1+Constants!$C$29/100*(AC32-25)))/($B32+S32-R32*AD32/1000)&gt;Design!$C$35,Design!$C$35,100*(Design!$C$28+S32+R32*IF(ISBLANK(Design!$B$40),Constants!$C$6,Design!$B$40)/1000*(1+Constants!$C$29/100*(AC32-25)))/($B32+S32-R32*AD32/1000))</f>
        <v>71.404257503221544</v>
      </c>
      <c r="U32" s="159">
        <f ca="1">IF(($B32-R32*IF(ISBLANK(Design!$B$40),Constants!$C$6,Design!$B$40)/1000*(1+Constants!$C$29/100*(AC32-25))-Design!$C$28)/(IF(ISBLANK(Design!$B$39),Design!$B$38,Design!$B$39)/1000000)*T32/100/(IF(ISBLANK(Design!$B$32),Design!$B$31,Design!$B$32)*1000000)&lt;0, 0, ($B32-R32*IF(ISBLANK(Design!$B$40),Constants!$C$6,Design!$B$40)/1000*(1+Constants!$C$29/100*(AC32-25))-Design!$C$28)/(IF(ISBLANK(Design!$B$39),Design!$B$38,Design!$B$39)/1000000)*T32/100/(IF(ISBLANK(Design!$B$32),Design!$B$31,Design!$B$32)*1000000))</f>
        <v>0.4330604502920562</v>
      </c>
      <c r="V32" s="159">
        <f>$B32*Constants!$C$18/1000+IF(ISBLANK(Design!$B$32),Design!$B$31,Design!$B$32)*1000000*Constants!$D$22/1000000000*(IF($B32&lt;Constants!$C$21,0,$B32-Constants!$C$21))</f>
        <v>1.2451200000000043E-3</v>
      </c>
      <c r="W32" s="225">
        <f>B32*R32*(B32/(Constants!$C$23*1000000000)*IF(ISBLANK(Design!$B$32),Design!$B$31,Design!$B$32)*1000000/2+B32/(Constants!$C$24*1000000000)*IF(ISBLANK(Design!$B$32),Design!$B$31,Design!$B$32)*1000000/2)</f>
        <v>4.0460550925925952E-2</v>
      </c>
      <c r="X32" s="225">
        <f t="shared" ca="1" si="5"/>
        <v>0.93529326982056271</v>
      </c>
      <c r="Y32" s="225">
        <f>Constants!$D$22/1000000000*Constants!$C$21*IF(ISBLANK(Design!$B$32),Design!$B$31,Design!$B$32)*1000000</f>
        <v>1.2499999999999999E-2</v>
      </c>
      <c r="Z32" s="225">
        <f t="shared" ca="1" si="6"/>
        <v>0.98949894074648859</v>
      </c>
      <c r="AA32" s="225">
        <f t="shared" ca="1" si="7"/>
        <v>0.26247147613012028</v>
      </c>
      <c r="AB32" s="226">
        <f ca="1">$A32+AA32*Design!$B$19</f>
        <v>99.960874139416859</v>
      </c>
      <c r="AC32" s="226">
        <f ca="1">Z32*Design!$C$12+A32</f>
        <v>118.64296398538062</v>
      </c>
      <c r="AD32" s="226">
        <f ca="1">Constants!$D$19+Constants!$D$19*Constants!$C$20/100*(AC32-25)</f>
        <v>239.89724542596539</v>
      </c>
      <c r="AE32" s="225">
        <f ca="1">(1-Constants!$C$17/1000000000*Design!$B$32*1000000) * ($B32+S32-R32*AD32/1000) - (S32+R32*(1+($A32-25)*Constants!$C$29/100)*IF(ISBLANK(Design!$B$40),Constants!$C$6/1000,Design!$B$40/1000))</f>
        <v>4.5398884830127475</v>
      </c>
      <c r="AF32" s="339">
        <f ca="1">IF(AE32&gt;Design!$C$28,Design!$C$28,AE32)</f>
        <v>3.2940895522388054</v>
      </c>
      <c r="AG32" s="237">
        <f t="shared" si="12"/>
        <v>1.1666666666666667</v>
      </c>
      <c r="AH32" s="160">
        <f ca="1">FORECAST(AG32, OFFSET(Design!$C$15:$C$17,MATCH(AG32,Design!$B$15:$B$17,1)-1,0,2), OFFSET(Design!$B$15:$B$17,MATCH(AG32,Design!$B$15:$B$17,1)-1,0,2))+(AQ32-25)*Design!$B$18/1000</f>
        <v>0.32786560267141873</v>
      </c>
      <c r="AI32" s="238">
        <f ca="1">IF(100*(Design!$C$28+AH32+AG32*IF(ISBLANK(Design!$B$40),Constants!$C$6,Design!$B$40)/1000*(1+Constants!$C$29/100*(AR32-25)))/($B32+AH32-AG32*AS32/1000)&gt;Design!$C$35,Design!$C$35,100*(Design!$C$28+AH32+AG32*IF(ISBLANK(Design!$B$40),Constants!$C$6,Design!$B$40)/1000*(1+Constants!$C$29/100*(AR32-25)))/($B32+AH32-AG32*AS32/1000))</f>
        <v>66.428649701396111</v>
      </c>
      <c r="AJ32" s="161">
        <f ca="1">IF(($B32-AG32*IF(ISBLANK(Design!$B$40),Constants!$C$6,Design!$B$40)/1000*(1+Constants!$C$29/100*(AR32-25))-Design!$C$28)/(IF(ISBLANK(Design!$B$39),Design!$B$38,Design!$B$39)/1000000)*AI32/100/(IF(ISBLANK(Design!$B$32),Design!$B$31,Design!$B$32)*1000000)&lt;0,0,($B32-AG32*IF(ISBLANK(Design!$B$40),Constants!$C$6,Design!$B$40)/1000*(1+Constants!$C$29/100*(AR32-25))-Design!$C$28)/(IF(ISBLANK(Design!$B$39),Design!$B$38,Design!$B$39)/1000000)*AI32/100/(IF(ISBLANK(Design!$B$32),Design!$B$31,Design!$B$32)*1000000))</f>
        <v>0.40958274443329251</v>
      </c>
      <c r="AK32" s="161">
        <f>$B32*Constants!$C$18/1000+IF(ISBLANK(Design!$B$32),Design!$B$31,Design!$B$32)*1000000*Constants!$D$22/1000000000*(IF($B32&lt;Constants!$C$21,0,$B32-Constants!$C$21))</f>
        <v>1.2451200000000043E-3</v>
      </c>
      <c r="AL32" s="239">
        <f>$B32*AG32*($B32/(Constants!$C$23*1000000000)*IF(ISBLANK(Design!$B$32),Design!$B$31,Design!$B$32)*1000000/2+$B32/(Constants!$C$24*1000000000)*IF(ISBLANK(Design!$B$32),Design!$B$31,Design!$B$32)*1000000/2)</f>
        <v>2.0230275462962976E-2</v>
      </c>
      <c r="AM32" s="239">
        <f t="shared" ca="1" si="2"/>
        <v>0.19650492802548697</v>
      </c>
      <c r="AN32" s="239">
        <f>Constants!$D$22/1000000000*Constants!$C$21*IF(ISBLANK(Design!$B$32),Design!$B$31,Design!$B$32)*1000000</f>
        <v>1.2499999999999999E-2</v>
      </c>
      <c r="AO32" s="239">
        <f t="shared" ca="1" si="13"/>
        <v>0.23048032348844996</v>
      </c>
      <c r="AP32" s="239">
        <f t="shared" ca="1" si="9"/>
        <v>0.12841372831169257</v>
      </c>
      <c r="AQ32" s="240">
        <f ca="1">$A32+AP32*Design!$B$19</f>
        <v>92.319582513766477</v>
      </c>
      <c r="AR32" s="240">
        <f ca="1">AO32*Design!$C$12+$A32</f>
        <v>92.836330998607295</v>
      </c>
      <c r="AS32" s="240">
        <f ca="1">Constants!$D$19+Constants!$D$19*Constants!$C$20/100*(AR32-25)</f>
        <v>215.12287775866298</v>
      </c>
      <c r="AT32" s="239">
        <f ca="1">(1-Constants!$C$17/1000000000*Design!$B$32*1000000) * ($B32+AH32-AG32*AS32/1000) - (AH32+AG32*(1+($A32-25)*Constants!$C$29/100)*IF(ISBLANK(Design!$B$40),Constants!$C$6/1000,Design!$B$40/1000))</f>
        <v>4.8653435303505788</v>
      </c>
      <c r="AU32" s="342">
        <f ca="1">IF(AT32&gt;Design!$C$28,Design!$C$28,AT32)</f>
        <v>3.2940895522388054</v>
      </c>
    </row>
    <row r="33" spans="1:47" s="162" customFormat="1" ht="12.75" customHeight="1" x14ac:dyDescent="0.2">
      <c r="A33" s="154">
        <f>Design!$D$13</f>
        <v>85</v>
      </c>
      <c r="B33" s="155">
        <f t="shared" si="0"/>
        <v>5.1850000000000014</v>
      </c>
      <c r="C33" s="156">
        <f t="shared" si="10"/>
        <v>3.5</v>
      </c>
      <c r="D33" s="156">
        <f ca="1">FORECAST(C33, OFFSET(Design!$C$15:$C$17,MATCH(C33,Design!$B$15:$B$17,1)-1,0,2), OFFSET(Design!$B$15:$B$17,MATCH(C33,Design!$B$15:$B$17,1)-1,0,2))+(M33-25)*Design!$B$18/1000</f>
        <v>0.42511047402791169</v>
      </c>
      <c r="E33" s="215">
        <f ca="1">IF(100*(Design!$C$28+D33+C33*IF(ISBLANK(Design!$B$40),Constants!$C$6,Design!$B$40)/1000*(1+Constants!$C$29/100*(N33-25)))/($B33+D33-C33*O33/1000)&gt;Design!$C$35,Design!$C$35,100*(Design!$C$28+D33+C33*IF(ISBLANK(Design!$B$40),Constants!$C$6,Design!$B$40)/1000*(1+Constants!$C$29/100*(N33-25)))/($B33+D33-C33*O33/1000))</f>
        <v>85.391353337001206</v>
      </c>
      <c r="F33" s="157">
        <f ca="1">IF(($B33-C33*IF(ISBLANK(Design!$B$40),Constants!$C$6,Design!$B$40)/1000*(1+Constants!$C$29/100*(N33-25))-Design!$C$28)/(IF(ISBLANK(Design!$B$39),Design!$B$38,Design!$B$39)/1000000)*E33/100/(IF(ISBLANK(Design!$B$32),Design!$B$31,Design!$B$32)*1000000)&lt;0, 0, ($B33-C33*IF(ISBLANK(Design!$B$40),Constants!$C$6,Design!$B$40)/1000*(1+Constants!$C$29/100*(N33-25))-Design!$C$28)/(IF(ISBLANK(Design!$B$39),Design!$B$38,Design!$B$39)/1000000)*E33/100/(IF(ISBLANK(Design!$B$32),Design!$B$31,Design!$B$32)*1000000))</f>
        <v>0.44517096398185424</v>
      </c>
      <c r="G33" s="207">
        <f>$B33*Constants!$C$18/1000+IF(ISBLANK(Design!$B$32),Design!$B$31,Design!$B$32)*1000000*Constants!$D$22/1000000000*(IF($B33&lt;Constants!$C$21,0,$B33-Constants!$C$21))</f>
        <v>6.4916000000000355E-4</v>
      </c>
      <c r="H33" s="207">
        <f>B33*C33*(B33/(Constants!$C$23*1000000000)*IF(ISBLANK(Design!$B$32),Design!$B$31,Design!$B$32)*1000000/2+B33/(Constants!$C$24*1000000000)*IF(ISBLANK(Design!$B$32),Design!$B$31,Design!$B$32)*1000000/2)</f>
        <v>5.5542062065972245E-2</v>
      </c>
      <c r="I33" s="207">
        <f t="shared" ca="1" si="1"/>
        <v>3.3398623845267599</v>
      </c>
      <c r="J33" s="207">
        <f>Constants!$D$22/1000000000*Constants!$C$21*IF(ISBLANK(Design!$B$32),Design!$B$31,Design!$B$32)*1000000</f>
        <v>1.2499999999999999E-2</v>
      </c>
      <c r="K33" s="207">
        <f t="shared" ca="1" si="3"/>
        <v>3.4085536065927324</v>
      </c>
      <c r="L33" s="207">
        <f t="shared" ca="1" si="4"/>
        <v>0.21736010477347903</v>
      </c>
      <c r="M33" s="208">
        <f ca="1">A33+L33*Design!$B$19</f>
        <v>97.389525972088308</v>
      </c>
      <c r="N33" s="208">
        <f ca="1">K33*Design!$C$12+A33</f>
        <v>200.89082262415292</v>
      </c>
      <c r="O33" s="208">
        <f ca="1">Constants!$D$19+Constants!$D$19*Constants!$C$20/100*(N33-25)</f>
        <v>318.8551897191868</v>
      </c>
      <c r="P33" s="207">
        <f ca="1">(1-Constants!$C$17/1000000000*Design!$B$32*1000000) * ($B33+D33-C33*O33/1000) - (D33+C33*(1+($A33-25)*Constants!$C$29/100)*IF(ISBLANK(Design!$B$40),Constants!$C$6/1000,Design!$B$40/1000))</f>
        <v>3.7577949704823097</v>
      </c>
      <c r="Q33" s="213">
        <f ca="1">IF(P33&gt;Design!$C$28,Design!$C$28,P33)</f>
        <v>3.2940895522388054</v>
      </c>
      <c r="R33" s="335">
        <f t="shared" si="11"/>
        <v>2.3333333333333335</v>
      </c>
      <c r="S33" s="158">
        <f ca="1">FORECAST(R33, OFFSET(Design!$C$15:$C$17,MATCH(R33,Design!$B$15:$B$17,1)-1,0,2), OFFSET(Design!$B$15:$B$17,MATCH(R33,Design!$B$15:$B$17,1)-1,0,2))+(AB33-25)*Design!$B$18/1000</f>
        <v>0.39509906701653746</v>
      </c>
      <c r="T33" s="224">
        <f ca="1">IF(100*(Design!$C$28+S33+R33*IF(ISBLANK(Design!$B$40),Constants!$C$6,Design!$B$40)/1000*(1+Constants!$C$29/100*(AC33-25)))/($B33+S33-R33*AD33/1000)&gt;Design!$C$35,Design!$C$35,100*(Design!$C$28+S33+R33*IF(ISBLANK(Design!$B$40),Constants!$C$6,Design!$B$40)/1000*(1+Constants!$C$29/100*(AC33-25)))/($B33+S33-R33*AD33/1000))</f>
        <v>74.814984370424895</v>
      </c>
      <c r="U33" s="159">
        <f ca="1">IF(($B33-R33*IF(ISBLANK(Design!$B$40),Constants!$C$6,Design!$B$40)/1000*(1+Constants!$C$29/100*(AC33-25))-Design!$C$28)/(IF(ISBLANK(Design!$B$39),Design!$B$38,Design!$B$39)/1000000)*T33/100/(IF(ISBLANK(Design!$B$32),Design!$B$31,Design!$B$32)*1000000)&lt;0, 0, ($B33-R33*IF(ISBLANK(Design!$B$40),Constants!$C$6,Design!$B$40)/1000*(1+Constants!$C$29/100*(AC33-25))-Design!$C$28)/(IF(ISBLANK(Design!$B$39),Design!$B$38,Design!$B$39)/1000000)*T33/100/(IF(ISBLANK(Design!$B$32),Design!$B$31,Design!$B$32)*1000000))</f>
        <v>0.40197211359933249</v>
      </c>
      <c r="V33" s="159">
        <f>$B33*Constants!$C$18/1000+IF(ISBLANK(Design!$B$32),Design!$B$31,Design!$B$32)*1000000*Constants!$D$22/1000000000*(IF($B33&lt;Constants!$C$21,0,$B33-Constants!$C$21))</f>
        <v>6.4916000000000355E-4</v>
      </c>
      <c r="W33" s="225">
        <f>B33*R33*(B33/(Constants!$C$23*1000000000)*IF(ISBLANK(Design!$B$32),Design!$B$31,Design!$B$32)*1000000/2+B33/(Constants!$C$24*1000000000)*IF(ISBLANK(Design!$B$32),Design!$B$31,Design!$B$32)*1000000/2)</f>
        <v>3.7028041377314837E-2</v>
      </c>
      <c r="X33" s="225">
        <f t="shared" ca="1" si="5"/>
        <v>0.98577144376226322</v>
      </c>
      <c r="Y33" s="225">
        <f>Constants!$D$22/1000000000*Constants!$C$21*IF(ISBLANK(Design!$B$32),Design!$B$31,Design!$B$32)*1000000</f>
        <v>1.2499999999999999E-2</v>
      </c>
      <c r="Z33" s="225">
        <f t="shared" ca="1" si="6"/>
        <v>1.0359486451395781</v>
      </c>
      <c r="AA33" s="225">
        <f t="shared" ca="1" si="7"/>
        <v>0.23218011082098089</v>
      </c>
      <c r="AB33" s="226">
        <f ca="1">$A33+AA33*Design!$B$19</f>
        <v>98.23426631679591</v>
      </c>
      <c r="AC33" s="226">
        <f ca="1">Z33*Design!$C$12+A33</f>
        <v>120.22225393474565</v>
      </c>
      <c r="AD33" s="226">
        <f ca="1">Constants!$D$19+Constants!$D$19*Constants!$C$20/100*(AC33-25)</f>
        <v>241.41336377735581</v>
      </c>
      <c r="AE33" s="225">
        <f ca="1">(1-Constants!$C$17/1000000000*Design!$B$32*1000000) * ($B33+S33-R33*AD33/1000) - (S33+R33*(1+($A33-25)*Constants!$C$29/100)*IF(ISBLANK(Design!$B$40),Constants!$C$6/1000,Design!$B$40/1000))</f>
        <v>4.3131914236093687</v>
      </c>
      <c r="AF33" s="339">
        <f ca="1">IF(AE33&gt;Design!$C$28,Design!$C$28,AE33)</f>
        <v>3.2940895522388054</v>
      </c>
      <c r="AG33" s="237">
        <f t="shared" si="12"/>
        <v>1.1666666666666667</v>
      </c>
      <c r="AH33" s="160">
        <f ca="1">FORECAST(AG33, OFFSET(Design!$C$15:$C$17,MATCH(AG33,Design!$B$15:$B$17,1)-1,0,2), OFFSET(Design!$B$15:$B$17,MATCH(AG33,Design!$B$15:$B$17,1)-1,0,2))+(AQ33-25)*Design!$B$18/1000</f>
        <v>0.32850110374066144</v>
      </c>
      <c r="AI33" s="238">
        <f ca="1">IF(100*(Design!$C$28+AH33+AG33*IF(ISBLANK(Design!$B$40),Constants!$C$6,Design!$B$40)/1000*(1+Constants!$C$29/100*(AR33-25)))/($B33+AH33-AG33*AS33/1000)&gt;Design!$C$35,Design!$C$35,100*(Design!$C$28+AH33+AG33*IF(ISBLANK(Design!$B$40),Constants!$C$6,Design!$B$40)/1000*(1+Constants!$C$29/100*(AR33-25)))/($B33+AH33-AG33*AS33/1000))</f>
        <v>69.402689433725754</v>
      </c>
      <c r="AJ33" s="161">
        <f ca="1">IF(($B33-AG33*IF(ISBLANK(Design!$B$40),Constants!$C$6,Design!$B$40)/1000*(1+Constants!$C$29/100*(AR33-25))-Design!$C$28)/(IF(ISBLANK(Design!$B$39),Design!$B$38,Design!$B$39)/1000000)*AI33/100/(IF(ISBLANK(Design!$B$32),Design!$B$31,Design!$B$32)*1000000)&lt;0,0,($B33-AG33*IF(ISBLANK(Design!$B$40),Constants!$C$6,Design!$B$40)/1000*(1+Constants!$C$29/100*(AR33-25))-Design!$C$28)/(IF(ISBLANK(Design!$B$39),Design!$B$38,Design!$B$39)/1000000)*AI33/100/(IF(ISBLANK(Design!$B$32),Design!$B$31,Design!$B$32)*1000000))</f>
        <v>0.37994636856322761</v>
      </c>
      <c r="AK33" s="161">
        <f>$B33*Constants!$C$18/1000+IF(ISBLANK(Design!$B$32),Design!$B$31,Design!$B$32)*1000000*Constants!$D$22/1000000000*(IF($B33&lt;Constants!$C$21,0,$B33-Constants!$C$21))</f>
        <v>6.4916000000000355E-4</v>
      </c>
      <c r="AL33" s="239">
        <f>$B33*AG33*($B33/(Constants!$C$23*1000000000)*IF(ISBLANK(Design!$B$32),Design!$B$31,Design!$B$32)*1000000/2+$B33/(Constants!$C$24*1000000000)*IF(ISBLANK(Design!$B$32),Design!$B$31,Design!$B$32)*1000000/2)</f>
        <v>1.8514020688657418E-2</v>
      </c>
      <c r="AM33" s="239">
        <f t="shared" ca="1" si="2"/>
        <v>0.20521028157756618</v>
      </c>
      <c r="AN33" s="239">
        <f>Constants!$D$22/1000000000*Constants!$C$21*IF(ISBLANK(Design!$B$32),Design!$B$31,Design!$B$32)*1000000</f>
        <v>1.2499999999999999E-2</v>
      </c>
      <c r="AO33" s="239">
        <f t="shared" ca="1" si="13"/>
        <v>0.23687346226622361</v>
      </c>
      <c r="AP33" s="239">
        <f t="shared" ca="1" si="9"/>
        <v>0.11726458674603044</v>
      </c>
      <c r="AQ33" s="240">
        <f ca="1">$A33+AP33*Design!$B$19</f>
        <v>91.684081444523741</v>
      </c>
      <c r="AR33" s="240">
        <f ca="1">AO33*Design!$C$12+$A33</f>
        <v>93.053697717051605</v>
      </c>
      <c r="AS33" s="240">
        <f ca="1">Constants!$D$19+Constants!$D$19*Constants!$C$20/100*(AR33-25)</f>
        <v>215.33154980836954</v>
      </c>
      <c r="AT33" s="239">
        <f ca="1">(1-Constants!$C$17/1000000000*Design!$B$32*1000000) * ($B33+AH33-AG33*AS33/1000) - (AH33+AG33*(1+($A33-25)*Constants!$C$29/100)*IF(ISBLANK(Design!$B$40),Constants!$C$6/1000,Design!$B$40/1000))</f>
        <v>4.6418304771086918</v>
      </c>
      <c r="AU33" s="342">
        <f ca="1">IF(AT33&gt;Design!$C$28,Design!$C$28,AT33)</f>
        <v>3.2940895522388054</v>
      </c>
    </row>
    <row r="34" spans="1:47" s="162" customFormat="1" ht="12.75" customHeight="1" x14ac:dyDescent="0.2">
      <c r="A34" s="154">
        <f>Design!$D$13</f>
        <v>85</v>
      </c>
      <c r="B34" s="155">
        <f t="shared" si="0"/>
        <v>4.9500000000000011</v>
      </c>
      <c r="C34" s="156">
        <f t="shared" si="10"/>
        <v>3.5</v>
      </c>
      <c r="D34" s="156">
        <f ca="1">FORECAST(C34, OFFSET(Design!$C$15:$C$17,MATCH(C34,Design!$B$15:$B$17,1)-1,0,2), OFFSET(Design!$B$15:$B$17,MATCH(C34,Design!$B$15:$B$17,1)-1,0,2))+(M34-25)*Design!$B$18/1000</f>
        <v>0.4297886190081992</v>
      </c>
      <c r="E34" s="215">
        <f ca="1">IF(100*(Design!$C$28+D34+C34*IF(ISBLANK(Design!$B$40),Constants!$C$6,Design!$B$40)/1000*(1+Constants!$C$29/100*(N34-25)))/($B34+D34-C34*O34/1000)&gt;Design!$C$35,Design!$C$35,100*(Design!$C$28+D34+C34*IF(ISBLANK(Design!$B$40),Constants!$C$6,Design!$B$40)/1000*(1+Constants!$C$29/100*(N34-25)))/($B34+D34-C34*O34/1000))</f>
        <v>91.006383813694768</v>
      </c>
      <c r="F34" s="157">
        <f ca="1">IF(($B34-C34*IF(ISBLANK(Design!$B$40),Constants!$C$6,Design!$B$40)/1000*(1+Constants!$C$29/100*(N34-25))-Design!$C$28)/(IF(ISBLANK(Design!$B$39),Design!$B$38,Design!$B$39)/1000000)*E34/100/(IF(ISBLANK(Design!$B$32),Design!$B$31,Design!$B$32)*1000000)&lt;0, 0, ($B34-C34*IF(ISBLANK(Design!$B$40),Constants!$C$6,Design!$B$40)/1000*(1+Constants!$C$29/100*(N34-25))-Design!$C$28)/(IF(ISBLANK(Design!$B$39),Design!$B$38,Design!$B$39)/1000000)*E34/100/(IF(ISBLANK(Design!$B$32),Design!$B$31,Design!$B$32)*1000000))</f>
        <v>0.41070147008413843</v>
      </c>
      <c r="G34" s="207">
        <f>$B34*Constants!$C$18/1000+IF(ISBLANK(Design!$B$32),Design!$B$31,Design!$B$32)*1000000*Constants!$D$22/1000000000*(IF($B34&lt;Constants!$C$21,0,$B34-Constants!$C$21))</f>
        <v>1.7820000000000002E-4</v>
      </c>
      <c r="H34" s="207">
        <f>B34*C34*(B34/(Constants!$C$23*1000000000)*IF(ISBLANK(Design!$B$32),Design!$B$31,Design!$B$32)*1000000/2+B34/(Constants!$C$24*1000000000)*IF(ISBLANK(Design!$B$32),Design!$B$31,Design!$B$32)*1000000/2)</f>
        <v>5.0621484375000025E-2</v>
      </c>
      <c r="I34" s="207">
        <f t="shared" ca="1" si="1"/>
        <v>3.6811224796301545</v>
      </c>
      <c r="J34" s="207">
        <f>Constants!$D$22/1000000000*Constants!$C$21*IF(ISBLANK(Design!$B$32),Design!$B$31,Design!$B$32)*1000000</f>
        <v>1.2499999999999999E-2</v>
      </c>
      <c r="K34" s="207">
        <f t="shared" ca="1" si="3"/>
        <v>3.7444221640051545</v>
      </c>
      <c r="L34" s="207">
        <f t="shared" ca="1" si="4"/>
        <v>0.13528738582106695</v>
      </c>
      <c r="M34" s="208">
        <f ca="1">A34+L34*Design!$B$19</f>
        <v>92.711380991800809</v>
      </c>
      <c r="N34" s="208">
        <f ca="1">K34*Design!$C$12+A34</f>
        <v>212.31035357617526</v>
      </c>
      <c r="O34" s="208">
        <f ca="1">Constants!$D$19+Constants!$D$19*Constants!$C$20/100*(N34-25)</f>
        <v>329.81793943312823</v>
      </c>
      <c r="P34" s="207">
        <f ca="1">(1-Constants!$C$17/1000000000*Design!$B$32*1000000) * ($B34+D34-C34*O34/1000) - (D34+C34*(1+($A34-25)*Constants!$C$29/100)*IF(ISBLANK(Design!$B$40),Constants!$C$6/1000,Design!$B$40/1000))</f>
        <v>3.4978599204344403</v>
      </c>
      <c r="Q34" s="213">
        <f ca="1">IF(P34&gt;Design!$C$28,Design!$C$28,P34)</f>
        <v>3.2940895522388054</v>
      </c>
      <c r="R34" s="335">
        <f t="shared" si="11"/>
        <v>2.3333333333333335</v>
      </c>
      <c r="S34" s="158">
        <f ca="1">FORECAST(R34, OFFSET(Design!$C$15:$C$17,MATCH(R34,Design!$B$15:$B$17,1)-1,0,2), OFFSET(Design!$B$15:$B$17,MATCH(R34,Design!$B$15:$B$17,1)-1,0,2))+(AB34-25)*Design!$B$18/1000</f>
        <v>0.39701922554429808</v>
      </c>
      <c r="T34" s="224">
        <f ca="1">IF(100*(Design!$C$28+S34+R34*IF(ISBLANK(Design!$B$40),Constants!$C$6,Design!$B$40)/1000*(1+Constants!$C$29/100*(AC34-25)))/($B34+S34-R34*AD34/1000)&gt;Design!$C$35,Design!$C$35,100*(Design!$C$28+S34+R34*IF(ISBLANK(Design!$B$40),Constants!$C$6,Design!$B$40)/1000*(1+Constants!$C$29/100*(AC34-25)))/($B34+S34-R34*AD34/1000))</f>
        <v>78.573209017729297</v>
      </c>
      <c r="U34" s="159">
        <f ca="1">IF(($B34-R34*IF(ISBLANK(Design!$B$40),Constants!$C$6,Design!$B$40)/1000*(1+Constants!$C$29/100*(AC34-25))-Design!$C$28)/(IF(ISBLANK(Design!$B$39),Design!$B$38,Design!$B$39)/1000000)*T34/100/(IF(ISBLANK(Design!$B$32),Design!$B$31,Design!$B$32)*1000000)&lt;0, 0, ($B34-R34*IF(ISBLANK(Design!$B$40),Constants!$C$6,Design!$B$40)/1000*(1+Constants!$C$29/100*(AC34-25))-Design!$C$28)/(IF(ISBLANK(Design!$B$39),Design!$B$38,Design!$B$39)/1000000)*T34/100/(IF(ISBLANK(Design!$B$32),Design!$B$31,Design!$B$32)*1000000))</f>
        <v>0.36778067479666426</v>
      </c>
      <c r="V34" s="159">
        <f>$B34*Constants!$C$18/1000+IF(ISBLANK(Design!$B$32),Design!$B$31,Design!$B$32)*1000000*Constants!$D$22/1000000000*(IF($B34&lt;Constants!$C$21,0,$B34-Constants!$C$21))</f>
        <v>1.7820000000000002E-4</v>
      </c>
      <c r="W34" s="225">
        <f>B34*R34*(B34/(Constants!$C$23*1000000000)*IF(ISBLANK(Design!$B$32),Design!$B$31,Design!$B$32)*1000000/2+B34/(Constants!$C$24*1000000000)*IF(ISBLANK(Design!$B$32),Design!$B$31,Design!$B$32)*1000000/2)</f>
        <v>3.3747656250000015E-2</v>
      </c>
      <c r="X34" s="225">
        <f t="shared" ca="1" si="5"/>
        <v>1.042252069328349</v>
      </c>
      <c r="Y34" s="225">
        <f>Constants!$D$22/1000000000*Constants!$C$21*IF(ISBLANK(Design!$B$32),Design!$B$31,Design!$B$32)*1000000</f>
        <v>1.2499999999999999E-2</v>
      </c>
      <c r="Z34" s="225">
        <f t="shared" ca="1" si="6"/>
        <v>1.088677925578349</v>
      </c>
      <c r="AA34" s="225">
        <f t="shared" ca="1" si="7"/>
        <v>0.19849311910588219</v>
      </c>
      <c r="AB34" s="226">
        <f ca="1">$A34+AA34*Design!$B$19</f>
        <v>96.31410778903529</v>
      </c>
      <c r="AC34" s="226">
        <f ca="1">Z34*Design!$C$12+A34</f>
        <v>122.01504946966386</v>
      </c>
      <c r="AD34" s="226">
        <f ca="1">Constants!$D$19+Constants!$D$19*Constants!$C$20/100*(AC34-25)</f>
        <v>243.13444749087731</v>
      </c>
      <c r="AE34" s="225">
        <f ca="1">(1-Constants!$C$17/1000000000*Design!$B$32*1000000) * ($B34+S34-R34*AD34/1000) - (S34+R34*(1+($A34-25)*Constants!$C$29/100)*IF(ISBLANK(Design!$B$40),Constants!$C$6/1000,Design!$B$40/1000))</f>
        <v>4.0860303467846748</v>
      </c>
      <c r="AF34" s="339">
        <f ca="1">IF(AE34&gt;Design!$C$28,Design!$C$28,AE34)</f>
        <v>3.2940895522388054</v>
      </c>
      <c r="AG34" s="237">
        <f t="shared" si="12"/>
        <v>1.1666666666666667</v>
      </c>
      <c r="AH34" s="160">
        <f ca="1">FORECAST(AG34, OFFSET(Design!$C$15:$C$17,MATCH(AG34,Design!$B$15:$B$17,1)-1,0,2), OFFSET(Design!$B$15:$B$17,MATCH(AG34,Design!$B$15:$B$17,1)-1,0,2))+(AQ34-25)*Design!$B$18/1000</f>
        <v>0.3291989499738498</v>
      </c>
      <c r="AI34" s="238">
        <f ca="1">IF(100*(Design!$C$28+AH34+AG34*IF(ISBLANK(Design!$B$40),Constants!$C$6,Design!$B$40)/1000*(1+Constants!$C$29/100*(AR34-25)))/($B34+AH34-AG34*AS34/1000)&gt;Design!$C$35,Design!$C$35,100*(Design!$C$28+AH34+AG34*IF(ISBLANK(Design!$B$40),Constants!$C$6,Design!$B$40)/1000*(1+Constants!$C$29/100*(AR34-25)))/($B34+AH34-AG34*AS34/1000))</f>
        <v>72.65526678815408</v>
      </c>
      <c r="AJ34" s="161">
        <f ca="1">IF(($B34-AG34*IF(ISBLANK(Design!$B$40),Constants!$C$6,Design!$B$40)/1000*(1+Constants!$C$29/100*(AR34-25))-Design!$C$28)/(IF(ISBLANK(Design!$B$39),Design!$B$38,Design!$B$39)/1000000)*AI34/100/(IF(ISBLANK(Design!$B$32),Design!$B$31,Design!$B$32)*1000000)&lt;0,0,($B34-AG34*IF(ISBLANK(Design!$B$40),Constants!$C$6,Design!$B$40)/1000*(1+Constants!$C$29/100*(AR34-25))-Design!$C$28)/(IF(ISBLANK(Design!$B$39),Design!$B$38,Design!$B$39)/1000000)*AI34/100/(IF(ISBLANK(Design!$B$32),Design!$B$31,Design!$B$32)*1000000))</f>
        <v>0.34753009818888403</v>
      </c>
      <c r="AK34" s="161">
        <f>$B34*Constants!$C$18/1000+IF(ISBLANK(Design!$B$32),Design!$B$31,Design!$B$32)*1000000*Constants!$D$22/1000000000*(IF($B34&lt;Constants!$C$21,0,$B34-Constants!$C$21))</f>
        <v>1.7820000000000002E-4</v>
      </c>
      <c r="AL34" s="239">
        <f>$B34*AG34*($B34/(Constants!$C$23*1000000000)*IF(ISBLANK(Design!$B$32),Design!$B$31,Design!$B$32)*1000000/2+$B34/(Constants!$C$24*1000000000)*IF(ISBLANK(Design!$B$32),Design!$B$31,Design!$B$32)*1000000/2)</f>
        <v>1.6873828125000007E-2</v>
      </c>
      <c r="AM34" s="239">
        <f t="shared" ca="1" si="2"/>
        <v>0.21476201614087836</v>
      </c>
      <c r="AN34" s="239">
        <f>Constants!$D$22/1000000000*Constants!$C$21*IF(ISBLANK(Design!$B$32),Design!$B$31,Design!$B$32)*1000000</f>
        <v>1.2499999999999999E-2</v>
      </c>
      <c r="AO34" s="239">
        <f t="shared" ca="1" si="13"/>
        <v>0.24431404426587838</v>
      </c>
      <c r="AP34" s="239">
        <f t="shared" ca="1" si="9"/>
        <v>0.10502167037430524</v>
      </c>
      <c r="AQ34" s="240">
        <f ca="1">$A34+AP34*Design!$B$19</f>
        <v>90.986235211335398</v>
      </c>
      <c r="AR34" s="240">
        <f ca="1">AO34*Design!$C$12+$A34</f>
        <v>93.306677505039858</v>
      </c>
      <c r="AS34" s="240">
        <f ca="1">Constants!$D$19+Constants!$D$19*Constants!$C$20/100*(AR34-25)</f>
        <v>215.57441040483826</v>
      </c>
      <c r="AT34" s="239">
        <f ca="1">(1-Constants!$C$17/1000000000*Design!$B$32*1000000) * ($B34+AH34-AG34*AS34/1000) - (AH34+AG34*(1+($A34-25)*Constants!$C$29/100)*IF(ISBLANK(Design!$B$40),Constants!$C$6/1000,Design!$B$40/1000))</f>
        <v>4.4182764143026123</v>
      </c>
      <c r="AU34" s="342">
        <f ca="1">IF(AT34&gt;Design!$C$28,Design!$C$28,AT34)</f>
        <v>3.2940895522388054</v>
      </c>
    </row>
    <row r="35" spans="1:47" s="162" customFormat="1" ht="12.75" customHeight="1" x14ac:dyDescent="0.2">
      <c r="A35" s="154">
        <f>Design!$D$13</f>
        <v>85</v>
      </c>
      <c r="B35" s="155">
        <f t="shared" si="0"/>
        <v>4.7150000000000007</v>
      </c>
      <c r="C35" s="156">
        <f t="shared" si="10"/>
        <v>3.5</v>
      </c>
      <c r="D35" s="156">
        <f ca="1">FORECAST(C35, OFFSET(Design!$C$15:$C$17,MATCH(C35,Design!$B$15:$B$17,1)-1,0,2), OFFSET(Design!$B$15:$B$17,MATCH(C35,Design!$B$15:$B$17,1)-1,0,2))+(M35-25)*Design!$B$18/1000</f>
        <v>0.43317903908512589</v>
      </c>
      <c r="E35" s="215">
        <f ca="1">IF(100*(Design!$C$28+D35+C35*IF(ISBLANK(Design!$B$40),Constants!$C$6,Design!$B$40)/1000*(1+Constants!$C$29/100*(N35-25)))/($B35+D35-C35*O35/1000)&gt;Design!$C$35,Design!$C$35,100*(Design!$C$28+D35+C35*IF(ISBLANK(Design!$B$40),Constants!$C$6,Design!$B$40)/1000*(1+Constants!$C$29/100*(N35-25)))/($B35+D35-C35*O35/1000))</f>
        <v>95</v>
      </c>
      <c r="F35" s="157">
        <f ca="1">IF(($B35-C35*IF(ISBLANK(Design!$B$40),Constants!$C$6,Design!$B$40)/1000*(1+Constants!$C$29/100*(N35-25))-Design!$C$28)/(IF(ISBLANK(Design!$B$39),Design!$B$38,Design!$B$39)/1000000)*E35/100/(IF(ISBLANK(Design!$B$32),Design!$B$31,Design!$B$32)*1000000)&lt;0, 0, ($B35-C35*IF(ISBLANK(Design!$B$40),Constants!$C$6,Design!$B$40)/1000*(1+Constants!$C$29/100*(N35-25))-Design!$C$28)/(IF(ISBLANK(Design!$B$39),Design!$B$38,Design!$B$39)/1000000)*E35/100/(IF(ISBLANK(Design!$B$32),Design!$B$31,Design!$B$32)*1000000))</f>
        <v>0.36240524580685474</v>
      </c>
      <c r="G35" s="207">
        <f>$B35*Constants!$C$18/1000+IF(ISBLANK(Design!$B$32),Design!$B$31,Design!$B$32)*1000000*Constants!$D$22/1000000000*(IF($B35&lt;Constants!$C$21,0,$B35-Constants!$C$21))</f>
        <v>1.6974000000000001E-4</v>
      </c>
      <c r="H35" s="207">
        <f>B35*C35*(B35/(Constants!$C$23*1000000000)*IF(ISBLANK(Design!$B$32),Design!$B$31,Design!$B$32)*1000000/2+B35/(Constants!$C$24*1000000000)*IF(ISBLANK(Design!$B$32),Design!$B$31,Design!$B$32)*1000000/2)</f>
        <v>4.5929093315972239E-2</v>
      </c>
      <c r="I35" s="207">
        <f t="shared" ca="1" si="1"/>
        <v>3.9372900390478862</v>
      </c>
      <c r="J35" s="207">
        <f>Constants!$D$22/1000000000*Constants!$C$21*IF(ISBLANK(Design!$B$32),Design!$B$31,Design!$B$32)*1000000</f>
        <v>1.2499999999999999E-2</v>
      </c>
      <c r="K35" s="207">
        <f t="shared" ca="1" si="3"/>
        <v>3.9958888723638588</v>
      </c>
      <c r="L35" s="207">
        <f t="shared" ca="1" si="4"/>
        <v>7.5806331839897101E-2</v>
      </c>
      <c r="M35" s="208">
        <f ca="1">A35+L35*Design!$B$19</f>
        <v>89.320960914874135</v>
      </c>
      <c r="N35" s="208">
        <f ca="1">K35*Design!$C$12+A35</f>
        <v>220.8602216603712</v>
      </c>
      <c r="O35" s="208">
        <f ca="1">Constants!$D$19+Constants!$D$19*Constants!$C$20/100*(N35-25)</f>
        <v>338.02581279395633</v>
      </c>
      <c r="P35" s="207">
        <f ca="1">(1-Constants!$C$17/1000000000*Design!$B$32*1000000) * ($B35+D35-C35*O35/1000) - (D35+C35*(1+($A35-25)*Constants!$C$29/100)*IF(ISBLANK(Design!$B$40),Constants!$C$6/1000,Design!$B$40/1000))</f>
        <v>3.2471492205058397</v>
      </c>
      <c r="Q35" s="213">
        <f ca="1">IF(P35&gt;Design!$C$28,Design!$C$28,P35)</f>
        <v>3.2471492205058397</v>
      </c>
      <c r="R35" s="335">
        <f t="shared" si="11"/>
        <v>2.3333333333333335</v>
      </c>
      <c r="S35" s="158">
        <f ca="1">FORECAST(R35, OFFSET(Design!$C$15:$C$17,MATCH(R35,Design!$B$15:$B$17,1)-1,0,2), OFFSET(Design!$B$15:$B$17,MATCH(R35,Design!$B$15:$B$17,1)-1,0,2))+(AB35-25)*Design!$B$18/1000</f>
        <v>0.39916828125429343</v>
      </c>
      <c r="T35" s="224">
        <f ca="1">IF(100*(Design!$C$28+S35+R35*IF(ISBLANK(Design!$B$40),Constants!$C$6,Design!$B$40)/1000*(1+Constants!$C$29/100*(AC35-25)))/($B35+S35-R35*AD35/1000)&gt;Design!$C$35,Design!$C$35,100*(Design!$C$28+S35+R35*IF(ISBLANK(Design!$B$40),Constants!$C$6,Design!$B$40)/1000*(1+Constants!$C$29/100*(AC35-25)))/($B35+S35-R35*AD35/1000))</f>
        <v>82.736562686973798</v>
      </c>
      <c r="U35" s="159">
        <f ca="1">IF(($B35-R35*IF(ISBLANK(Design!$B$40),Constants!$C$6,Design!$B$40)/1000*(1+Constants!$C$29/100*(AC35-25))-Design!$C$28)/(IF(ISBLANK(Design!$B$39),Design!$B$38,Design!$B$39)/1000000)*T35/100/(IF(ISBLANK(Design!$B$32),Design!$B$31,Design!$B$32)*1000000)&lt;0, 0, ($B35-R35*IF(ISBLANK(Design!$B$40),Constants!$C$6,Design!$B$40)/1000*(1+Constants!$C$29/100*(AC35-25))-Design!$C$28)/(IF(ISBLANK(Design!$B$39),Design!$B$38,Design!$B$39)/1000000)*T35/100/(IF(ISBLANK(Design!$B$32),Design!$B$31,Design!$B$32)*1000000))</f>
        <v>0.3299907773195897</v>
      </c>
      <c r="V35" s="159">
        <f>$B35*Constants!$C$18/1000+IF(ISBLANK(Design!$B$32),Design!$B$31,Design!$B$32)*1000000*Constants!$D$22/1000000000*(IF($B35&lt;Constants!$C$21,0,$B35-Constants!$C$21))</f>
        <v>1.6974000000000001E-4</v>
      </c>
      <c r="W35" s="225">
        <f>B35*R35*(B35/(Constants!$C$23*1000000000)*IF(ISBLANK(Design!$B$32),Design!$B$31,Design!$B$32)*1000000/2+B35/(Constants!$C$24*1000000000)*IF(ISBLANK(Design!$B$32),Design!$B$31,Design!$B$32)*1000000/2)</f>
        <v>3.0619395543981496E-2</v>
      </c>
      <c r="X35" s="225">
        <f t="shared" ca="1" si="5"/>
        <v>1.105955678478926</v>
      </c>
      <c r="Y35" s="225">
        <f>Constants!$D$22/1000000000*Constants!$C$21*IF(ISBLANK(Design!$B$32),Design!$B$31,Design!$B$32)*1000000</f>
        <v>1.2499999999999999E-2</v>
      </c>
      <c r="Z35" s="225">
        <f t="shared" ca="1" si="6"/>
        <v>1.1492448140229075</v>
      </c>
      <c r="AA35" s="225">
        <f t="shared" ca="1" si="7"/>
        <v>0.1607903873515778</v>
      </c>
      <c r="AB35" s="226">
        <f ca="1">$A35+AA35*Design!$B$19</f>
        <v>94.165052079039938</v>
      </c>
      <c r="AC35" s="226">
        <f ca="1">Z35*Design!$C$12+A35</f>
        <v>124.07432367677885</v>
      </c>
      <c r="AD35" s="226">
        <f ca="1">Constants!$D$19+Constants!$D$19*Constants!$C$20/100*(AC35-25)</f>
        <v>245.11135072970768</v>
      </c>
      <c r="AE35" s="225">
        <f ca="1">(1-Constants!$C$17/1000000000*Design!$B$32*1000000) * ($B35+S35-R35*AD35/1000) - (S35+R35*(1+($A35-25)*Constants!$C$29/100)*IF(ISBLANK(Design!$B$40),Constants!$C$6/1000,Design!$B$40/1000))</f>
        <v>3.8582907584864334</v>
      </c>
      <c r="AF35" s="339">
        <f ca="1">IF(AE35&gt;Design!$C$28,Design!$C$28,AE35)</f>
        <v>3.2940895522388054</v>
      </c>
      <c r="AG35" s="237">
        <f t="shared" si="12"/>
        <v>1.1666666666666667</v>
      </c>
      <c r="AH35" s="160">
        <f ca="1">FORECAST(AG35, OFFSET(Design!$C$15:$C$17,MATCH(AG35,Design!$B$15:$B$17,1)-1,0,2), OFFSET(Design!$B$15:$B$17,MATCH(AG35,Design!$B$15:$B$17,1)-1,0,2))+(AQ35-25)*Design!$B$18/1000</f>
        <v>0.32996882582167603</v>
      </c>
      <c r="AI35" s="238">
        <f ca="1">IF(100*(Design!$C$28+AH35+AG35*IF(ISBLANK(Design!$B$40),Constants!$C$6,Design!$B$40)/1000*(1+Constants!$C$29/100*(AR35-25)))/($B35+AH35-AG35*AS35/1000)&gt;Design!$C$35,Design!$C$35,100*(Design!$C$28+AH35+AG35*IF(ISBLANK(Design!$B$40),Constants!$C$6,Design!$B$40)/1000*(1+Constants!$C$29/100*(AR35-25)))/($B35+AH35-AG35*AS35/1000))</f>
        <v>76.227604534223616</v>
      </c>
      <c r="AJ35" s="161">
        <f ca="1">IF(($B35-AG35*IF(ISBLANK(Design!$B$40),Constants!$C$6,Design!$B$40)/1000*(1+Constants!$C$29/100*(AR35-25))-Design!$C$28)/(IF(ISBLANK(Design!$B$39),Design!$B$38,Design!$B$39)/1000000)*AI35/100/(IF(ISBLANK(Design!$B$32),Design!$B$31,Design!$B$32)*1000000)&lt;0,0,($B35-AG35*IF(ISBLANK(Design!$B$40),Constants!$C$6,Design!$B$40)/1000*(1+Constants!$C$29/100*(AR35-25))-Design!$C$28)/(IF(ISBLANK(Design!$B$39),Design!$B$38,Design!$B$39)/1000000)*AI35/100/(IF(ISBLANK(Design!$B$32),Design!$B$31,Design!$B$32)*1000000))</f>
        <v>0.31192457344739527</v>
      </c>
      <c r="AK35" s="161">
        <f>$B35*Constants!$C$18/1000+IF(ISBLANK(Design!$B$32),Design!$B$31,Design!$B$32)*1000000*Constants!$D$22/1000000000*(IF($B35&lt;Constants!$C$21,0,$B35-Constants!$C$21))</f>
        <v>1.6974000000000001E-4</v>
      </c>
      <c r="AL35" s="239">
        <f>$B35*AG35*($B35/(Constants!$C$23*1000000000)*IF(ISBLANK(Design!$B$32),Design!$B$31,Design!$B$32)*1000000/2+$B35/(Constants!$C$24*1000000000)*IF(ISBLANK(Design!$B$32),Design!$B$31,Design!$B$32)*1000000/2)</f>
        <v>1.5309697771990748E-2</v>
      </c>
      <c r="AM35" s="239">
        <f t="shared" ca="1" si="2"/>
        <v>0.2253055832875914</v>
      </c>
      <c r="AN35" s="239">
        <f>Constants!$D$22/1000000000*Constants!$C$21*IF(ISBLANK(Design!$B$32),Design!$B$31,Design!$B$32)*1000000</f>
        <v>1.2499999999999999E-2</v>
      </c>
      <c r="AO35" s="239">
        <f t="shared" ca="1" si="13"/>
        <v>0.25328502105958217</v>
      </c>
      <c r="AP35" s="239">
        <f t="shared" ca="1" si="9"/>
        <v>9.1515076552792313E-2</v>
      </c>
      <c r="AQ35" s="240">
        <f ca="1">$A35+AP35*Design!$B$19</f>
        <v>90.216359363509156</v>
      </c>
      <c r="AR35" s="240">
        <f ca="1">AO35*Design!$C$12+$A35</f>
        <v>93.611690716025791</v>
      </c>
      <c r="AS35" s="240">
        <f ca="1">Constants!$D$19+Constants!$D$19*Constants!$C$20/100*(AR35-25)</f>
        <v>215.86722308738476</v>
      </c>
      <c r="AT35" s="239">
        <f ca="1">(1-Constants!$C$17/1000000000*Design!$B$32*1000000) * ($B35+AH35-AG35*AS35/1000) - (AH35+AG35*(1+($A35-25)*Constants!$C$29/100)*IF(ISBLANK(Design!$B$40),Constants!$C$6/1000,Design!$B$40/1000))</f>
        <v>4.1946633864537324</v>
      </c>
      <c r="AU35" s="342">
        <f ca="1">IF(AT35&gt;Design!$C$28,Design!$C$28,AT35)</f>
        <v>3.2940895522388054</v>
      </c>
    </row>
    <row r="36" spans="1:47" s="162" customFormat="1" ht="12.75" customHeight="1" x14ac:dyDescent="0.2">
      <c r="A36" s="154">
        <f>Design!$D$13</f>
        <v>85</v>
      </c>
      <c r="B36" s="155">
        <f t="shared" si="0"/>
        <v>4.4800000000000004</v>
      </c>
      <c r="C36" s="156">
        <f t="shared" si="10"/>
        <v>3.5</v>
      </c>
      <c r="D36" s="156">
        <f ca="1">FORECAST(C36, OFFSET(Design!$C$15:$C$17,MATCH(C36,Design!$B$15:$B$17,1)-1,0,2), OFFSET(Design!$B$15:$B$17,MATCH(C36,Design!$B$15:$B$17,1)-1,0,2))+(M36-25)*Design!$B$18/1000</f>
        <v>0.43317903908512589</v>
      </c>
      <c r="E36" s="215">
        <f ca="1">IF(100*(Design!$C$28+D36+C36*IF(ISBLANK(Design!$B$40),Constants!$C$6,Design!$B$40)/1000*(1+Constants!$C$29/100*(N36-25)))/($B36+D36-C36*O36/1000)&gt;Design!$C$35,Design!$C$35,100*(Design!$C$28+D36+C36*IF(ISBLANK(Design!$B$40),Constants!$C$6,Design!$B$40)/1000*(1+Constants!$C$29/100*(N36-25)))/($B36+D36-C36*O36/1000))</f>
        <v>95</v>
      </c>
      <c r="F36" s="157">
        <f ca="1">IF(($B36-C36*IF(ISBLANK(Design!$B$40),Constants!$C$6,Design!$B$40)/1000*(1+Constants!$C$29/100*(N36-25))-Design!$C$28)/(IF(ISBLANK(Design!$B$39),Design!$B$38,Design!$B$39)/1000000)*E36/100/(IF(ISBLANK(Design!$B$32),Design!$B$31,Design!$B$32)*1000000)&lt;0, 0, ($B36-C36*IF(ISBLANK(Design!$B$40),Constants!$C$6,Design!$B$40)/1000*(1+Constants!$C$29/100*(N36-25))-Design!$C$28)/(IF(ISBLANK(Design!$B$39),Design!$B$38,Design!$B$39)/1000000)*E36/100/(IF(ISBLANK(Design!$B$32),Design!$B$31,Design!$B$32)*1000000))</f>
        <v>0.29676721791316041</v>
      </c>
      <c r="G36" s="207">
        <f>$B36*Constants!$C$18/1000+IF(ISBLANK(Design!$B$32),Design!$B$31,Design!$B$32)*1000000*Constants!$D$22/1000000000*(IF($B36&lt;Constants!$C$21,0,$B36-Constants!$C$21))</f>
        <v>1.6128E-4</v>
      </c>
      <c r="H36" s="207">
        <f>B36*C36*(B36/(Constants!$C$23*1000000000)*IF(ISBLANK(Design!$B$32),Design!$B$31,Design!$B$32)*1000000/2+B36/(Constants!$C$24*1000000000)*IF(ISBLANK(Design!$B$32),Design!$B$31,Design!$B$32)*1000000/2)</f>
        <v>4.1464888888888898E-2</v>
      </c>
      <c r="I36" s="207">
        <f t="shared" ca="1" si="1"/>
        <v>3.9326801450987769</v>
      </c>
      <c r="J36" s="207">
        <f>Constants!$D$22/1000000000*Constants!$C$21*IF(ISBLANK(Design!$B$32),Design!$B$31,Design!$B$32)*1000000</f>
        <v>1.2499999999999999E-2</v>
      </c>
      <c r="K36" s="207">
        <f t="shared" ca="1" si="3"/>
        <v>3.9868063139876662</v>
      </c>
      <c r="L36" s="207">
        <f t="shared" ca="1" si="4"/>
        <v>7.5806331839897101E-2</v>
      </c>
      <c r="M36" s="208">
        <f ca="1">A36+L36*Design!$B$19</f>
        <v>89.320960914874135</v>
      </c>
      <c r="N36" s="208">
        <f ca="1">K36*Design!$C$12+A36</f>
        <v>220.55141467558065</v>
      </c>
      <c r="O36" s="208">
        <f ca="1">Constants!$D$19+Constants!$D$19*Constants!$C$20/100*(N36-25)</f>
        <v>337.72935808855743</v>
      </c>
      <c r="P36" s="207">
        <f ca="1">(1-Constants!$C$17/1000000000*Design!$B$32*1000000) * ($B36+D36-C36*O36/1000) - (D36+C36*(1+($A36-25)*Constants!$C$29/100)*IF(ISBLANK(Design!$B$40),Constants!$C$6/1000,Design!$B$40/1000))</f>
        <v>3.024884932401291</v>
      </c>
      <c r="Q36" s="213">
        <f ca="1">IF(P36&gt;Design!$C$28,Design!$C$28,P36)</f>
        <v>3.024884932401291</v>
      </c>
      <c r="R36" s="335">
        <f t="shared" si="11"/>
        <v>2.3333333333333335</v>
      </c>
      <c r="S36" s="158">
        <f ca="1">FORECAST(R36, OFFSET(Design!$C$15:$C$17,MATCH(R36,Design!$B$15:$B$17,1)-1,0,2), OFFSET(Design!$B$15:$B$17,MATCH(R36,Design!$B$15:$B$17,1)-1,0,2))+(AB36-25)*Design!$B$18/1000</f>
        <v>0.40159005953079996</v>
      </c>
      <c r="T36" s="224">
        <f ca="1">IF(100*(Design!$C$28+S36+R36*IF(ISBLANK(Design!$B$40),Constants!$C$6,Design!$B$40)/1000*(1+Constants!$C$29/100*(AC36-25)))/($B36+S36-R36*AD36/1000)&gt;Design!$C$35,Design!$C$35,100*(Design!$C$28+S36+R36*IF(ISBLANK(Design!$B$40),Constants!$C$6,Design!$B$40)/1000*(1+Constants!$C$29/100*(AC36-25)))/($B36+S36-R36*AD36/1000))</f>
        <v>87.374860113518992</v>
      </c>
      <c r="U36" s="159">
        <f ca="1">IF(($B36-R36*IF(ISBLANK(Design!$B$40),Constants!$C$6,Design!$B$40)/1000*(1+Constants!$C$29/100*(AC36-25))-Design!$C$28)/(IF(ISBLANK(Design!$B$39),Design!$B$38,Design!$B$39)/1000000)*T36/100/(IF(ISBLANK(Design!$B$32),Design!$B$31,Design!$B$32)*1000000)&lt;0, 0, ($B36-R36*IF(ISBLANK(Design!$B$40),Constants!$C$6,Design!$B$40)/1000*(1+Constants!$C$29/100*(AC36-25))-Design!$C$28)/(IF(ISBLANK(Design!$B$39),Design!$B$38,Design!$B$39)/1000000)*T36/100/(IF(ISBLANK(Design!$B$32),Design!$B$31,Design!$B$32)*1000000))</f>
        <v>0.28798785320717329</v>
      </c>
      <c r="V36" s="159">
        <f>$B36*Constants!$C$18/1000+IF(ISBLANK(Design!$B$32),Design!$B$31,Design!$B$32)*1000000*Constants!$D$22/1000000000*(IF($B36&lt;Constants!$C$21,0,$B36-Constants!$C$21))</f>
        <v>1.6128E-4</v>
      </c>
      <c r="W36" s="225">
        <f>B36*R36*(B36/(Constants!$C$23*1000000000)*IF(ISBLANK(Design!$B$32),Design!$B$31,Design!$B$32)*1000000/2+B36/(Constants!$C$24*1000000000)*IF(ISBLANK(Design!$B$32),Design!$B$31,Design!$B$32)*1000000/2)</f>
        <v>2.764325925925927E-2</v>
      </c>
      <c r="X36" s="225">
        <f t="shared" ca="1" si="5"/>
        <v>1.1782723692012416</v>
      </c>
      <c r="Y36" s="225">
        <f>Constants!$D$22/1000000000*Constants!$C$21*IF(ISBLANK(Design!$B$32),Design!$B$31,Design!$B$32)*1000000</f>
        <v>1.2499999999999999E-2</v>
      </c>
      <c r="Z36" s="225">
        <f t="shared" ca="1" si="6"/>
        <v>1.2185769084605007</v>
      </c>
      <c r="AA36" s="225">
        <f t="shared" ca="1" si="7"/>
        <v>0.11830304916725366</v>
      </c>
      <c r="AB36" s="226">
        <f ca="1">$A36+AA36*Design!$B$19</f>
        <v>91.743273802533452</v>
      </c>
      <c r="AC36" s="226">
        <f ca="1">Z36*Design!$C$12+A36</f>
        <v>126.43161488765702</v>
      </c>
      <c r="AD36" s="226">
        <f ca="1">Constants!$D$19+Constants!$D$19*Constants!$C$20/100*(AC36-25)</f>
        <v>247.37435029215072</v>
      </c>
      <c r="AE36" s="225">
        <f ca="1">(1-Constants!$C$17/1000000000*Design!$B$32*1000000) * ($B36+S36-R36*AD36/1000) - (S36+R36*(1+($A36-25)*Constants!$C$29/100)*IF(ISBLANK(Design!$B$40),Constants!$C$6/1000,Design!$B$40/1000))</f>
        <v>3.6299033538758594</v>
      </c>
      <c r="AF36" s="339">
        <f ca="1">IF(AE36&gt;Design!$C$28,Design!$C$28,AE36)</f>
        <v>3.2940895522388054</v>
      </c>
      <c r="AG36" s="237">
        <f t="shared" si="12"/>
        <v>1.1666666666666667</v>
      </c>
      <c r="AH36" s="160">
        <f ca="1">FORECAST(AG36, OFFSET(Design!$C$15:$C$17,MATCH(AG36,Design!$B$15:$B$17,1)-1,0,2), OFFSET(Design!$B$15:$B$17,MATCH(AG36,Design!$B$15:$B$17,1)-1,0,2))+(AQ36-25)*Design!$B$18/1000</f>
        <v>0.330822393872089</v>
      </c>
      <c r="AI36" s="238">
        <f ca="1">IF(100*(Design!$C$28+AH36+AG36*IF(ISBLANK(Design!$B$40),Constants!$C$6,Design!$B$40)/1000*(1+Constants!$C$29/100*(AR36-25)))/($B36+AH36-AG36*AS36/1000)&gt;Design!$C$35,Design!$C$35,100*(Design!$C$28+AH36+AG36*IF(ISBLANK(Design!$B$40),Constants!$C$6,Design!$B$40)/1000*(1+Constants!$C$29/100*(AR36-25)))/($B36+AH36-AG36*AS36/1000))</f>
        <v>80.168850228189996</v>
      </c>
      <c r="AJ36" s="161">
        <f ca="1">IF(($B36-AG36*IF(ISBLANK(Design!$B$40),Constants!$C$6,Design!$B$40)/1000*(1+Constants!$C$29/100*(AR36-25))-Design!$C$28)/(IF(ISBLANK(Design!$B$39),Design!$B$38,Design!$B$39)/1000000)*AI36/100/(IF(ISBLANK(Design!$B$32),Design!$B$31,Design!$B$32)*1000000)&lt;0,0,($B36-AG36*IF(ISBLANK(Design!$B$40),Constants!$C$6,Design!$B$40)/1000*(1+Constants!$C$29/100*(AR36-25))-Design!$C$28)/(IF(ISBLANK(Design!$B$39),Design!$B$38,Design!$B$39)/1000000)*AI36/100/(IF(ISBLANK(Design!$B$32),Design!$B$31,Design!$B$32)*1000000))</f>
        <v>0.27263390265952309</v>
      </c>
      <c r="AK36" s="161">
        <f>$B36*Constants!$C$18/1000+IF(ISBLANK(Design!$B$32),Design!$B$31,Design!$B$32)*1000000*Constants!$D$22/1000000000*(IF($B36&lt;Constants!$C$21,0,$B36-Constants!$C$21))</f>
        <v>1.6128E-4</v>
      </c>
      <c r="AL36" s="239">
        <f>$B36*AG36*($B36/(Constants!$C$23*1000000000)*IF(ISBLANK(Design!$B$32),Design!$B$31,Design!$B$32)*1000000/2+$B36/(Constants!$C$24*1000000000)*IF(ISBLANK(Design!$B$32),Design!$B$31,Design!$B$32)*1000000/2)</f>
        <v>1.3821629629629635E-2</v>
      </c>
      <c r="AM36" s="239">
        <f t="shared" ca="1" si="2"/>
        <v>0.23698790789769575</v>
      </c>
      <c r="AN36" s="239">
        <f>Constants!$D$22/1000000000*Constants!$C$21*IF(ISBLANK(Design!$B$32),Design!$B$31,Design!$B$32)*1000000</f>
        <v>1.2499999999999999E-2</v>
      </c>
      <c r="AO36" s="239">
        <f t="shared" ca="1" si="13"/>
        <v>0.26347081752732537</v>
      </c>
      <c r="AP36" s="239">
        <f t="shared" ca="1" si="9"/>
        <v>7.6540198475371385E-2</v>
      </c>
      <c r="AQ36" s="240">
        <f ca="1">$A36+AP36*Design!$B$19</f>
        <v>89.362791313096167</v>
      </c>
      <c r="AR36" s="240">
        <f ca="1">AO36*Design!$C$12+$A36</f>
        <v>93.958007795929063</v>
      </c>
      <c r="AS36" s="240">
        <f ca="1">Constants!$D$19+Constants!$D$19*Constants!$C$20/100*(AR36-25)</f>
        <v>216.1996874840919</v>
      </c>
      <c r="AT36" s="239">
        <f ca="1">(1-Constants!$C$17/1000000000*Design!$B$32*1000000) * ($B36+AH36-AG36*AS36/1000) - (AH36+AG36*(1+($A36-25)*Constants!$C$29/100)*IF(ISBLANK(Design!$B$40),Constants!$C$6/1000,Design!$B$40/1000))</f>
        <v>3.9710022266781939</v>
      </c>
      <c r="AU36" s="342">
        <f ca="1">IF(AT36&gt;Design!$C$28,Design!$C$28,AT36)</f>
        <v>3.2940895522388054</v>
      </c>
    </row>
    <row r="37" spans="1:47" s="162" customFormat="1" ht="12.75" customHeight="1" x14ac:dyDescent="0.2">
      <c r="A37" s="154">
        <f>Design!$D$13</f>
        <v>85</v>
      </c>
      <c r="B37" s="155">
        <f t="shared" si="0"/>
        <v>4.2450000000000001</v>
      </c>
      <c r="C37" s="156">
        <f t="shared" si="10"/>
        <v>3.5</v>
      </c>
      <c r="D37" s="156">
        <f ca="1">FORECAST(C37, OFFSET(Design!$C$15:$C$17,MATCH(C37,Design!$B$15:$B$17,1)-1,0,2), OFFSET(Design!$B$15:$B$17,MATCH(C37,Design!$B$15:$B$17,1)-1,0,2))+(M37-25)*Design!$B$18/1000</f>
        <v>0.43317903908512589</v>
      </c>
      <c r="E37" s="215">
        <f ca="1">IF(100*(Design!$C$28+D37+C37*IF(ISBLANK(Design!$B$40),Constants!$C$6,Design!$B$40)/1000*(1+Constants!$C$29/100*(N37-25)))/($B37+D37-C37*O37/1000)&gt;Design!$C$35,Design!$C$35,100*(Design!$C$28+D37+C37*IF(ISBLANK(Design!$B$40),Constants!$C$6,Design!$B$40)/1000*(1+Constants!$C$29/100*(N37-25)))/($B37+D37-C37*O37/1000))</f>
        <v>95</v>
      </c>
      <c r="F37" s="157">
        <f ca="1">IF(($B37-C37*IF(ISBLANK(Design!$B$40),Constants!$C$6,Design!$B$40)/1000*(1+Constants!$C$29/100*(N37-25))-Design!$C$28)/(IF(ISBLANK(Design!$B$39),Design!$B$38,Design!$B$39)/1000000)*E37/100/(IF(ISBLANK(Design!$B$32),Design!$B$31,Design!$B$32)*1000000)&lt;0, 0, ($B37-C37*IF(ISBLANK(Design!$B$40),Constants!$C$6,Design!$B$40)/1000*(1+Constants!$C$29/100*(N37-25))-Design!$C$28)/(IF(ISBLANK(Design!$B$39),Design!$B$38,Design!$B$39)/1000000)*E37/100/(IF(ISBLANK(Design!$B$32),Design!$B$31,Design!$B$32)*1000000))</f>
        <v>0.23112724947000732</v>
      </c>
      <c r="G37" s="207">
        <f>$B37*Constants!$C$18/1000+IF(ISBLANK(Design!$B$32),Design!$B$31,Design!$B$32)*1000000*Constants!$D$22/1000000000*(IF($B37&lt;Constants!$C$21,0,$B37-Constants!$C$21))</f>
        <v>1.5281999999999999E-4</v>
      </c>
      <c r="H37" s="207">
        <f>B37*C37*(B37/(Constants!$C$23*1000000000)*IF(ISBLANK(Design!$B$32),Design!$B$31,Design!$B$32)*1000000/2+B37/(Constants!$C$24*1000000000)*IF(ISBLANK(Design!$B$32),Design!$B$31,Design!$B$32)*1000000/2)</f>
        <v>3.7228871093749998E-2</v>
      </c>
      <c r="I37" s="207">
        <f t="shared" ca="1" si="1"/>
        <v>3.9285845885603146</v>
      </c>
      <c r="J37" s="207">
        <f>Constants!$D$22/1000000000*Constants!$C$21*IF(ISBLANK(Design!$B$32),Design!$B$31,Design!$B$32)*1000000</f>
        <v>1.2499999999999999E-2</v>
      </c>
      <c r="K37" s="207">
        <f t="shared" ca="1" si="3"/>
        <v>3.9784662796540649</v>
      </c>
      <c r="L37" s="207">
        <f t="shared" ca="1" si="4"/>
        <v>7.5806331839897101E-2</v>
      </c>
      <c r="M37" s="208">
        <f ca="1">A37+L37*Design!$B$19</f>
        <v>89.320960914874135</v>
      </c>
      <c r="N37" s="208">
        <f ca="1">K37*Design!$C$12+A37</f>
        <v>220.2678535082382</v>
      </c>
      <c r="O37" s="208">
        <f ca="1">Constants!$D$19+Constants!$D$19*Constants!$C$20/100*(N37-25)</f>
        <v>337.45713936790867</v>
      </c>
      <c r="P37" s="207">
        <f ca="1">(1-Constants!$C$17/1000000000*Design!$B$32*1000000) * ($B37+D37-C37*O37/1000) - (D37+C37*(1+($A37-25)*Constants!$C$29/100)*IF(ISBLANK(Design!$B$40),Constants!$C$6/1000,Design!$B$40/1000))</f>
        <v>2.8025400596474479</v>
      </c>
      <c r="Q37" s="213">
        <f ca="1">IF(P37&gt;Design!$C$28,Design!$C$28,P37)</f>
        <v>2.8025400596474479</v>
      </c>
      <c r="R37" s="335">
        <f t="shared" si="11"/>
        <v>2.3333333333333335</v>
      </c>
      <c r="S37" s="158">
        <f ca="1">FORECAST(R37, OFFSET(Design!$C$15:$C$17,MATCH(R37,Design!$B$15:$B$17,1)-1,0,2), OFFSET(Design!$B$15:$B$17,MATCH(R37,Design!$B$15:$B$17,1)-1,0,2))+(AB37-25)*Design!$B$18/1000</f>
        <v>0.40434118204132447</v>
      </c>
      <c r="T37" s="224">
        <f ca="1">IF(100*(Design!$C$28+S37+R37*IF(ISBLANK(Design!$B$40),Constants!$C$6,Design!$B$40)/1000*(1+Constants!$C$29/100*(AC37-25)))/($B37+S37-R37*AD37/1000)&gt;Design!$C$35,Design!$C$35,100*(Design!$C$28+S37+R37*IF(ISBLANK(Design!$B$40),Constants!$C$6,Design!$B$40)/1000*(1+Constants!$C$29/100*(AC37-25)))/($B37+S37-R37*AD37/1000))</f>
        <v>92.576522881901553</v>
      </c>
      <c r="U37" s="159">
        <f ca="1">IF(($B37-R37*IF(ISBLANK(Design!$B$40),Constants!$C$6,Design!$B$40)/1000*(1+Constants!$C$29/100*(AC37-25))-Design!$C$28)/(IF(ISBLANK(Design!$B$39),Design!$B$38,Design!$B$39)/1000000)*T37/100/(IF(ISBLANK(Design!$B$32),Design!$B$31,Design!$B$32)*1000000)&lt;0, 0, ($B37-R37*IF(ISBLANK(Design!$B$40),Constants!$C$6,Design!$B$40)/1000*(1+Constants!$C$29/100*(AC37-25))-Design!$C$28)/(IF(ISBLANK(Design!$B$39),Design!$B$38,Design!$B$39)/1000000)*T37/100/(IF(ISBLANK(Design!$B$32),Design!$B$31,Design!$B$32)*1000000))</f>
        <v>0.24100998561339931</v>
      </c>
      <c r="V37" s="159">
        <f>$B37*Constants!$C$18/1000+IF(ISBLANK(Design!$B$32),Design!$B$31,Design!$B$32)*1000000*Constants!$D$22/1000000000*(IF($B37&lt;Constants!$C$21,0,$B37-Constants!$C$21))</f>
        <v>1.5281999999999999E-4</v>
      </c>
      <c r="W37" s="225">
        <f>B37*R37*(B37/(Constants!$C$23*1000000000)*IF(ISBLANK(Design!$B$32),Design!$B$31,Design!$B$32)*1000000/2+B37/(Constants!$C$24*1000000000)*IF(ISBLANK(Design!$B$32),Design!$B$31,Design!$B$32)*1000000/2)</f>
        <v>2.4819247395833334E-2</v>
      </c>
      <c r="X37" s="225">
        <f t="shared" ca="1" si="5"/>
        <v>1.2611190759052591</v>
      </c>
      <c r="Y37" s="225">
        <f>Constants!$D$22/1000000000*Constants!$C$21*IF(ISBLANK(Design!$B$32),Design!$B$31,Design!$B$32)*1000000</f>
        <v>1.2499999999999999E-2</v>
      </c>
      <c r="Z37" s="225">
        <f t="shared" ca="1" si="6"/>
        <v>1.2985911433010924</v>
      </c>
      <c r="AA37" s="225">
        <f t="shared" ca="1" si="7"/>
        <v>7.0037741965068484E-2</v>
      </c>
      <c r="AB37" s="226">
        <f ca="1">$A37+AA37*Design!$B$19</f>
        <v>88.992151292008899</v>
      </c>
      <c r="AC37" s="226">
        <f ca="1">Z37*Design!$C$12+A37</f>
        <v>129.15209887223713</v>
      </c>
      <c r="AD37" s="226">
        <f ca="1">Constants!$D$19+Constants!$D$19*Constants!$C$20/100*(AC37-25)</f>
        <v>249.98601491734763</v>
      </c>
      <c r="AE37" s="225">
        <f ca="1">(1-Constants!$C$17/1000000000*Design!$B$32*1000000) * ($B37+S37-R37*AD37/1000) - (S37+R37*(1+($A37-25)*Constants!$C$29/100)*IF(ISBLANK(Design!$B$40),Constants!$C$6/1000,Design!$B$40/1000))</f>
        <v>3.4007266078311469</v>
      </c>
      <c r="AF37" s="339">
        <f ca="1">IF(AE37&gt;Design!$C$28,Design!$C$28,AE37)</f>
        <v>3.2940895522388054</v>
      </c>
      <c r="AG37" s="237">
        <f t="shared" si="12"/>
        <v>1.1666666666666667</v>
      </c>
      <c r="AH37" s="160">
        <f ca="1">FORECAST(AG37, OFFSET(Design!$C$15:$C$17,MATCH(AG37,Design!$B$15:$B$17,1)-1,0,2), OFFSET(Design!$B$15:$B$17,MATCH(AG37,Design!$B$15:$B$17,1)-1,0,2))+(AQ37-25)*Design!$B$18/1000</f>
        <v>0.33177406075509652</v>
      </c>
      <c r="AI37" s="238">
        <f ca="1">IF(100*(Design!$C$28+AH37+AG37*IF(ISBLANK(Design!$B$40),Constants!$C$6,Design!$B$40)/1000*(1+Constants!$C$29/100*(AR37-25)))/($B37+AH37-AG37*AS37/1000)&gt;Design!$C$35,Design!$C$35,100*(Design!$C$28+AH37+AG37*IF(ISBLANK(Design!$B$40),Constants!$C$6,Design!$B$40)/1000*(1+Constants!$C$29/100*(AR37-25)))/($B37+AH37-AG37*AS37/1000))</f>
        <v>84.539145677900393</v>
      </c>
      <c r="AJ37" s="161">
        <f ca="1">IF(($B37-AG37*IF(ISBLANK(Design!$B$40),Constants!$C$6,Design!$B$40)/1000*(1+Constants!$C$29/100*(AR37-25))-Design!$C$28)/(IF(ISBLANK(Design!$B$39),Design!$B$38,Design!$B$39)/1000000)*AI37/100/(IF(ISBLANK(Design!$B$32),Design!$B$31,Design!$B$32)*1000000)&lt;0,0,($B37-AG37*IF(ISBLANK(Design!$B$40),Constants!$C$6,Design!$B$40)/1000*(1+Constants!$C$29/100*(AR37-25))-Design!$C$28)/(IF(ISBLANK(Design!$B$39),Design!$B$38,Design!$B$39)/1000000)*AI37/100/(IF(ISBLANK(Design!$B$32),Design!$B$31,Design!$B$32)*1000000))</f>
        <v>0.22905570465529773</v>
      </c>
      <c r="AK37" s="161">
        <f>$B37*Constants!$C$18/1000+IF(ISBLANK(Design!$B$32),Design!$B$31,Design!$B$32)*1000000*Constants!$D$22/1000000000*(IF($B37&lt;Constants!$C$21,0,$B37-Constants!$C$21))</f>
        <v>1.5281999999999999E-4</v>
      </c>
      <c r="AL37" s="239">
        <f>$B37*AG37*($B37/(Constants!$C$23*1000000000)*IF(ISBLANK(Design!$B$32),Design!$B$31,Design!$B$32)*1000000/2+$B37/(Constants!$C$24*1000000000)*IF(ISBLANK(Design!$B$32),Design!$B$31,Design!$B$32)*1000000/2)</f>
        <v>1.2409623697916667E-2</v>
      </c>
      <c r="AM37" s="239">
        <f t="shared" ca="1" si="2"/>
        <v>0.25001116301507864</v>
      </c>
      <c r="AN37" s="239">
        <f>Constants!$D$22/1000000000*Constants!$C$21*IF(ISBLANK(Design!$B$32),Design!$B$31,Design!$B$32)*1000000</f>
        <v>1.2499999999999999E-2</v>
      </c>
      <c r="AO37" s="239">
        <f t="shared" ca="1" si="13"/>
        <v>0.2750736067129953</v>
      </c>
      <c r="AP37" s="239">
        <f t="shared" ca="1" si="9"/>
        <v>5.9844288247169662E-2</v>
      </c>
      <c r="AQ37" s="240">
        <f ca="1">$A37+AP37*Design!$B$19</f>
        <v>88.411124430088677</v>
      </c>
      <c r="AR37" s="240">
        <f ca="1">AO37*Design!$C$12+$A37</f>
        <v>94.352502628241837</v>
      </c>
      <c r="AS37" s="240">
        <f ca="1">Constants!$D$19+Constants!$D$19*Constants!$C$20/100*(AR37-25)</f>
        <v>216.57840252311217</v>
      </c>
      <c r="AT37" s="239">
        <f ca="1">(1-Constants!$C$17/1000000000*Design!$B$32*1000000) * ($B37+AH37-AG37*AS37/1000) - (AH37+AG37*(1+($A37-25)*Constants!$C$29/100)*IF(ISBLANK(Design!$B$40),Constants!$C$6/1000,Design!$B$40/1000))</f>
        <v>3.7472849008324625</v>
      </c>
      <c r="AU37" s="342">
        <f ca="1">IF(AT37&gt;Design!$C$28,Design!$C$28,AT37)</f>
        <v>3.2940895522388054</v>
      </c>
    </row>
    <row r="38" spans="1:47" s="162" customFormat="1" ht="12.75" customHeight="1" x14ac:dyDescent="0.2">
      <c r="A38" s="154">
        <f>Design!$D$13</f>
        <v>85</v>
      </c>
      <c r="B38" s="155">
        <f t="shared" si="0"/>
        <v>4.01</v>
      </c>
      <c r="C38" s="156">
        <f t="shared" si="10"/>
        <v>3.5</v>
      </c>
      <c r="D38" s="156">
        <f ca="1">FORECAST(C38, OFFSET(Design!$C$15:$C$17,MATCH(C38,Design!$B$15:$B$17,1)-1,0,2), OFFSET(Design!$B$15:$B$17,MATCH(C38,Design!$B$15:$B$17,1)-1,0,2))+(M38-25)*Design!$B$18/1000</f>
        <v>0.43317903908512589</v>
      </c>
      <c r="E38" s="215">
        <f ca="1">IF(100*(Design!$C$28+D38+C38*IF(ISBLANK(Design!$B$40),Constants!$C$6,Design!$B$40)/1000*(1+Constants!$C$29/100*(N38-25)))/($B38+D38-C38*O38/1000)&gt;Design!$C$35,Design!$C$35,100*(Design!$C$28+D38+C38*IF(ISBLANK(Design!$B$40),Constants!$C$6,Design!$B$40)/1000*(1+Constants!$C$29/100*(N38-25)))/($B38+D38-C38*O38/1000))</f>
        <v>95</v>
      </c>
      <c r="F38" s="157">
        <f ca="1">IF(($B38-C38*IF(ISBLANK(Design!$B$40),Constants!$C$6,Design!$B$40)/1000*(1+Constants!$C$29/100*(N38-25))-Design!$C$28)/(IF(ISBLANK(Design!$B$39),Design!$B$38,Design!$B$39)/1000000)*E38/100/(IF(ISBLANK(Design!$B$32),Design!$B$31,Design!$B$32)*1000000)&lt;0, 0, ($B38-C38*IF(ISBLANK(Design!$B$40),Constants!$C$6,Design!$B$40)/1000*(1+Constants!$C$29/100*(N38-25))-Design!$C$28)/(IF(ISBLANK(Design!$B$39),Design!$B$38,Design!$B$39)/1000000)*E38/100/(IF(ISBLANK(Design!$B$32),Design!$B$31,Design!$B$32)*1000000))</f>
        <v>0.1654853435796218</v>
      </c>
      <c r="G38" s="207">
        <f>$B38*Constants!$C$18/1000+IF(ISBLANK(Design!$B$32),Design!$B$31,Design!$B$32)*1000000*Constants!$D$22/1000000000*(IF($B38&lt;Constants!$C$21,0,$B38-Constants!$C$21))</f>
        <v>1.4435999999999998E-4</v>
      </c>
      <c r="H38" s="207">
        <f>B38*C38*(B38/(Constants!$C$23*1000000000)*IF(ISBLANK(Design!$B$32),Design!$B$31,Design!$B$32)*1000000/2+B38/(Constants!$C$24*1000000000)*IF(ISBLANK(Design!$B$32),Design!$B$31,Design!$B$32)*1000000/2)</f>
        <v>3.3221039930555557E-2</v>
      </c>
      <c r="I38" s="207">
        <f t="shared" ca="1" si="1"/>
        <v>3.9250021824088179</v>
      </c>
      <c r="J38" s="207">
        <f>Constants!$D$22/1000000000*Constants!$C$21*IF(ISBLANK(Design!$B$32),Design!$B$31,Design!$B$32)*1000000</f>
        <v>1.2499999999999999E-2</v>
      </c>
      <c r="K38" s="207">
        <f t="shared" ca="1" si="3"/>
        <v>3.9708675823393738</v>
      </c>
      <c r="L38" s="207">
        <f t="shared" ca="1" si="4"/>
        <v>7.5806331839897101E-2</v>
      </c>
      <c r="M38" s="208">
        <f ca="1">A38+L38*Design!$B$19</f>
        <v>89.320960914874135</v>
      </c>
      <c r="N38" s="208">
        <f ca="1">K38*Design!$C$12+A38</f>
        <v>220.00949779953871</v>
      </c>
      <c r="O38" s="208">
        <f ca="1">Constants!$D$19+Constants!$D$19*Constants!$C$20/100*(N38-25)</f>
        <v>337.20911788755711</v>
      </c>
      <c r="P38" s="207">
        <f ca="1">(1-Constants!$C$17/1000000000*Design!$B$32*1000000) * ($B38+D38-C38*O38/1000) - (D38+C38*(1+($A38-25)*Constants!$C$29/100)*IF(ISBLANK(Design!$B$40),Constants!$C$6/1000,Design!$B$40/1000))</f>
        <v>2.5801147310696164</v>
      </c>
      <c r="Q38" s="213">
        <f ca="1">IF(P38&gt;Design!$C$28,Design!$C$28,P38)</f>
        <v>2.5801147310696164</v>
      </c>
      <c r="R38" s="335">
        <f t="shared" si="11"/>
        <v>2.3333333333333335</v>
      </c>
      <c r="S38" s="158">
        <f ca="1">FORECAST(R38, OFFSET(Design!$C$15:$C$17,MATCH(R38,Design!$B$15:$B$17,1)-1,0,2), OFFSET(Design!$B$15:$B$17,MATCH(R38,Design!$B$15:$B$17,1)-1,0,2))+(AB38-25)*Design!$B$18/1000</f>
        <v>0.40563585489825993</v>
      </c>
      <c r="T38" s="224">
        <f ca="1">IF(100*(Design!$C$28+S38+R38*IF(ISBLANK(Design!$B$40),Constants!$C$6,Design!$B$40)/1000*(1+Constants!$C$29/100*(AC38-25)))/($B38+S38-R38*AD38/1000)&gt;Design!$C$35,Design!$C$35,100*(Design!$C$28+S38+R38*IF(ISBLANK(Design!$B$40),Constants!$C$6,Design!$B$40)/1000*(1+Constants!$C$29/100*(AC38-25)))/($B38+S38-R38*AD38/1000))</f>
        <v>95</v>
      </c>
      <c r="U38" s="159">
        <f ca="1">IF(($B38-R38*IF(ISBLANK(Design!$B$40),Constants!$C$6,Design!$B$40)/1000*(1+Constants!$C$29/100*(AC38-25))-Design!$C$28)/(IF(ISBLANK(Design!$B$39),Design!$B$38,Design!$B$39)/1000000)*T38/100/(IF(ISBLANK(Design!$B$32),Design!$B$31,Design!$B$32)*1000000)&lt;0, 0, ($B38-R38*IF(ISBLANK(Design!$B$40),Constants!$C$6,Design!$B$40)/1000*(1+Constants!$C$29/100*(AC38-25))-Design!$C$28)/(IF(ISBLANK(Design!$B$39),Design!$B$38,Design!$B$39)/1000000)*T38/100/(IF(ISBLANK(Design!$B$32),Design!$B$31,Design!$B$32)*1000000))</f>
        <v>0.18159485455905344</v>
      </c>
      <c r="V38" s="159">
        <f>$B38*Constants!$C$18/1000+IF(ISBLANK(Design!$B$32),Design!$B$31,Design!$B$32)*1000000*Constants!$D$22/1000000000*(IF($B38&lt;Constants!$C$21,0,$B38-Constants!$C$21))</f>
        <v>1.4435999999999998E-4</v>
      </c>
      <c r="W38" s="225">
        <f>B38*R38*(B38/(Constants!$C$23*1000000000)*IF(ISBLANK(Design!$B$32),Design!$B$31,Design!$B$32)*1000000/2+B38/(Constants!$C$24*1000000000)*IF(ISBLANK(Design!$B$32),Design!$B$31,Design!$B$32)*1000000/2)</f>
        <v>2.2147359953703705E-2</v>
      </c>
      <c r="X38" s="225">
        <f t="shared" ca="1" si="5"/>
        <v>1.2996996283687712</v>
      </c>
      <c r="Y38" s="225">
        <f>Constants!$D$22/1000000000*Constants!$C$21*IF(ISBLANK(Design!$B$32),Design!$B$31,Design!$B$32)*1000000</f>
        <v>1.2499999999999999E-2</v>
      </c>
      <c r="Z38" s="225">
        <f t="shared" ca="1" si="6"/>
        <v>1.3344913483224747</v>
      </c>
      <c r="AA38" s="225">
        <f t="shared" ca="1" si="7"/>
        <v>4.7324183071463702E-2</v>
      </c>
      <c r="AB38" s="226">
        <f ca="1">$A38+AA38*Design!$B$19</f>
        <v>87.697478435073435</v>
      </c>
      <c r="AC38" s="226">
        <f ca="1">Z38*Design!$C$12+A38</f>
        <v>130.37270584296414</v>
      </c>
      <c r="AD38" s="226">
        <f ca="1">Constants!$D$19+Constants!$D$19*Constants!$C$20/100*(AC38-25)</f>
        <v>251.15779760924556</v>
      </c>
      <c r="AE38" s="225">
        <f ca="1">(1-Constants!$C$17/1000000000*Design!$B$32*1000000) * ($B38+S38-R38*AD38/1000) - (S38+R38*(1+($A38-25)*Constants!$C$29/100)*IF(ISBLANK(Design!$B$40),Constants!$C$6/1000,Design!$B$40/1000))</f>
        <v>3.1748144225545922</v>
      </c>
      <c r="AF38" s="339">
        <f ca="1">IF(AE38&gt;Design!$C$28,Design!$C$28,AE38)</f>
        <v>3.1748144225545922</v>
      </c>
      <c r="AG38" s="237">
        <f t="shared" si="12"/>
        <v>1.1666666666666667</v>
      </c>
      <c r="AH38" s="160">
        <f ca="1">FORECAST(AG38, OFFSET(Design!$C$15:$C$17,MATCH(AG38,Design!$B$15:$B$17,1)-1,0,2), OFFSET(Design!$B$15:$B$17,MATCH(AG38,Design!$B$15:$B$17,1)-1,0,2))+(AQ38-25)*Design!$B$18/1000</f>
        <v>0.3328417348806102</v>
      </c>
      <c r="AI38" s="238">
        <f ca="1">IF(100*(Design!$C$28+AH38+AG38*IF(ISBLANK(Design!$B$40),Constants!$C$6,Design!$B$40)/1000*(1+Constants!$C$29/100*(AR38-25)))/($B38+AH38-AG38*AS38/1000)&gt;Design!$C$35,Design!$C$35,100*(Design!$C$28+AH38+AG38*IF(ISBLANK(Design!$B$40),Constants!$C$6,Design!$B$40)/1000*(1+Constants!$C$29/100*(AR38-25)))/($B38+AH38-AG38*AS38/1000))</f>
        <v>89.412429238545982</v>
      </c>
      <c r="AJ38" s="161">
        <f ca="1">IF(($B38-AG38*IF(ISBLANK(Design!$B$40),Constants!$C$6,Design!$B$40)/1000*(1+Constants!$C$29/100*(AR38-25))-Design!$C$28)/(IF(ISBLANK(Design!$B$39),Design!$B$38,Design!$B$39)/1000000)*AI38/100/(IF(ISBLANK(Design!$B$32),Design!$B$31,Design!$B$32)*1000000)&lt;0,0,($B38-AG38*IF(ISBLANK(Design!$B$40),Constants!$C$6,Design!$B$40)/1000*(1+Constants!$C$29/100*(AR38-25))-Design!$C$28)/(IF(ISBLANK(Design!$B$39),Design!$B$38,Design!$B$39)/1000000)*AI38/100/(IF(ISBLANK(Design!$B$32),Design!$B$31,Design!$B$32)*1000000))</f>
        <v>0.18044903578704513</v>
      </c>
      <c r="AK38" s="161">
        <f>$B38*Constants!$C$18/1000+IF(ISBLANK(Design!$B$32),Design!$B$31,Design!$B$32)*1000000*Constants!$D$22/1000000000*(IF($B38&lt;Constants!$C$21,0,$B38-Constants!$C$21))</f>
        <v>1.4435999999999998E-4</v>
      </c>
      <c r="AL38" s="239">
        <f>$B38*AG38*($B38/(Constants!$C$23*1000000000)*IF(ISBLANK(Design!$B$32),Design!$B$31,Design!$B$32)*1000000/2+$B38/(Constants!$C$24*1000000000)*IF(ISBLANK(Design!$B$32),Design!$B$31,Design!$B$32)*1000000/2)</f>
        <v>1.1073679976851852E-2</v>
      </c>
      <c r="AM38" s="239">
        <f t="shared" ca="1" si="2"/>
        <v>0.26463028310384962</v>
      </c>
      <c r="AN38" s="239">
        <f>Constants!$D$22/1000000000*Constants!$C$21*IF(ISBLANK(Design!$B$32),Design!$B$31,Design!$B$32)*1000000</f>
        <v>1.2499999999999999E-2</v>
      </c>
      <c r="AO38" s="239">
        <f t="shared" ca="1" si="13"/>
        <v>0.28834832308070146</v>
      </c>
      <c r="AP38" s="239">
        <f t="shared" ca="1" si="9"/>
        <v>4.1113163238158397E-2</v>
      </c>
      <c r="AQ38" s="240">
        <f ca="1">$A38+AP38*Design!$B$19</f>
        <v>87.343450304575029</v>
      </c>
      <c r="AR38" s="240">
        <f ca="1">AO38*Design!$C$12+$A38</f>
        <v>94.803842984743852</v>
      </c>
      <c r="AS38" s="240">
        <f ca="1">Constants!$D$19+Constants!$D$19*Constants!$C$20/100*(AR38-25)</f>
        <v>217.01168926535411</v>
      </c>
      <c r="AT38" s="239">
        <f ca="1">(1-Constants!$C$17/1000000000*Design!$B$32*1000000) * ($B38+AH38-AG38*AS38/1000) - (AH38+AG38*(1+($A38-25)*Constants!$C$29/100)*IF(ISBLANK(Design!$B$40),Constants!$C$6/1000,Design!$B$40/1000))</f>
        <v>3.5235012909868679</v>
      </c>
      <c r="AU38" s="342">
        <f ca="1">IF(AT38&gt;Design!$C$28,Design!$C$28,AT38)</f>
        <v>3.2940895522388054</v>
      </c>
    </row>
    <row r="39" spans="1:47" s="162" customFormat="1" ht="12.75" customHeight="1" x14ac:dyDescent="0.2">
      <c r="A39" s="154">
        <f>Design!$D$13</f>
        <v>85</v>
      </c>
      <c r="B39" s="155">
        <f t="shared" si="0"/>
        <v>3.7749999999999995</v>
      </c>
      <c r="C39" s="156">
        <f t="shared" si="10"/>
        <v>3.5</v>
      </c>
      <c r="D39" s="156">
        <f ca="1">FORECAST(C39, OFFSET(Design!$C$15:$C$17,MATCH(C39,Design!$B$15:$B$17,1)-1,0,2), OFFSET(Design!$B$15:$B$17,MATCH(C39,Design!$B$15:$B$17,1)-1,0,2))+(M39-25)*Design!$B$18/1000</f>
        <v>0.43317903908512589</v>
      </c>
      <c r="E39" s="215">
        <f ca="1">IF(100*(Design!$C$28+D39+C39*IF(ISBLANK(Design!$B$40),Constants!$C$6,Design!$B$40)/1000*(1+Constants!$C$29/100*(N39-25)))/($B39+D39-C39*O39/1000)&gt;Design!$C$35,Design!$C$35,100*(Design!$C$28+D39+C39*IF(ISBLANK(Design!$B$40),Constants!$C$6,Design!$B$40)/1000*(1+Constants!$C$29/100*(N39-25)))/($B39+D39-C39*O39/1000))</f>
        <v>95</v>
      </c>
      <c r="F39" s="157">
        <f ca="1">IF(($B39-C39*IF(ISBLANK(Design!$B$40),Constants!$C$6,Design!$B$40)/1000*(1+Constants!$C$29/100*(N39-25))-Design!$C$28)/(IF(ISBLANK(Design!$B$39),Design!$B$38,Design!$B$39)/1000000)*E39/100/(IF(ISBLANK(Design!$B$32),Design!$B$31,Design!$B$32)*1000000)&lt;0, 0, ($B39-C39*IF(ISBLANK(Design!$B$40),Constants!$C$6,Design!$B$40)/1000*(1+Constants!$C$29/100*(N39-25))-Design!$C$28)/(IF(ISBLANK(Design!$B$39),Design!$B$38,Design!$B$39)/1000000)*E39/100/(IF(ISBLANK(Design!$B$32),Design!$B$31,Design!$B$32)*1000000))</f>
        <v>9.9841502925741746E-2</v>
      </c>
      <c r="G39" s="207">
        <f>$B39*Constants!$C$18/1000+IF(ISBLANK(Design!$B$32),Design!$B$31,Design!$B$32)*1000000*Constants!$D$22/1000000000*(IF($B39&lt;Constants!$C$21,0,$B39-Constants!$C$21))</f>
        <v>1.3589999999999997E-4</v>
      </c>
      <c r="H39" s="207">
        <f>B39*C39*(B39/(Constants!$C$23*1000000000)*IF(ISBLANK(Design!$B$32),Design!$B$31,Design!$B$32)*1000000/2+B39/(Constants!$C$24*1000000000)*IF(ISBLANK(Design!$B$32),Design!$B$31,Design!$B$32)*1000000/2)</f>
        <v>2.9441395399305546E-2</v>
      </c>
      <c r="I39" s="207">
        <f t="shared" ca="1" si="1"/>
        <v>3.9219318997498069</v>
      </c>
      <c r="J39" s="207">
        <f>Constants!$D$22/1000000000*Constants!$C$21*IF(ISBLANK(Design!$B$32),Design!$B$31,Design!$B$32)*1000000</f>
        <v>1.2499999999999999E-2</v>
      </c>
      <c r="K39" s="207">
        <f t="shared" ca="1" si="3"/>
        <v>3.9640091951491128</v>
      </c>
      <c r="L39" s="207">
        <f t="shared" ca="1" si="4"/>
        <v>7.5806331839897101E-2</v>
      </c>
      <c r="M39" s="208">
        <f ca="1">A39+L39*Design!$B$19</f>
        <v>89.320960914874135</v>
      </c>
      <c r="N39" s="208">
        <f ca="1">K39*Design!$C$12+A39</f>
        <v>219.77631263506984</v>
      </c>
      <c r="O39" s="208">
        <f ca="1">Constants!$D$19+Constants!$D$19*Constants!$C$20/100*(N39-25)</f>
        <v>336.98526012966704</v>
      </c>
      <c r="P39" s="207">
        <f ca="1">(1-Constants!$C$17/1000000000*Design!$B$32*1000000) * ($B39+D39-C39*O39/1000) - (D39+C39*(1+($A39-25)*Constants!$C$29/100)*IF(ISBLANK(Design!$B$40),Constants!$C$6/1000,Design!$B$40/1000))</f>
        <v>2.3576090581146003</v>
      </c>
      <c r="Q39" s="213">
        <f ca="1">IF(P39&gt;Design!$C$28,Design!$C$28,P39)</f>
        <v>2.3576090581146003</v>
      </c>
      <c r="R39" s="335">
        <f t="shared" si="11"/>
        <v>2.3333333333333335</v>
      </c>
      <c r="S39" s="158">
        <f ca="1">FORECAST(R39, OFFSET(Design!$C$15:$C$17,MATCH(R39,Design!$B$15:$B$17,1)-1,0,2), OFFSET(Design!$B$15:$B$17,MATCH(R39,Design!$B$15:$B$17,1)-1,0,2))+(AB39-25)*Design!$B$18/1000</f>
        <v>0.40563585489825993</v>
      </c>
      <c r="T39" s="224">
        <f ca="1">IF(100*(Design!$C$28+S39+R39*IF(ISBLANK(Design!$B$40),Constants!$C$6,Design!$B$40)/1000*(1+Constants!$C$29/100*(AC39-25)))/($B39+S39-R39*AD39/1000)&gt;Design!$C$35,Design!$C$35,100*(Design!$C$28+S39+R39*IF(ISBLANK(Design!$B$40),Constants!$C$6,Design!$B$40)/1000*(1+Constants!$C$29/100*(AC39-25)))/($B39+S39-R39*AD39/1000))</f>
        <v>95</v>
      </c>
      <c r="U39" s="159">
        <f ca="1">IF(($B39-R39*IF(ISBLANK(Design!$B$40),Constants!$C$6,Design!$B$40)/1000*(1+Constants!$C$29/100*(AC39-25))-Design!$C$28)/(IF(ISBLANK(Design!$B$39),Design!$B$38,Design!$B$39)/1000000)*T39/100/(IF(ISBLANK(Design!$B$32),Design!$B$31,Design!$B$32)*1000000)&lt;0, 0, ($B39-R39*IF(ISBLANK(Design!$B$40),Constants!$C$6,Design!$B$40)/1000*(1+Constants!$C$29/100*(AC39-25))-Design!$C$28)/(IF(ISBLANK(Design!$B$39),Design!$B$38,Design!$B$39)/1000000)*T39/100/(IF(ISBLANK(Design!$B$32),Design!$B$31,Design!$B$32)*1000000))</f>
        <v>0.11593920391004039</v>
      </c>
      <c r="V39" s="159">
        <f>$B39*Constants!$C$18/1000+IF(ISBLANK(Design!$B$32),Design!$B$31,Design!$B$32)*1000000*Constants!$D$22/1000000000*(IF($B39&lt;Constants!$C$21,0,$B39-Constants!$C$21))</f>
        <v>1.3589999999999997E-4</v>
      </c>
      <c r="W39" s="225">
        <f>B39*R39*(B39/(Constants!$C$23*1000000000)*IF(ISBLANK(Design!$B$32),Design!$B$31,Design!$B$32)*1000000/2+B39/(Constants!$C$24*1000000000)*IF(ISBLANK(Design!$B$32),Design!$B$31,Design!$B$32)*1000000/2)</f>
        <v>1.9627596932870361E-2</v>
      </c>
      <c r="X39" s="225">
        <f t="shared" ca="1" si="5"/>
        <v>1.2987186641833748</v>
      </c>
      <c r="Y39" s="225">
        <f>Constants!$D$22/1000000000*Constants!$C$21*IF(ISBLANK(Design!$B$32),Design!$B$31,Design!$B$32)*1000000</f>
        <v>1.2499999999999999E-2</v>
      </c>
      <c r="Z39" s="225">
        <f t="shared" ca="1" si="6"/>
        <v>1.3309821611162451</v>
      </c>
      <c r="AA39" s="225">
        <f t="shared" ca="1" si="7"/>
        <v>4.7324183071463702E-2</v>
      </c>
      <c r="AB39" s="226">
        <f ca="1">$A39+AA39*Design!$B$19</f>
        <v>87.697478435073435</v>
      </c>
      <c r="AC39" s="226">
        <f ca="1">Z39*Design!$C$12+A39</f>
        <v>130.25339347795233</v>
      </c>
      <c r="AD39" s="226">
        <f ca="1">Constants!$D$19+Constants!$D$19*Constants!$C$20/100*(AC39-25)</f>
        <v>251.04325773883423</v>
      </c>
      <c r="AE39" s="225">
        <f ca="1">(1-Constants!$C$17/1000000000*Design!$B$32*1000000) * ($B39+S39-R39*AD39/1000) - (S39+R39*(1+($A39-25)*Constants!$C$29/100)*IF(ISBLANK(Design!$B$40),Constants!$C$6/1000,Design!$B$40/1000))</f>
        <v>2.9518183192673368</v>
      </c>
      <c r="AF39" s="339">
        <f ca="1">IF(AE39&gt;Design!$C$28,Design!$C$28,AE39)</f>
        <v>2.9518183192673368</v>
      </c>
      <c r="AG39" s="237">
        <f t="shared" si="12"/>
        <v>1.1666666666666667</v>
      </c>
      <c r="AH39" s="160">
        <f ca="1">FORECAST(AG39, OFFSET(Design!$C$15:$C$17,MATCH(AG39,Design!$B$15:$B$17,1)-1,0,2), OFFSET(Design!$B$15:$B$17,MATCH(AG39,Design!$B$15:$B$17,1)-1,0,2))+(AQ39-25)*Design!$B$18/1000</f>
        <v>0.33404795741685328</v>
      </c>
      <c r="AI39" s="238">
        <f ca="1">IF(100*(Design!$C$28+AH39+AG39*IF(ISBLANK(Design!$B$40),Constants!$C$6,Design!$B$40)/1000*(1+Constants!$C$29/100*(AR39-25)))/($B39+AH39-AG39*AS39/1000)&gt;Design!$C$35,Design!$C$35,100*(Design!$C$28+AH39+AG39*IF(ISBLANK(Design!$B$40),Constants!$C$6,Design!$B$40)/1000*(1+Constants!$C$29/100*(AR39-25)))/($B39+AH39-AG39*AS39/1000))</f>
        <v>94.880624452596251</v>
      </c>
      <c r="AJ39" s="161">
        <f ca="1">IF(($B39-AG39*IF(ISBLANK(Design!$B$40),Constants!$C$6,Design!$B$40)/1000*(1+Constants!$C$29/100*(AR39-25))-Design!$C$28)/(IF(ISBLANK(Design!$B$39),Design!$B$38,Design!$B$39)/1000000)*AI39/100/(IF(ISBLANK(Design!$B$32),Design!$B$31,Design!$B$32)*1000000)&lt;0,0,($B39-AG39*IF(ISBLANK(Design!$B$40),Constants!$C$6,Design!$B$40)/1000*(1+Constants!$C$29/100*(AR39-25))-Design!$C$28)/(IF(ISBLANK(Design!$B$39),Design!$B$38,Design!$B$39)/1000000)*AI39/100/(IF(ISBLANK(Design!$B$32),Design!$B$31,Design!$B$32)*1000000))</f>
        <v>0.12589221225250299</v>
      </c>
      <c r="AK39" s="161">
        <f>$B39*Constants!$C$18/1000+IF(ISBLANK(Design!$B$32),Design!$B$31,Design!$B$32)*1000000*Constants!$D$22/1000000000*(IF($B39&lt;Constants!$C$21,0,$B39-Constants!$C$21))</f>
        <v>1.3589999999999997E-4</v>
      </c>
      <c r="AL39" s="239">
        <f>$B39*AG39*($B39/(Constants!$C$23*1000000000)*IF(ISBLANK(Design!$B$32),Design!$B$31,Design!$B$32)*1000000/2+$B39/(Constants!$C$24*1000000000)*IF(ISBLANK(Design!$B$32),Design!$B$31,Design!$B$32)*1000000/2)</f>
        <v>9.8137984664351807E-3</v>
      </c>
      <c r="AM39" s="239">
        <f t="shared" ca="1" si="2"/>
        <v>0.28117193487215092</v>
      </c>
      <c r="AN39" s="239">
        <f>Constants!$D$22/1000000000*Constants!$C$21*IF(ISBLANK(Design!$B$32),Design!$B$31,Design!$B$32)*1000000</f>
        <v>1.2499999999999999E-2</v>
      </c>
      <c r="AO39" s="239">
        <f t="shared" ca="1" si="13"/>
        <v>0.30362163333858611</v>
      </c>
      <c r="AP39" s="239">
        <f t="shared" ca="1" si="9"/>
        <v>1.9951364356700089E-2</v>
      </c>
      <c r="AQ39" s="240">
        <f ca="1">$A39+AP39*Design!$B$19</f>
        <v>86.137227768331911</v>
      </c>
      <c r="AR39" s="240">
        <f ca="1">AO39*Design!$C$12+$A39</f>
        <v>95.32313553351193</v>
      </c>
      <c r="AS39" s="240">
        <f ca="1">Constants!$D$19+Constants!$D$19*Constants!$C$20/100*(AR39-25)</f>
        <v>217.51021011217145</v>
      </c>
      <c r="AT39" s="239">
        <f ca="1">(1-Constants!$C$17/1000000000*Design!$B$32*1000000) * ($B39+AH39-AG39*AS39/1000) - (AH39+AG39*(1+($A39-25)*Constants!$C$29/100)*IF(ISBLANK(Design!$B$40),Constants!$C$6/1000,Design!$B$40/1000))</f>
        <v>3.2996384525881668</v>
      </c>
      <c r="AU39" s="342">
        <f ca="1">IF(AT39&gt;Design!$C$28,Design!$C$28,AT39)</f>
        <v>3.2940895522388054</v>
      </c>
    </row>
    <row r="40" spans="1:47" s="162" customFormat="1" ht="12.75" customHeight="1" x14ac:dyDescent="0.2">
      <c r="A40" s="154">
        <f>Design!$D$13</f>
        <v>85</v>
      </c>
      <c r="B40" s="155">
        <f t="shared" si="0"/>
        <v>3.5399999999999996</v>
      </c>
      <c r="C40" s="156">
        <f t="shared" si="10"/>
        <v>3.5</v>
      </c>
      <c r="D40" s="156">
        <f ca="1">FORECAST(C40, OFFSET(Design!$C$15:$C$17,MATCH(C40,Design!$B$15:$B$17,1)-1,0,2), OFFSET(Design!$B$15:$B$17,MATCH(C40,Design!$B$15:$B$17,1)-1,0,2))+(M40-25)*Design!$B$18/1000</f>
        <v>0.43317903908512589</v>
      </c>
      <c r="E40" s="215">
        <f ca="1">IF(100*(Design!$C$28+D40+C40*IF(ISBLANK(Design!$B$40),Constants!$C$6,Design!$B$40)/1000*(1+Constants!$C$29/100*(N40-25)))/($B40+D40-C40*O40/1000)&gt;Design!$C$35,Design!$C$35,100*(Design!$C$28+D40+C40*IF(ISBLANK(Design!$B$40),Constants!$C$6,Design!$B$40)/1000*(1+Constants!$C$29/100*(N40-25)))/($B40+D40-C40*O40/1000))</f>
        <v>95</v>
      </c>
      <c r="F40" s="157">
        <f ca="1">IF(($B40-C40*IF(ISBLANK(Design!$B$40),Constants!$C$6,Design!$B$40)/1000*(1+Constants!$C$29/100*(N40-25))-Design!$C$28)/(IF(ISBLANK(Design!$B$39),Design!$B$38,Design!$B$39)/1000000)*E40/100/(IF(ISBLANK(Design!$B$32),Design!$B$31,Design!$B$32)*1000000)&lt;0, 0, ($B40-C40*IF(ISBLANK(Design!$B$40),Constants!$C$6,Design!$B$40)/1000*(1+Constants!$C$29/100*(N40-25))-Design!$C$28)/(IF(ISBLANK(Design!$B$39),Design!$B$38,Design!$B$39)/1000000)*E40/100/(IF(ISBLANK(Design!$B$32),Design!$B$31,Design!$B$32)*1000000))</f>
        <v>3.4195729774712295E-2</v>
      </c>
      <c r="G40" s="207">
        <f>$B40*Constants!$C$18/1000+IF(ISBLANK(Design!$B$32),Design!$B$31,Design!$B$32)*1000000*Constants!$D$22/1000000000*(IF($B40&lt;Constants!$C$21,0,$B40-Constants!$C$21))</f>
        <v>1.2743999999999996E-4</v>
      </c>
      <c r="H40" s="207">
        <f>B40*C40*(B40/(Constants!$C$23*1000000000)*IF(ISBLANK(Design!$B$32),Design!$B$31,Design!$B$32)*1000000/2+B40/(Constants!$C$24*1000000000)*IF(ISBLANK(Design!$B$32),Design!$B$31,Design!$B$32)*1000000/2)</f>
        <v>2.5889937499999995E-2</v>
      </c>
      <c r="I40" s="207">
        <f t="shared" ca="1" si="1"/>
        <v>3.9193728733980913</v>
      </c>
      <c r="J40" s="207">
        <f>Constants!$D$22/1000000000*Constants!$C$21*IF(ISBLANK(Design!$B$32),Design!$B$31,Design!$B$32)*1000000</f>
        <v>1.2499999999999999E-2</v>
      </c>
      <c r="K40" s="207">
        <f t="shared" ca="1" si="3"/>
        <v>3.9578902508980915</v>
      </c>
      <c r="L40" s="207">
        <f t="shared" ca="1" si="4"/>
        <v>7.5806331839897101E-2</v>
      </c>
      <c r="M40" s="208">
        <f ca="1">A40+L40*Design!$B$19</f>
        <v>89.320960914874135</v>
      </c>
      <c r="N40" s="208">
        <f ca="1">K40*Design!$C$12+A40</f>
        <v>219.56826853053511</v>
      </c>
      <c r="O40" s="208">
        <f ca="1">Constants!$D$19+Constants!$D$19*Constants!$C$20/100*(N40-25)</f>
        <v>336.78553778931371</v>
      </c>
      <c r="P40" s="207">
        <f ca="1">(1-Constants!$C$17/1000000000*Design!$B$32*1000000) * ($B40+D40-C40*O40/1000) - (D40+C40*(1+($A40-25)*Constants!$C$29/100)*IF(ISBLANK(Design!$B$40),Constants!$C$6/1000,Design!$B$40/1000))</f>
        <v>2.1350231348962754</v>
      </c>
      <c r="Q40" s="213">
        <f ca="1">IF(P40&gt;Design!$C$28,Design!$C$28,P40)</f>
        <v>2.1350231348962754</v>
      </c>
      <c r="R40" s="335">
        <f t="shared" si="11"/>
        <v>2.3333333333333335</v>
      </c>
      <c r="S40" s="158">
        <f ca="1">FORECAST(R40, OFFSET(Design!$C$15:$C$17,MATCH(R40,Design!$B$15:$B$17,1)-1,0,2), OFFSET(Design!$B$15:$B$17,MATCH(R40,Design!$B$15:$B$17,1)-1,0,2))+(AB40-25)*Design!$B$18/1000</f>
        <v>0.40563585489825993</v>
      </c>
      <c r="T40" s="224">
        <f ca="1">IF(100*(Design!$C$28+S40+R40*IF(ISBLANK(Design!$B$40),Constants!$C$6,Design!$B$40)/1000*(1+Constants!$C$29/100*(AC40-25)))/($B40+S40-R40*AD40/1000)&gt;Design!$C$35,Design!$C$35,100*(Design!$C$28+S40+R40*IF(ISBLANK(Design!$B$40),Constants!$C$6,Design!$B$40)/1000*(1+Constants!$C$29/100*(AC40-25)))/($B40+S40-R40*AD40/1000))</f>
        <v>95</v>
      </c>
      <c r="U40" s="159">
        <f ca="1">IF(($B40-R40*IF(ISBLANK(Design!$B$40),Constants!$C$6,Design!$B$40)/1000*(1+Constants!$C$29/100*(AC40-25))-Design!$C$28)/(IF(ISBLANK(Design!$B$39),Design!$B$38,Design!$B$39)/1000000)*T40/100/(IF(ISBLANK(Design!$B$32),Design!$B$31,Design!$B$32)*1000000)&lt;0, 0, ($B40-R40*IF(ISBLANK(Design!$B$40),Constants!$C$6,Design!$B$40)/1000*(1+Constants!$C$29/100*(AC40-25))-Design!$C$28)/(IF(ISBLANK(Design!$B$39),Design!$B$38,Design!$B$39)/1000000)*T40/100/(IF(ISBLANK(Design!$B$32),Design!$B$31,Design!$B$32)*1000000))</f>
        <v>5.0282874634902955E-2</v>
      </c>
      <c r="V40" s="159">
        <f>$B40*Constants!$C$18/1000+IF(ISBLANK(Design!$B$32),Design!$B$31,Design!$B$32)*1000000*Constants!$D$22/1000000000*(IF($B40&lt;Constants!$C$21,0,$B40-Constants!$C$21))</f>
        <v>1.2743999999999996E-4</v>
      </c>
      <c r="W40" s="225">
        <f>B40*R40*(B40/(Constants!$C$23*1000000000)*IF(ISBLANK(Design!$B$32),Design!$B$31,Design!$B$32)*1000000/2+B40/(Constants!$C$24*1000000000)*IF(ISBLANK(Design!$B$32),Design!$B$31,Design!$B$32)*1000000/2)</f>
        <v>1.7259958333333332E-2</v>
      </c>
      <c r="X40" s="225">
        <f t="shared" ca="1" si="5"/>
        <v>1.2979750757342747</v>
      </c>
      <c r="Y40" s="225">
        <f>Constants!$D$22/1000000000*Constants!$C$21*IF(ISBLANK(Design!$B$32),Design!$B$31,Design!$B$32)*1000000</f>
        <v>1.2499999999999999E-2</v>
      </c>
      <c r="Z40" s="225">
        <f t="shared" ca="1" si="6"/>
        <v>1.3278624740676079</v>
      </c>
      <c r="AA40" s="225">
        <f t="shared" ca="1" si="7"/>
        <v>4.7324183071463702E-2</v>
      </c>
      <c r="AB40" s="226">
        <f ca="1">$A40+AA40*Design!$B$19</f>
        <v>87.697478435073435</v>
      </c>
      <c r="AC40" s="226">
        <f ca="1">Z40*Design!$C$12+A40</f>
        <v>130.14732411829868</v>
      </c>
      <c r="AD40" s="226">
        <f ca="1">Constants!$D$19+Constants!$D$19*Constants!$C$20/100*(AC40-25)</f>
        <v>250.94143115356673</v>
      </c>
      <c r="AE40" s="225">
        <f ca="1">(1-Constants!$C$17/1000000000*Design!$B$32*1000000) * ($B40+S40-R40*AD40/1000) - (S40+R40*(1+($A40-25)*Constants!$C$29/100)*IF(ISBLANK(Design!$B$40),Constants!$C$6/1000,Design!$B$40/1000))</f>
        <v>2.7287940348646802</v>
      </c>
      <c r="AF40" s="339">
        <f ca="1">IF(AE40&gt;Design!$C$28,Design!$C$28,AE40)</f>
        <v>2.7287940348646802</v>
      </c>
      <c r="AG40" s="237">
        <f t="shared" si="12"/>
        <v>1.1666666666666667</v>
      </c>
      <c r="AH40" s="160">
        <f ca="1">FORECAST(AG40, OFFSET(Design!$C$15:$C$17,MATCH(AG40,Design!$B$15:$B$17,1)-1,0,2), OFFSET(Design!$B$15:$B$17,MATCH(AG40,Design!$B$15:$B$17,1)-1,0,2))+(AQ40-25)*Design!$B$18/1000</f>
        <v>0.33407438784559856</v>
      </c>
      <c r="AI40" s="238">
        <f ca="1">IF(100*(Design!$C$28+AH40+AG40*IF(ISBLANK(Design!$B$40),Constants!$C$6,Design!$B$40)/1000*(1+Constants!$C$29/100*(AR40-25)))/($B40+AH40-AG40*AS40/1000)&gt;Design!$C$35,Design!$C$35,100*(Design!$C$28+AH40+AG40*IF(ISBLANK(Design!$B$40),Constants!$C$6,Design!$B$40)/1000*(1+Constants!$C$29/100*(AR40-25)))/($B40+AH40-AG40*AS40/1000))</f>
        <v>95</v>
      </c>
      <c r="AJ40" s="161">
        <f ca="1">IF(($B40-AG40*IF(ISBLANK(Design!$B$40),Constants!$C$6,Design!$B$40)/1000*(1+Constants!$C$29/100*(AR40-25))-Design!$C$28)/(IF(ISBLANK(Design!$B$39),Design!$B$38,Design!$B$39)/1000000)*AI40/100/(IF(ISBLANK(Design!$B$32),Design!$B$31,Design!$B$32)*1000000)&lt;0,0,($B40-AG40*IF(ISBLANK(Design!$B$40),Constants!$C$6,Design!$B$40)/1000*(1+Constants!$C$29/100*(AR40-25))-Design!$C$28)/(IF(ISBLANK(Design!$B$39),Design!$B$38,Design!$B$39)/1000000)*AI40/100/(IF(ISBLANK(Design!$B$32),Design!$B$31,Design!$B$32)*1000000))</f>
        <v>6.038979458775575E-2</v>
      </c>
      <c r="AK40" s="161">
        <f>$B40*Constants!$C$18/1000+IF(ISBLANK(Design!$B$32),Design!$B$31,Design!$B$32)*1000000*Constants!$D$22/1000000000*(IF($B40&lt;Constants!$C$21,0,$B40-Constants!$C$21))</f>
        <v>1.2743999999999996E-4</v>
      </c>
      <c r="AL40" s="239">
        <f>$B40*AG40*($B40/(Constants!$C$23*1000000000)*IF(ISBLANK(Design!$B$32),Design!$B$31,Design!$B$32)*1000000/2+$B40/(Constants!$C$24*1000000000)*IF(ISBLANK(Design!$B$32),Design!$B$31,Design!$B$32)*1000000/2)</f>
        <v>8.629979166666666E-3</v>
      </c>
      <c r="AM40" s="239">
        <f t="shared" ca="1" si="2"/>
        <v>0.28126936527245822</v>
      </c>
      <c r="AN40" s="239">
        <f>Constants!$D$22/1000000000*Constants!$C$21*IF(ISBLANK(Design!$B$32),Design!$B$31,Design!$B$32)*1000000</f>
        <v>1.2499999999999999E-2</v>
      </c>
      <c r="AO40" s="239">
        <f t="shared" ca="1" si="13"/>
        <v>0.3025267844391249</v>
      </c>
      <c r="AP40" s="239">
        <f t="shared" ca="1" si="9"/>
        <v>1.9487672624326602E-2</v>
      </c>
      <c r="AQ40" s="240">
        <f ca="1">$A40+AP40*Design!$B$19</f>
        <v>86.110797339586611</v>
      </c>
      <c r="AR40" s="240">
        <f ca="1">AO40*Design!$C$12+$A40</f>
        <v>95.285910670930249</v>
      </c>
      <c r="AS40" s="240">
        <f ca="1">Constants!$D$19+Constants!$D$19*Constants!$C$20/100*(AR40-25)</f>
        <v>217.47447424409302</v>
      </c>
      <c r="AT40" s="239">
        <f ca="1">(1-Constants!$C$17/1000000000*Design!$B$32*1000000) * ($B40+AH40-AG40*AS40/1000) - (AH40+AG40*(1+($A40-25)*Constants!$C$29/100)*IF(ISBLANK(Design!$B$40),Constants!$C$6/1000,Design!$B$40/1000))</f>
        <v>3.0764267383205164</v>
      </c>
      <c r="AU40" s="342">
        <f ca="1">IF(AT40&gt;Design!$C$28,Design!$C$28,AT40)</f>
        <v>3.0764267383205164</v>
      </c>
    </row>
    <row r="41" spans="1:47" s="162" customFormat="1" ht="12.75" customHeight="1" x14ac:dyDescent="0.2">
      <c r="A41" s="154">
        <f>Design!$D$13</f>
        <v>85</v>
      </c>
      <c r="B41" s="155">
        <f t="shared" si="0"/>
        <v>3.3049999999999997</v>
      </c>
      <c r="C41" s="156">
        <f t="shared" si="10"/>
        <v>3.5</v>
      </c>
      <c r="D41" s="156">
        <f ca="1">FORECAST(C41, OFFSET(Design!$C$15:$C$17,MATCH(C41,Design!$B$15:$B$17,1)-1,0,2), OFFSET(Design!$B$15:$B$17,MATCH(C41,Design!$B$15:$B$17,1)-1,0,2))+(M41-25)*Design!$B$18/1000</f>
        <v>0.43317903908512589</v>
      </c>
      <c r="E41" s="215">
        <f ca="1">IF(100*(Design!$C$28+D41+C41*IF(ISBLANK(Design!$B$40),Constants!$C$6,Design!$B$40)/1000*(1+Constants!$C$29/100*(N41-25)))/($B41+D41-C41*O41/1000)&gt;Design!$C$35,Design!$C$35,100*(Design!$C$28+D41+C41*IF(ISBLANK(Design!$B$40),Constants!$C$6,Design!$B$40)/1000*(1+Constants!$C$29/100*(N41-25)))/($B41+D41-C41*O41/1000))</f>
        <v>95</v>
      </c>
      <c r="F41" s="157">
        <f ca="1">IF(($B41-C41*IF(ISBLANK(Design!$B$40),Constants!$C$6,Design!$B$40)/1000*(1+Constants!$C$29/100*(N41-25))-Design!$C$28)/(IF(ISBLANK(Design!$B$39),Design!$B$38,Design!$B$39)/1000000)*E41/100/(IF(ISBLANK(Design!$B$32),Design!$B$31,Design!$B$32)*1000000)&lt;0, 0, ($B41-C41*IF(ISBLANK(Design!$B$40),Constants!$C$6,Design!$B$40)/1000*(1+Constants!$C$29/100*(N41-25))-Design!$C$28)/(IF(ISBLANK(Design!$B$39),Design!$B$38,Design!$B$39)/1000000)*E41/100/(IF(ISBLANK(Design!$B$32),Design!$B$31,Design!$B$32)*1000000))</f>
        <v>0</v>
      </c>
      <c r="G41" s="207">
        <f>$B41*Constants!$C$18/1000+IF(ISBLANK(Design!$B$32),Design!$B$31,Design!$B$32)*1000000*Constants!$D$22/1000000000*(IF($B41&lt;Constants!$C$21,0,$B41-Constants!$C$21))</f>
        <v>1.1897999999999998E-4</v>
      </c>
      <c r="H41" s="207">
        <f>B41*C41*(B41/(Constants!$C$23*1000000000)*IF(ISBLANK(Design!$B$32),Design!$B$31,Design!$B$32)*1000000/2+B41/(Constants!$C$24*1000000000)*IF(ISBLANK(Design!$B$32),Design!$B$31,Design!$B$32)*1000000/2)</f>
        <v>2.2566666232638883E-2</v>
      </c>
      <c r="I41" s="207">
        <f t="shared" ca="1" si="1"/>
        <v>3.9172818879084077</v>
      </c>
      <c r="J41" s="207">
        <f>Constants!$D$22/1000000000*Constants!$C$21*IF(ISBLANK(Design!$B$32),Design!$B$31,Design!$B$32)*1000000</f>
        <v>1.2499999999999999E-2</v>
      </c>
      <c r="K41" s="207">
        <f t="shared" ca="1" si="3"/>
        <v>3.9524675341410469</v>
      </c>
      <c r="L41" s="207">
        <f t="shared" ca="1" si="4"/>
        <v>7.5806331839897101E-2</v>
      </c>
      <c r="M41" s="208">
        <f ca="1">A41+L41*Design!$B$19</f>
        <v>89.320960914874135</v>
      </c>
      <c r="N41" s="208">
        <f ca="1">K41*Design!$C$12+A41</f>
        <v>219.38389616079559</v>
      </c>
      <c r="O41" s="208">
        <f ca="1">Constants!$D$19+Constants!$D$19*Constants!$C$20/100*(N41-25)</f>
        <v>336.60854031436372</v>
      </c>
      <c r="P41" s="207">
        <f ca="1">(1-Constants!$C$17/1000000000*Design!$B$32*1000000) * ($B41+D41-C41*O41/1000) - (D41+C41*(1+($A41-25)*Constants!$C$29/100)*IF(ISBLANK(Design!$B$40),Constants!$C$6/1000,Design!$B$40/1000))</f>
        <v>1.912361651500484</v>
      </c>
      <c r="Q41" s="213">
        <f ca="1">IF(P41&gt;Design!$C$28,Design!$C$28,P41)</f>
        <v>1.912361651500484</v>
      </c>
      <c r="R41" s="335">
        <f t="shared" si="11"/>
        <v>2.3333333333333335</v>
      </c>
      <c r="S41" s="158">
        <f ca="1">FORECAST(R41, OFFSET(Design!$C$15:$C$17,MATCH(R41,Design!$B$15:$B$17,1)-1,0,2), OFFSET(Design!$B$15:$B$17,MATCH(R41,Design!$B$15:$B$17,1)-1,0,2))+(AB41-25)*Design!$B$18/1000</f>
        <v>0.40563585489825993</v>
      </c>
      <c r="T41" s="224">
        <f ca="1">IF(100*(Design!$C$28+S41+R41*IF(ISBLANK(Design!$B$40),Constants!$C$6,Design!$B$40)/1000*(1+Constants!$C$29/100*(AC41-25)))/($B41+S41-R41*AD41/1000)&gt;Design!$C$35,Design!$C$35,100*(Design!$C$28+S41+R41*IF(ISBLANK(Design!$B$40),Constants!$C$6,Design!$B$40)/1000*(1+Constants!$C$29/100*(AC41-25)))/($B41+S41-R41*AD41/1000))</f>
        <v>95</v>
      </c>
      <c r="U41" s="159">
        <f ca="1">IF(($B41-R41*IF(ISBLANK(Design!$B$40),Constants!$C$6,Design!$B$40)/1000*(1+Constants!$C$29/100*(AC41-25))-Design!$C$28)/(IF(ISBLANK(Design!$B$39),Design!$B$38,Design!$B$39)/1000000)*T41/100/(IF(ISBLANK(Design!$B$32),Design!$B$31,Design!$B$32)*1000000)&lt;0, 0, ($B41-R41*IF(ISBLANK(Design!$B$40),Constants!$C$6,Design!$B$40)/1000*(1+Constants!$C$29/100*(AC41-25))-Design!$C$28)/(IF(ISBLANK(Design!$B$39),Design!$B$38,Design!$B$39)/1000000)*T41/100/(IF(ISBLANK(Design!$B$32),Design!$B$31,Design!$B$32)*1000000))</f>
        <v>0</v>
      </c>
      <c r="V41" s="159">
        <f>$B41*Constants!$C$18/1000+IF(ISBLANK(Design!$B$32),Design!$B$31,Design!$B$32)*1000000*Constants!$D$22/1000000000*(IF($B41&lt;Constants!$C$21,0,$B41-Constants!$C$21))</f>
        <v>1.1897999999999998E-4</v>
      </c>
      <c r="W41" s="225">
        <f>B41*R41*(B41/(Constants!$C$23*1000000000)*IF(ISBLANK(Design!$B$32),Design!$B$31,Design!$B$32)*1000000/2+B41/(Constants!$C$24*1000000000)*IF(ISBLANK(Design!$B$32),Design!$B$31,Design!$B$32)*1000000/2)</f>
        <v>1.504444415509259E-2</v>
      </c>
      <c r="X41" s="225">
        <f t="shared" ca="1" si="5"/>
        <v>1.2974629315362944</v>
      </c>
      <c r="Y41" s="225">
        <f>Constants!$D$22/1000000000*Constants!$C$21*IF(ISBLANK(Design!$B$32),Design!$B$31,Design!$B$32)*1000000</f>
        <v>1.2499999999999999E-2</v>
      </c>
      <c r="Z41" s="225">
        <f t="shared" ca="1" si="6"/>
        <v>1.325126355691387</v>
      </c>
      <c r="AA41" s="225">
        <f t="shared" ca="1" si="7"/>
        <v>4.7324183071463702E-2</v>
      </c>
      <c r="AB41" s="226">
        <f ca="1">$A41+AA41*Design!$B$19</f>
        <v>87.697478435073435</v>
      </c>
      <c r="AC41" s="226">
        <f ca="1">Z41*Design!$C$12+A41</f>
        <v>130.05429609350716</v>
      </c>
      <c r="AD41" s="226">
        <f ca="1">Constants!$D$19+Constants!$D$19*Constants!$C$20/100*(AC41-25)</f>
        <v>250.85212424976686</v>
      </c>
      <c r="AE41" s="225">
        <f ca="1">(1-Constants!$C$17/1000000000*Design!$B$32*1000000) * ($B41+S41-R41*AD41/1000) - (S41+R41*(1+($A41-25)*Constants!$C$29/100)*IF(ISBLANK(Design!$B$40),Constants!$C$6/1000,Design!$B$40/1000))</f>
        <v>2.5057419985014366</v>
      </c>
      <c r="AF41" s="339">
        <f ca="1">IF(AE41&gt;Design!$C$28,Design!$C$28,AE41)</f>
        <v>2.5057419985014366</v>
      </c>
      <c r="AG41" s="237">
        <f t="shared" si="12"/>
        <v>1.1666666666666667</v>
      </c>
      <c r="AH41" s="160">
        <f ca="1">FORECAST(AG41, OFFSET(Design!$C$15:$C$17,MATCH(AG41,Design!$B$15:$B$17,1)-1,0,2), OFFSET(Design!$B$15:$B$17,MATCH(AG41,Design!$B$15:$B$17,1)-1,0,2))+(AQ41-25)*Design!$B$18/1000</f>
        <v>0.33407438784559856</v>
      </c>
      <c r="AI41" s="238">
        <f ca="1">IF(100*(Design!$C$28+AH41+AG41*IF(ISBLANK(Design!$B$40),Constants!$C$6,Design!$B$40)/1000*(1+Constants!$C$29/100*(AR41-25)))/($B41+AH41-AG41*AS41/1000)&gt;Design!$C$35,Design!$C$35,100*(Design!$C$28+AH41+AG41*IF(ISBLANK(Design!$B$40),Constants!$C$6,Design!$B$40)/1000*(1+Constants!$C$29/100*(AR41-25)))/($B41+AH41-AG41*AS41/1000))</f>
        <v>95</v>
      </c>
      <c r="AJ41" s="161">
        <f ca="1">IF(($B41-AG41*IF(ISBLANK(Design!$B$40),Constants!$C$6,Design!$B$40)/1000*(1+Constants!$C$29/100*(AR41-25))-Design!$C$28)/(IF(ISBLANK(Design!$B$39),Design!$B$38,Design!$B$39)/1000000)*AI41/100/(IF(ISBLANK(Design!$B$32),Design!$B$31,Design!$B$32)*1000000)&lt;0,0,($B41-AG41*IF(ISBLANK(Design!$B$40),Constants!$C$6,Design!$B$40)/1000*(1+Constants!$C$29/100*(AR41-25))-Design!$C$28)/(IF(ISBLANK(Design!$B$39),Design!$B$38,Design!$B$39)/1000000)*AI41/100/(IF(ISBLANK(Design!$B$32),Design!$B$31,Design!$B$32)*1000000))</f>
        <v>0</v>
      </c>
      <c r="AK41" s="161">
        <f>$B41*Constants!$C$18/1000+IF(ISBLANK(Design!$B$32),Design!$B$31,Design!$B$32)*1000000*Constants!$D$22/1000000000*(IF($B41&lt;Constants!$C$21,0,$B41-Constants!$C$21))</f>
        <v>1.1897999999999998E-4</v>
      </c>
      <c r="AL41" s="239">
        <f>$B41*AG41*($B41/(Constants!$C$23*1000000000)*IF(ISBLANK(Design!$B$32),Design!$B$31,Design!$B$32)*1000000/2+$B41/(Constants!$C$24*1000000000)*IF(ISBLANK(Design!$B$32),Design!$B$31,Design!$B$32)*1000000/2)</f>
        <v>7.5222220775462952E-3</v>
      </c>
      <c r="AM41" s="239">
        <f t="shared" ca="1" si="2"/>
        <v>0.28115462410949976</v>
      </c>
      <c r="AN41" s="239">
        <f>Constants!$D$22/1000000000*Constants!$C$21*IF(ISBLANK(Design!$B$32),Design!$B$31,Design!$B$32)*1000000</f>
        <v>1.2499999999999999E-2</v>
      </c>
      <c r="AO41" s="239">
        <f t="shared" ca="1" si="13"/>
        <v>0.30129582618704609</v>
      </c>
      <c r="AP41" s="239">
        <f t="shared" ca="1" si="9"/>
        <v>1.9487672624326602E-2</v>
      </c>
      <c r="AQ41" s="240">
        <f ca="1">$A41+AP41*Design!$B$19</f>
        <v>86.110797339586611</v>
      </c>
      <c r="AR41" s="240">
        <f ca="1">AO41*Design!$C$12+$A41</f>
        <v>95.244058090359573</v>
      </c>
      <c r="AS41" s="240">
        <f ca="1">Constants!$D$19+Constants!$D$19*Constants!$C$20/100*(AR41-25)</f>
        <v>217.43429576674521</v>
      </c>
      <c r="AT41" s="239">
        <f ca="1">(1-Constants!$C$17/1000000000*Design!$B$32*1000000) * ($B41+AH41-AG41*AS41/1000) - (AH41+AG41*(1+($A41-25)*Constants!$C$29/100)*IF(ISBLANK(Design!$B$40),Constants!$C$6/1000,Design!$B$40/1000))</f>
        <v>2.8532212694662435</v>
      </c>
      <c r="AU41" s="342">
        <f ca="1">IF(AT41&gt;Design!$C$28,Design!$C$28,AT41)</f>
        <v>2.8532212694662435</v>
      </c>
    </row>
    <row r="42" spans="1:47" s="162" customFormat="1" ht="12.75" customHeight="1" x14ac:dyDescent="0.2">
      <c r="A42" s="154">
        <f>Design!$D$13</f>
        <v>85</v>
      </c>
      <c r="B42" s="155">
        <f t="shared" si="0"/>
        <v>3.07</v>
      </c>
      <c r="C42" s="156">
        <f t="shared" si="10"/>
        <v>3.5</v>
      </c>
      <c r="D42" s="156">
        <f ca="1">FORECAST(C42, OFFSET(Design!$C$15:$C$17,MATCH(C42,Design!$B$15:$B$17,1)-1,0,2), OFFSET(Design!$B$15:$B$17,MATCH(C42,Design!$B$15:$B$17,1)-1,0,2))+(M42-25)*Design!$B$18/1000</f>
        <v>0.43317903908512589</v>
      </c>
      <c r="E42" s="215">
        <f ca="1">IF(100*(Design!$C$28+D42+C42*IF(ISBLANK(Design!$B$40),Constants!$C$6,Design!$B$40)/1000*(1+Constants!$C$29/100*(N42-25)))/($B42+D42-C42*O42/1000)&gt;Design!$C$35,Design!$C$35,100*(Design!$C$28+D42+C42*IF(ISBLANK(Design!$B$40),Constants!$C$6,Design!$B$40)/1000*(1+Constants!$C$29/100*(N42-25)))/($B42+D42-C42*O42/1000))</f>
        <v>95</v>
      </c>
      <c r="F42" s="157">
        <f ca="1">IF(($B42-C42*IF(ISBLANK(Design!$B$40),Constants!$C$6,Design!$B$40)/1000*(1+Constants!$C$29/100*(N42-25))-Design!$C$28)/(IF(ISBLANK(Design!$B$39),Design!$B$38,Design!$B$39)/1000000)*E42/100/(IF(ISBLANK(Design!$B$32),Design!$B$31,Design!$B$32)*1000000)&lt;0, 0, ($B42-C42*IF(ISBLANK(Design!$B$40),Constants!$C$6,Design!$B$40)/1000*(1+Constants!$C$29/100*(N42-25))-Design!$C$28)/(IF(ISBLANK(Design!$B$39),Design!$B$38,Design!$B$39)/1000000)*E42/100/(IF(ISBLANK(Design!$B$32),Design!$B$31,Design!$B$32)*1000000))</f>
        <v>0</v>
      </c>
      <c r="G42" s="207">
        <f>$B42*Constants!$C$18/1000+IF(ISBLANK(Design!$B$32),Design!$B$31,Design!$B$32)*1000000*Constants!$D$22/1000000000*(IF($B42&lt;Constants!$C$21,0,$B42-Constants!$C$21))</f>
        <v>1.1051999999999998E-4</v>
      </c>
      <c r="H42" s="207">
        <f>B42*C42*(B42/(Constants!$C$23*1000000000)*IF(ISBLANK(Design!$B$32),Design!$B$31,Design!$B$32)*1000000/2+B42/(Constants!$C$24*1000000000)*IF(ISBLANK(Design!$B$32),Design!$B$31,Design!$B$32)*1000000/2)</f>
        <v>1.9471581597222218E-2</v>
      </c>
      <c r="I42" s="207">
        <f t="shared" ca="1" si="1"/>
        <v>3.915380942297213</v>
      </c>
      <c r="J42" s="207">
        <f>Constants!$D$22/1000000000*Constants!$C$21*IF(ISBLANK(Design!$B$32),Design!$B$31,Design!$B$32)*1000000</f>
        <v>1.2499999999999999E-2</v>
      </c>
      <c r="K42" s="207">
        <f t="shared" ca="1" si="3"/>
        <v>3.9474630438944356</v>
      </c>
      <c r="L42" s="207">
        <f t="shared" ca="1" si="4"/>
        <v>7.5806331839897101E-2</v>
      </c>
      <c r="M42" s="208">
        <f ca="1">A42+L42*Design!$B$19</f>
        <v>89.320960914874135</v>
      </c>
      <c r="N42" s="208">
        <f ca="1">K42*Design!$C$12+A42</f>
        <v>219.2137434924108</v>
      </c>
      <c r="O42" s="208">
        <f ca="1">Constants!$D$19+Constants!$D$19*Constants!$C$20/100*(N42-25)</f>
        <v>336.44519375271437</v>
      </c>
      <c r="P42" s="207">
        <f ca="1">(1-Constants!$C$17/1000000000*Design!$B$32*1000000) * ($B42+D42-C42*O42/1000) - (D42+C42*(1+($A42-25)*Constants!$C$29/100)*IF(ISBLANK(Design!$B$40),Constants!$C$6/1000,Design!$B$40/1000))</f>
        <v>1.6896547788179683</v>
      </c>
      <c r="Q42" s="328">
        <f ca="1">IF(P42&gt;Design!$C$28,Design!$C$28,P42)</f>
        <v>1.6896547788179683</v>
      </c>
      <c r="R42" s="335">
        <f t="shared" si="11"/>
        <v>2.3333333333333335</v>
      </c>
      <c r="S42" s="158">
        <f ca="1">FORECAST(R42, OFFSET(Design!$C$15:$C$17,MATCH(R42,Design!$B$15:$B$17,1)-1,0,2), OFFSET(Design!$B$15:$B$17,MATCH(R42,Design!$B$15:$B$17,1)-1,0,2))+(AB42-25)*Design!$B$18/1000</f>
        <v>0.40563585489825993</v>
      </c>
      <c r="T42" s="224">
        <f ca="1">IF(100*(Design!$C$28+S42+R42*IF(ISBLANK(Design!$B$40),Constants!$C$6,Design!$B$40)/1000*(1+Constants!$C$29/100*(AC42-25)))/($B42+S42-R42*AD42/1000)&gt;Design!$C$35,Design!$C$35,100*(Design!$C$28+S42+R42*IF(ISBLANK(Design!$B$40),Constants!$C$6,Design!$B$40)/1000*(1+Constants!$C$29/100*(AC42-25)))/($B42+S42-R42*AD42/1000))</f>
        <v>95</v>
      </c>
      <c r="U42" s="159">
        <f ca="1">IF(($B42-R42*IF(ISBLANK(Design!$B$40),Constants!$C$6,Design!$B$40)/1000*(1+Constants!$C$29/100*(AC42-25))-Design!$C$28)/(IF(ISBLANK(Design!$B$39),Design!$B$38,Design!$B$39)/1000000)*T42/100/(IF(ISBLANK(Design!$B$32),Design!$B$31,Design!$B$32)*1000000)&lt;0, 0, ($B42-R42*IF(ISBLANK(Design!$B$40),Constants!$C$6,Design!$B$40)/1000*(1+Constants!$C$29/100*(AC42-25))-Design!$C$28)/(IF(ISBLANK(Design!$B$39),Design!$B$38,Design!$B$39)/1000000)*T42/100/(IF(ISBLANK(Design!$B$32),Design!$B$31,Design!$B$32)*1000000))</f>
        <v>0</v>
      </c>
      <c r="V42" s="159">
        <f>$B42*Constants!$C$18/1000+IF(ISBLANK(Design!$B$32),Design!$B$31,Design!$B$32)*1000000*Constants!$D$22/1000000000*(IF($B42&lt;Constants!$C$21,0,$B42-Constants!$C$21))</f>
        <v>1.1051999999999998E-4</v>
      </c>
      <c r="W42" s="225">
        <f>B42*R42*(B42/(Constants!$C$23*1000000000)*IF(ISBLANK(Design!$B$32),Design!$B$31,Design!$B$32)*1000000/2+B42/(Constants!$C$24*1000000000)*IF(ISBLANK(Design!$B$32),Design!$B$31,Design!$B$32)*1000000/2)</f>
        <v>1.2981054398148147E-2</v>
      </c>
      <c r="X42" s="225">
        <f t="shared" ca="1" si="5"/>
        <v>1.2970421165509478</v>
      </c>
      <c r="Y42" s="225">
        <f>Constants!$D$22/1000000000*Constants!$C$21*IF(ISBLANK(Design!$B$32),Design!$B$31,Design!$B$32)*1000000</f>
        <v>1.2499999999999999E-2</v>
      </c>
      <c r="Z42" s="225">
        <f t="shared" ca="1" si="6"/>
        <v>1.3226336909490959</v>
      </c>
      <c r="AA42" s="225">
        <f t="shared" ca="1" si="7"/>
        <v>4.7324183071463702E-2</v>
      </c>
      <c r="AB42" s="226">
        <f ca="1">$A42+AA42*Design!$B$19</f>
        <v>87.697478435073435</v>
      </c>
      <c r="AC42" s="226">
        <f ca="1">Z42*Design!$C$12+A42</f>
        <v>129.96954549226928</v>
      </c>
      <c r="AD42" s="226">
        <f ca="1">Constants!$D$19+Constants!$D$19*Constants!$C$20/100*(AC42-25)</f>
        <v>250.77076367257848</v>
      </c>
      <c r="AE42" s="225">
        <f ca="1">(1-Constants!$C$17/1000000000*Design!$B$32*1000000) * ($B42+S42-R42*AD42/1000) - (S42+R42*(1+($A42-25)*Constants!$C$29/100)*IF(ISBLANK(Design!$B$40),Constants!$C$6/1000,Design!$B$40/1000))</f>
        <v>2.282672347780871</v>
      </c>
      <c r="AF42" s="339">
        <f ca="1">IF(AE42&gt;Design!$C$28,Design!$C$28,AE42)</f>
        <v>2.282672347780871</v>
      </c>
      <c r="AG42" s="237">
        <f t="shared" si="12"/>
        <v>1.1666666666666667</v>
      </c>
      <c r="AH42" s="160">
        <f ca="1">FORECAST(AG42, OFFSET(Design!$C$15:$C$17,MATCH(AG42,Design!$B$15:$B$17,1)-1,0,2), OFFSET(Design!$B$15:$B$17,MATCH(AG42,Design!$B$15:$B$17,1)-1,0,2))+(AQ42-25)*Design!$B$18/1000</f>
        <v>0.33407438784559856</v>
      </c>
      <c r="AI42" s="238">
        <f ca="1">IF(100*(Design!$C$28+AH42+AG42*IF(ISBLANK(Design!$B$40),Constants!$C$6,Design!$B$40)/1000*(1+Constants!$C$29/100*(AR42-25)))/($B42+AH42-AG42*AS42/1000)&gt;Design!$C$35,Design!$C$35,100*(Design!$C$28+AH42+AG42*IF(ISBLANK(Design!$B$40),Constants!$C$6,Design!$B$40)/1000*(1+Constants!$C$29/100*(AR42-25)))/($B42+AH42-AG42*AS42/1000))</f>
        <v>95</v>
      </c>
      <c r="AJ42" s="161">
        <f ca="1">IF(($B42-AG42*IF(ISBLANK(Design!$B$40),Constants!$C$6,Design!$B$40)/1000*(1+Constants!$C$29/100*(AR42-25))-Design!$C$28)/(IF(ISBLANK(Design!$B$39),Design!$B$38,Design!$B$39)/1000000)*AI42/100/(IF(ISBLANK(Design!$B$32),Design!$B$31,Design!$B$32)*1000000)&lt;0,0,($B42-AG42*IF(ISBLANK(Design!$B$40),Constants!$C$6,Design!$B$40)/1000*(1+Constants!$C$29/100*(AR42-25))-Design!$C$28)/(IF(ISBLANK(Design!$B$39),Design!$B$38,Design!$B$39)/1000000)*AI42/100/(IF(ISBLANK(Design!$B$32),Design!$B$31,Design!$B$32)*1000000))</f>
        <v>0</v>
      </c>
      <c r="AK42" s="161">
        <f>$B42*Constants!$C$18/1000+IF(ISBLANK(Design!$B$32),Design!$B$31,Design!$B$32)*1000000*Constants!$D$22/1000000000*(IF($B42&lt;Constants!$C$21,0,$B42-Constants!$C$21))</f>
        <v>1.1051999999999998E-4</v>
      </c>
      <c r="AL42" s="239">
        <f>$B42*AG42*($B42/(Constants!$C$23*1000000000)*IF(ISBLANK(Design!$B$32),Design!$B$31,Design!$B$32)*1000000/2+$B42/(Constants!$C$24*1000000000)*IF(ISBLANK(Design!$B$32),Design!$B$31,Design!$B$32)*1000000/2)</f>
        <v>6.4905271990740735E-3</v>
      </c>
      <c r="AM42" s="239">
        <f t="shared" ca="1" si="2"/>
        <v>0.28110878956385854</v>
      </c>
      <c r="AN42" s="239">
        <f>Constants!$D$22/1000000000*Constants!$C$21*IF(ISBLANK(Design!$B$32),Design!$B$31,Design!$B$32)*1000000</f>
        <v>1.2499999999999999E-2</v>
      </c>
      <c r="AO42" s="239">
        <f t="shared" ca="1" si="13"/>
        <v>0.30020983676293261</v>
      </c>
      <c r="AP42" s="239">
        <f t="shared" ca="1" si="9"/>
        <v>1.9487672624326602E-2</v>
      </c>
      <c r="AQ42" s="240">
        <f ca="1">$A42+AP42*Design!$B$19</f>
        <v>86.110797339586611</v>
      </c>
      <c r="AR42" s="240">
        <f ca="1">AO42*Design!$C$12+$A42</f>
        <v>95.207134449939701</v>
      </c>
      <c r="AS42" s="240">
        <f ca="1">Constants!$D$19+Constants!$D$19*Constants!$C$20/100*(AR42-25)</f>
        <v>217.3988490719421</v>
      </c>
      <c r="AT42" s="239">
        <f ca="1">(1-Constants!$C$17/1000000000*Design!$B$32*1000000) * ($B42+AH42-AG42*AS42/1000) - (AH42+AG42*(1+($A42-25)*Constants!$C$29/100)*IF(ISBLANK(Design!$B$40),Constants!$C$6/1000,Design!$B$40/1000))</f>
        <v>2.6300105562196503</v>
      </c>
      <c r="AU42" s="342">
        <f ca="1">IF(AT42&gt;Design!$C$28,Design!$C$28,AT42)</f>
        <v>2.6300105562196503</v>
      </c>
    </row>
    <row r="43" spans="1:47" s="162" customFormat="1" ht="12.75" customHeight="1" x14ac:dyDescent="0.2">
      <c r="A43" s="154">
        <f>Design!$D$13</f>
        <v>85</v>
      </c>
      <c r="B43" s="155">
        <f t="shared" si="0"/>
        <v>2.835</v>
      </c>
      <c r="C43" s="156">
        <f t="shared" si="10"/>
        <v>3.5</v>
      </c>
      <c r="D43" s="156">
        <f ca="1">FORECAST(C43, OFFSET(Design!$C$15:$C$17,MATCH(C43,Design!$B$15:$B$17,1)-1,0,2), OFFSET(Design!$B$15:$B$17,MATCH(C43,Design!$B$15:$B$17,1)-1,0,2))+(M43-25)*Design!$B$18/1000</f>
        <v>0.43317903908512589</v>
      </c>
      <c r="E43" s="215">
        <f ca="1">IF(100*(Design!$C$28+D43+C43*IF(ISBLANK(Design!$B$40),Constants!$C$6,Design!$B$40)/1000*(1+Constants!$C$29/100*(N43-25)))/($B43+D43-C43*O43/1000)&gt;Design!$C$35,Design!$C$35,100*(Design!$C$28+D43+C43*IF(ISBLANK(Design!$B$40),Constants!$C$6,Design!$B$40)/1000*(1+Constants!$C$29/100*(N43-25)))/($B43+D43-C43*O43/1000))</f>
        <v>95</v>
      </c>
      <c r="F43" s="157">
        <f ca="1">IF(($B43-C43*IF(ISBLANK(Design!$B$40),Constants!$C$6,Design!$B$40)/1000*(1+Constants!$C$29/100*(N43-25))-Design!$C$28)/(IF(ISBLANK(Design!$B$39),Design!$B$38,Design!$B$39)/1000000)*E43/100/(IF(ISBLANK(Design!$B$32),Design!$B$31,Design!$B$32)*1000000)&lt;0, 0, ($B43-C43*IF(ISBLANK(Design!$B$40),Constants!$C$6,Design!$B$40)/1000*(1+Constants!$C$29/100*(N43-25))-Design!$C$28)/(IF(ISBLANK(Design!$B$39),Design!$B$38,Design!$B$39)/1000000)*E43/100/(IF(ISBLANK(Design!$B$32),Design!$B$31,Design!$B$32)*1000000))</f>
        <v>0</v>
      </c>
      <c r="G43" s="207">
        <f>$B43*Constants!$C$18/1000+IF(ISBLANK(Design!$B$32),Design!$B$31,Design!$B$32)*1000000*Constants!$D$22/1000000000*(IF($B43&lt;Constants!$C$21,0,$B43-Constants!$C$21))</f>
        <v>1.0206E-4</v>
      </c>
      <c r="H43" s="207">
        <f>B43*C43*(B43/(Constants!$C$23*1000000000)*IF(ISBLANK(Design!$B$32),Design!$B$31,Design!$B$32)*1000000/2+B43/(Constants!$C$24*1000000000)*IF(ISBLANK(Design!$B$32),Design!$B$31,Design!$B$32)*1000000/2)</f>
        <v>1.6604683593749999E-2</v>
      </c>
      <c r="I43" s="207">
        <f t="shared" ca="1" si="1"/>
        <v>3.9136197628010518</v>
      </c>
      <c r="J43" s="207">
        <f>Constants!$D$22/1000000000*Constants!$C$21*IF(ISBLANK(Design!$B$32),Design!$B$31,Design!$B$32)*1000000</f>
        <v>1.2499999999999999E-2</v>
      </c>
      <c r="K43" s="207">
        <f t="shared" ca="1" si="3"/>
        <v>3.9428265063948018</v>
      </c>
      <c r="L43" s="207">
        <f t="shared" ca="1" si="4"/>
        <v>7.5806331839897101E-2</v>
      </c>
      <c r="M43" s="208">
        <f ca="1">A43+L43*Design!$B$19</f>
        <v>89.320960914874135</v>
      </c>
      <c r="N43" s="208">
        <f ca="1">K43*Design!$C$12+A43</f>
        <v>219.05610121742325</v>
      </c>
      <c r="O43" s="208">
        <f ca="1">Constants!$D$19+Constants!$D$19*Constants!$C$20/100*(N43-25)</f>
        <v>336.29385716872628</v>
      </c>
      <c r="P43" s="207">
        <f ca="1">(1-Constants!$C$17/1000000000*Design!$B$32*1000000) * ($B43+D43-C43*O43/1000) - (D43+C43*(1+($A43-25)*Constants!$C$29/100)*IF(ISBLANK(Design!$B$40),Constants!$C$6/1000,Design!$B$40/1000))</f>
        <v>1.4669079729597287</v>
      </c>
      <c r="Q43" s="328">
        <f ca="1">IF(P43&gt;Design!$C$28,Design!$C$28,P43)</f>
        <v>1.4669079729597287</v>
      </c>
      <c r="R43" s="335">
        <f t="shared" si="11"/>
        <v>2.3333333333333335</v>
      </c>
      <c r="S43" s="158">
        <f ca="1">FORECAST(R43, OFFSET(Design!$C$15:$C$17,MATCH(R43,Design!$B$15:$B$17,1)-1,0,2), OFFSET(Design!$B$15:$B$17,MATCH(R43,Design!$B$15:$B$17,1)-1,0,2))+(AB43-25)*Design!$B$18/1000</f>
        <v>0.40563585489825993</v>
      </c>
      <c r="T43" s="224">
        <f ca="1">IF(100*(Design!$C$28+S43+R43*IF(ISBLANK(Design!$B$40),Constants!$C$6,Design!$B$40)/1000*(1+Constants!$C$29/100*(AC43-25)))/($B43+S43-R43*AD43/1000)&gt;Design!$C$35,Design!$C$35,100*(Design!$C$28+S43+R43*IF(ISBLANK(Design!$B$40),Constants!$C$6,Design!$B$40)/1000*(1+Constants!$C$29/100*(AC43-25)))/($B43+S43-R43*AD43/1000))</f>
        <v>95</v>
      </c>
      <c r="U43" s="159">
        <f ca="1">IF(($B43-R43*IF(ISBLANK(Design!$B$40),Constants!$C$6,Design!$B$40)/1000*(1+Constants!$C$29/100*(AC43-25))-Design!$C$28)/(IF(ISBLANK(Design!$B$39),Design!$B$38,Design!$B$39)/1000000)*T43/100/(IF(ISBLANK(Design!$B$32),Design!$B$31,Design!$B$32)*1000000)&lt;0, 0, ($B43-R43*IF(ISBLANK(Design!$B$40),Constants!$C$6,Design!$B$40)/1000*(1+Constants!$C$29/100*(AC43-25))-Design!$C$28)/(IF(ISBLANK(Design!$B$39),Design!$B$38,Design!$B$39)/1000000)*T43/100/(IF(ISBLANK(Design!$B$32),Design!$B$31,Design!$B$32)*1000000))</f>
        <v>0</v>
      </c>
      <c r="V43" s="159">
        <f>$B43*Constants!$C$18/1000+IF(ISBLANK(Design!$B$32),Design!$B$31,Design!$B$32)*1000000*Constants!$D$22/1000000000*(IF($B43&lt;Constants!$C$21,0,$B43-Constants!$C$21))</f>
        <v>1.0206E-4</v>
      </c>
      <c r="W43" s="225">
        <f>B43*R43*(B43/(Constants!$C$23*1000000000)*IF(ISBLANK(Design!$B$32),Design!$B$31,Design!$B$32)*1000000/2+B43/(Constants!$C$24*1000000000)*IF(ISBLANK(Design!$B$32),Design!$B$31,Design!$B$32)*1000000/2)</f>
        <v>1.10697890625E-2</v>
      </c>
      <c r="X43" s="225">
        <f t="shared" ca="1" si="5"/>
        <v>1.2966521996729106</v>
      </c>
      <c r="Y43" s="225">
        <f>Constants!$D$22/1000000000*Constants!$C$21*IF(ISBLANK(Design!$B$32),Design!$B$31,Design!$B$32)*1000000</f>
        <v>1.2499999999999999E-2</v>
      </c>
      <c r="Z43" s="225">
        <f t="shared" ca="1" si="6"/>
        <v>1.3203240487354104</v>
      </c>
      <c r="AA43" s="225">
        <f t="shared" ca="1" si="7"/>
        <v>4.7324183071463702E-2</v>
      </c>
      <c r="AB43" s="226">
        <f ca="1">$A43+AA43*Design!$B$19</f>
        <v>87.697478435073435</v>
      </c>
      <c r="AC43" s="226">
        <f ca="1">Z43*Design!$C$12+A43</f>
        <v>129.89101765700394</v>
      </c>
      <c r="AD43" s="226">
        <f ca="1">Constants!$D$19+Constants!$D$19*Constants!$C$20/100*(AC43-25)</f>
        <v>250.69537695072378</v>
      </c>
      <c r="AE43" s="225">
        <f ca="1">(1-Constants!$C$17/1000000000*Design!$B$32*1000000) * ($B43+S43-R43*AD43/1000) - (S43+R43*(1+($A43-25)*Constants!$C$29/100)*IF(ISBLANK(Design!$B$40),Constants!$C$6/1000,Design!$B$40/1000))</f>
        <v>2.0595894550143155</v>
      </c>
      <c r="AF43" s="339">
        <f ca="1">IF(AE43&gt;Design!$C$28,Design!$C$28,AE43)</f>
        <v>2.0595894550143155</v>
      </c>
      <c r="AG43" s="237">
        <f t="shared" si="12"/>
        <v>1.1666666666666667</v>
      </c>
      <c r="AH43" s="160">
        <f ca="1">FORECAST(AG43, OFFSET(Design!$C$15:$C$17,MATCH(AG43,Design!$B$15:$B$17,1)-1,0,2), OFFSET(Design!$B$15:$B$17,MATCH(AG43,Design!$B$15:$B$17,1)-1,0,2))+(AQ43-25)*Design!$B$18/1000</f>
        <v>0.33407438784559856</v>
      </c>
      <c r="AI43" s="238">
        <f ca="1">IF(100*(Design!$C$28+AH43+AG43*IF(ISBLANK(Design!$B$40),Constants!$C$6,Design!$B$40)/1000*(1+Constants!$C$29/100*(AR43-25)))/($B43+AH43-AG43*AS43/1000)&gt;Design!$C$35,Design!$C$35,100*(Design!$C$28+AH43+AG43*IF(ISBLANK(Design!$B$40),Constants!$C$6,Design!$B$40)/1000*(1+Constants!$C$29/100*(AR43-25)))/($B43+AH43-AG43*AS43/1000))</f>
        <v>95</v>
      </c>
      <c r="AJ43" s="161">
        <f ca="1">IF(($B43-AG43*IF(ISBLANK(Design!$B$40),Constants!$C$6,Design!$B$40)/1000*(1+Constants!$C$29/100*(AR43-25))-Design!$C$28)/(IF(ISBLANK(Design!$B$39),Design!$B$38,Design!$B$39)/1000000)*AI43/100/(IF(ISBLANK(Design!$B$32),Design!$B$31,Design!$B$32)*1000000)&lt;0,0,($B43-AG43*IF(ISBLANK(Design!$B$40),Constants!$C$6,Design!$B$40)/1000*(1+Constants!$C$29/100*(AR43-25))-Design!$C$28)/(IF(ISBLANK(Design!$B$39),Design!$B$38,Design!$B$39)/1000000)*AI43/100/(IF(ISBLANK(Design!$B$32),Design!$B$31,Design!$B$32)*1000000))</f>
        <v>0</v>
      </c>
      <c r="AK43" s="161">
        <f>$B43*Constants!$C$18/1000+IF(ISBLANK(Design!$B$32),Design!$B$31,Design!$B$32)*1000000*Constants!$D$22/1000000000*(IF($B43&lt;Constants!$C$21,0,$B43-Constants!$C$21))</f>
        <v>1.0206E-4</v>
      </c>
      <c r="AL43" s="239">
        <f>$B43*AG43*($B43/(Constants!$C$23*1000000000)*IF(ISBLANK(Design!$B$32),Design!$B$31,Design!$B$32)*1000000/2+$B43/(Constants!$C$24*1000000000)*IF(ISBLANK(Design!$B$32),Design!$B$31,Design!$B$32)*1000000/2)</f>
        <v>5.53489453125E-3</v>
      </c>
      <c r="AM43" s="239">
        <f t="shared" ca="1" si="2"/>
        <v>0.28106630670837207</v>
      </c>
      <c r="AN43" s="239">
        <f>Constants!$D$22/1000000000*Constants!$C$21*IF(ISBLANK(Design!$B$32),Design!$B$31,Design!$B$32)*1000000</f>
        <v>1.2499999999999999E-2</v>
      </c>
      <c r="AO43" s="239">
        <f t="shared" ca="1" si="13"/>
        <v>0.2992032612396221</v>
      </c>
      <c r="AP43" s="239">
        <f t="shared" ca="1" si="9"/>
        <v>1.9487672624326602E-2</v>
      </c>
      <c r="AQ43" s="240">
        <f ca="1">$A43+AP43*Design!$B$19</f>
        <v>86.110797339586611</v>
      </c>
      <c r="AR43" s="240">
        <f ca="1">AO43*Design!$C$12+$A43</f>
        <v>95.17291088214715</v>
      </c>
      <c r="AS43" s="240">
        <f ca="1">Constants!$D$19+Constants!$D$19*Constants!$C$20/100*(AR43-25)</f>
        <v>217.36599444686127</v>
      </c>
      <c r="AT43" s="239">
        <f ca="1">(1-Constants!$C$17/1000000000*Design!$B$32*1000000) * ($B43+AH43-AG43*AS43/1000) - (AH43+AG43*(1+($A43-25)*Constants!$C$29/100)*IF(ISBLANK(Design!$B$40),Constants!$C$6/1000,Design!$B$40/1000))</f>
        <v>2.4067969700957823</v>
      </c>
      <c r="AU43" s="342">
        <f ca="1">IF(AT43&gt;Design!$C$28,Design!$C$28,AT43)</f>
        <v>2.4067969700957823</v>
      </c>
    </row>
    <row r="44" spans="1:47" s="162" customFormat="1" ht="12.75" customHeight="1" thickBot="1" x14ac:dyDescent="0.25">
      <c r="A44" s="163">
        <f>Design!$D$13</f>
        <v>85</v>
      </c>
      <c r="B44" s="164">
        <f>Constants!$C$7</f>
        <v>2.6</v>
      </c>
      <c r="C44" s="156">
        <f t="shared" si="10"/>
        <v>3.5</v>
      </c>
      <c r="D44" s="165">
        <f ca="1">FORECAST(C44, OFFSET(Design!$C$15:$C$17,MATCH(C44,Design!$B$15:$B$17,1)-1,0,2), OFFSET(Design!$B$15:$B$17,MATCH(C44,Design!$B$15:$B$17,1)-1,0,2))+(M44-25)*Design!$B$18/1000</f>
        <v>0.43317903908512589</v>
      </c>
      <c r="E44" s="216">
        <f ca="1">IF(100*(Design!$C$28+D44+C44*IF(ISBLANK(Design!$B$40),Constants!$C$6,Design!$B$40)/1000*(1+Constants!$C$29/100*(N44-25)))/($B44+D44-C44*O44/1000)&gt;Design!$C$35,Design!$C$35,100*(Design!$C$28+D44+C44*IF(ISBLANK(Design!$B$40),Constants!$C$6,Design!$B$40)/1000*(1+Constants!$C$29/100*(N44-25)))/($B44+D44-C44*O44/1000))</f>
        <v>95</v>
      </c>
      <c r="F44" s="166">
        <f ca="1">IF(($B44-C44*IF(ISBLANK(Design!$B$40),Constants!$C$6,Design!$B$40)/1000*(1+Constants!$C$29/100*(N44-25))-Design!$C$28)/(IF(ISBLANK(Design!$B$39),Design!$B$38,Design!$B$39)/1000000)*E44/100/(IF(ISBLANK(Design!$B$32),Design!$B$31,Design!$B$32)*1000000)&lt;0, 0, ($B44-C44*IF(ISBLANK(Design!$B$40),Constants!$C$6,Design!$B$40)/1000*(1+Constants!$C$29/100*(N44-25))-Design!$C$28)/(IF(ISBLANK(Design!$B$39),Design!$B$38,Design!$B$39)/1000000)*E44/100/(IF(ISBLANK(Design!$B$32),Design!$B$31,Design!$B$32)*1000000))</f>
        <v>0</v>
      </c>
      <c r="G44" s="209">
        <f>$B44*Constants!$C$18/1000+IF(ISBLANK(Design!$B$32),Design!$B$31,Design!$B$32)*1000000*Constants!$D$22/1000000000*(IF($B44&lt;Constants!$C$21,0,$B44-Constants!$C$21))</f>
        <v>9.3599999999999998E-5</v>
      </c>
      <c r="H44" s="209">
        <f>B44*C44*(B44/(Constants!$C$23*1000000000)*IF(ISBLANK(Design!$B$32),Design!$B$31,Design!$B$32)*1000000/2+B44/(Constants!$C$24*1000000000)*IF(ISBLANK(Design!$B$32),Design!$B$31,Design!$B$32)*1000000/2)</f>
        <v>1.3965972222222223E-2</v>
      </c>
      <c r="I44" s="209">
        <f t="shared" ca="1" si="1"/>
        <v>3.9119983494199264</v>
      </c>
      <c r="J44" s="209">
        <f>Constants!$D$22/1000000000*Constants!$C$21*IF(ISBLANK(Design!$B$32),Design!$B$31,Design!$B$32)*1000000</f>
        <v>1.2499999999999999E-2</v>
      </c>
      <c r="K44" s="209">
        <f t="shared" ca="1" si="3"/>
        <v>3.9385579216421487</v>
      </c>
      <c r="L44" s="209">
        <f t="shared" ca="1" si="4"/>
        <v>7.5806331839897101E-2</v>
      </c>
      <c r="M44" s="210">
        <f ca="1">A44+L44*Design!$B$19</f>
        <v>89.320960914874135</v>
      </c>
      <c r="N44" s="210">
        <f ca="1">K44*Design!$C$12+A44</f>
        <v>218.91096933583304</v>
      </c>
      <c r="O44" s="210">
        <f ca="1">Constants!$D$19+Constants!$D$19*Constants!$C$20/100*(N44-25)</f>
        <v>336.15453056239971</v>
      </c>
      <c r="P44" s="209">
        <f ca="1">(1-Constants!$C$17/1000000000*Design!$B$32*1000000) * ($B44+D44-C44*O44/1000) - (D44+C44*(1+($A44-25)*Constants!$C$29/100)*IF(ISBLANK(Design!$B$40),Constants!$C$6/1000,Design!$B$40/1000))</f>
        <v>1.2441212339257643</v>
      </c>
      <c r="Q44" s="329">
        <f ca="1">IF(P44&gt;Design!$C$28,Design!$C$28,P44)</f>
        <v>1.2441212339257643</v>
      </c>
      <c r="R44" s="335">
        <f t="shared" si="11"/>
        <v>2.3333333333333335</v>
      </c>
      <c r="S44" s="158">
        <f ca="1">FORECAST(R44, OFFSET(Design!$C$15:$C$17,MATCH(R44,Design!$B$15:$B$17,1)-1,0,2), OFFSET(Design!$B$15:$B$17,MATCH(R44,Design!$B$15:$B$17,1)-1,0,2))+(AB44-25)*Design!$B$18/1000</f>
        <v>0.40563585489825993</v>
      </c>
      <c r="T44" s="224">
        <f ca="1">IF(100*(Design!$C$28+S44+R44*IF(ISBLANK(Design!$B$40),Constants!$C$6,Design!$B$40)/1000*(1+Constants!$C$29/100*(AC44-25)))/($B44+S44-R44*AD44/1000)&gt;Design!$C$35,Design!$C$35,100*(Design!$C$28+S44+R44*IF(ISBLANK(Design!$B$40),Constants!$C$6,Design!$B$40)/1000*(1+Constants!$C$29/100*(AC44-25)))/($B44+S44-R44*AD44/1000))</f>
        <v>95</v>
      </c>
      <c r="U44" s="159">
        <f ca="1">IF(($B44-R44*IF(ISBLANK(Design!$B$40),Constants!$C$6,Design!$B$40)/1000*(1+Constants!$C$29/100*(AC44-25))-Design!$C$28)/(IF(ISBLANK(Design!$B$39),Design!$B$38,Design!$B$39)/1000000)*T44/100/(IF(ISBLANK(Design!$B$32),Design!$B$31,Design!$B$32)*1000000)&lt;0, 0, ($B44-R44*IF(ISBLANK(Design!$B$40),Constants!$C$6,Design!$B$40)/1000*(1+Constants!$C$29/100*(AC44-25))-Design!$C$28)/(IF(ISBLANK(Design!$B$39),Design!$B$38,Design!$B$39)/1000000)*T44/100/(IF(ISBLANK(Design!$B$32),Design!$B$31,Design!$B$32)*1000000))</f>
        <v>0</v>
      </c>
      <c r="V44" s="159">
        <f>$B44*Constants!$C$18/1000+IF(ISBLANK(Design!$B$32),Design!$B$31,Design!$B$32)*1000000*Constants!$D$22/1000000000*(IF($B44&lt;Constants!$C$21,0,$B44-Constants!$C$21))</f>
        <v>9.3599999999999998E-5</v>
      </c>
      <c r="W44" s="225">
        <f>B44*R44*(B44/(Constants!$C$23*1000000000)*IF(ISBLANK(Design!$B$32),Design!$B$31,Design!$B$32)*1000000/2+B44/(Constants!$C$24*1000000000)*IF(ISBLANK(Design!$B$32),Design!$B$31,Design!$B$32)*1000000/2)</f>
        <v>9.3106481481481512E-3</v>
      </c>
      <c r="X44" s="225">
        <f t="shared" ca="1" si="5"/>
        <v>1.2962931809021823</v>
      </c>
      <c r="Y44" s="225">
        <f>Constants!$D$22/1000000000*Constants!$C$21*IF(ISBLANK(Design!$B$32),Design!$B$31,Design!$B$32)*1000000</f>
        <v>1.2499999999999999E-2</v>
      </c>
      <c r="Z44" s="225">
        <f t="shared" ca="1" si="6"/>
        <v>1.3181974290503304</v>
      </c>
      <c r="AA44" s="225">
        <f t="shared" ca="1" si="7"/>
        <v>4.7324183071463702E-2</v>
      </c>
      <c r="AB44" s="226">
        <f ca="1">$A44+AA44*Design!$B$19</f>
        <v>87.697478435073435</v>
      </c>
      <c r="AC44" s="226">
        <f ca="1">Z44*Design!$C$12+A44</f>
        <v>129.81871258771122</v>
      </c>
      <c r="AD44" s="226">
        <f ca="1">Constants!$D$19+Constants!$D$19*Constants!$C$20/100*(AC44-25)</f>
        <v>250.62596408420276</v>
      </c>
      <c r="AE44" s="225">
        <f ca="1">(1-Constants!$C$17/1000000000*Design!$B$32*1000000) * ($B44+S44-R44*AD44/1000) - (S44+R44*(1+($A44-25)*Constants!$C$29/100)*IF(ISBLANK(Design!$B$40),Constants!$C$6/1000,Design!$B$40/1000))</f>
        <v>1.8364933202017708</v>
      </c>
      <c r="AF44" s="340">
        <f ca="1">IF(AE44&gt;Design!$C$28,Design!$C$28,AE44)</f>
        <v>1.8364933202017708</v>
      </c>
      <c r="AG44" s="241">
        <f t="shared" si="12"/>
        <v>1.1666666666666667</v>
      </c>
      <c r="AH44" s="169">
        <f ca="1">FORECAST(AG44, OFFSET(Design!$C$15:$C$17,MATCH(AG44,Design!$B$15:$B$17,1)-1,0,2), OFFSET(Design!$B$15:$B$17,MATCH(AG44,Design!$B$15:$B$17,1)-1,0,2))+(AQ44-25)*Design!$B$18/1000</f>
        <v>0.33407438784559856</v>
      </c>
      <c r="AI44" s="242">
        <f ca="1">IF(100*(Design!$C$28+AH44+AG44*IF(ISBLANK(Design!$B$40),Constants!$C$6,Design!$B$40)/1000*(1+Constants!$C$29/100*(AR44-25)))/($B44+AH44-AG44*AS44/1000)&gt;Design!$C$35,Design!$C$35,100*(Design!$C$28+AH44+AG44*IF(ISBLANK(Design!$B$40),Constants!$C$6,Design!$B$40)/1000*(1+Constants!$C$29/100*(AR44-25)))/($B44+AH44-AG44*AS44/1000))</f>
        <v>95</v>
      </c>
      <c r="AJ44" s="170">
        <f ca="1">IF(($B44-AG44*IF(ISBLANK(Design!$B$40),Constants!$C$6,Design!$B$40)/1000*(1+Constants!$C$29/100*(AR44-25))-Design!$C$28)/(IF(ISBLANK(Design!$B$39),Design!$B$38,Design!$B$39)/1000000)*AI44/100/(IF(ISBLANK(Design!$B$32),Design!$B$31,Design!$B$32)*1000000)&lt;0,0,($B44-AG44*IF(ISBLANK(Design!$B$40),Constants!$C$6,Design!$B$40)/1000*(1+Constants!$C$29/100*(AR44-25))-Design!$C$28)/(IF(ISBLANK(Design!$B$39),Design!$B$38,Design!$B$39)/1000000)*AI44/100/(IF(ISBLANK(Design!$B$32),Design!$B$31,Design!$B$32)*1000000))</f>
        <v>0</v>
      </c>
      <c r="AK44" s="161">
        <f>$B44*Constants!$C$18/1000+IF(ISBLANK(Design!$B$32),Design!$B$31,Design!$B$32)*1000000*Constants!$D$22/1000000000*(IF($B44&lt;Constants!$C$21,0,$B44-Constants!$C$21))</f>
        <v>9.3599999999999998E-5</v>
      </c>
      <c r="AL44" s="243">
        <f>$B44*AG44*($B44/(Constants!$C$23*1000000000)*IF(ISBLANK(Design!$B$32),Design!$B$31,Design!$B$32)*1000000/2+$B44/(Constants!$C$24*1000000000)*IF(ISBLANK(Design!$B$32),Design!$B$31,Design!$B$32)*1000000/2)</f>
        <v>4.6553240740740756E-3</v>
      </c>
      <c r="AM44" s="243">
        <f t="shared" ca="1" si="2"/>
        <v>0.2810271755430403</v>
      </c>
      <c r="AN44" s="243">
        <f>Constants!$D$22/1000000000*Constants!$C$21*IF(ISBLANK(Design!$B$32),Design!$B$31,Design!$B$32)*1000000</f>
        <v>1.2499999999999999E-2</v>
      </c>
      <c r="AO44" s="243">
        <f t="shared" ca="1" si="13"/>
        <v>0.29827609961711438</v>
      </c>
      <c r="AP44" s="243">
        <f t="shared" ca="1" si="9"/>
        <v>1.9487672624326602E-2</v>
      </c>
      <c r="AQ44" s="244">
        <f ca="1">$A44+AP44*Design!$B$19</f>
        <v>86.110797339586611</v>
      </c>
      <c r="AR44" s="244">
        <f ca="1">AO44*Design!$C$12+$A44</f>
        <v>95.14138738698189</v>
      </c>
      <c r="AS44" s="244">
        <f ca="1">Constants!$D$19+Constants!$D$19*Constants!$C$20/100*(AR44-25)</f>
        <v>217.33573189150263</v>
      </c>
      <c r="AT44" s="243">
        <f ca="1">(1-Constants!$C$17/1000000000*Design!$B$32*1000000) * ($B44+AH44-AG44*AS44/1000) - (AH44+AG44*(1+($A44-25)*Constants!$C$29/100)*IF(ISBLANK(Design!$B$40),Constants!$C$6/1000,Design!$B$40/1000))</f>
        <v>2.1835805110946378</v>
      </c>
      <c r="AU44" s="343">
        <f ca="1">IF(AT44&gt;Design!$C$28,Design!$C$28,AT44)</f>
        <v>2.1835805110946378</v>
      </c>
    </row>
    <row r="45" spans="1:47" s="292" customFormat="1" ht="18" customHeight="1" x14ac:dyDescent="0.25">
      <c r="A45" s="300" t="s">
        <v>283</v>
      </c>
      <c r="B45" s="293"/>
      <c r="C45" s="294"/>
      <c r="D45" s="294"/>
      <c r="E45" s="295"/>
      <c r="F45" s="296"/>
      <c r="G45" s="296"/>
      <c r="H45" s="296"/>
      <c r="I45" s="296"/>
      <c r="J45" s="296"/>
      <c r="K45" s="296"/>
      <c r="L45" s="296"/>
      <c r="M45" s="296"/>
      <c r="N45" s="295"/>
      <c r="O45" s="295"/>
      <c r="P45" s="296"/>
      <c r="Q45" s="296"/>
      <c r="R45" s="294"/>
      <c r="S45" s="294"/>
      <c r="T45" s="295"/>
      <c r="U45" s="296"/>
      <c r="V45" s="296"/>
      <c r="W45" s="296"/>
      <c r="X45" s="296"/>
      <c r="Y45" s="296"/>
      <c r="Z45" s="296"/>
      <c r="AA45" s="296"/>
      <c r="AB45" s="296"/>
      <c r="AC45" s="295"/>
      <c r="AD45" s="295"/>
      <c r="AE45" s="296"/>
      <c r="AF45" s="296"/>
      <c r="AG45" s="294"/>
      <c r="AH45" s="294"/>
      <c r="AI45" s="295"/>
      <c r="AJ45" s="296"/>
      <c r="AK45" s="296"/>
      <c r="AL45" s="296"/>
      <c r="AM45" s="296"/>
      <c r="AN45" s="296"/>
      <c r="AO45" s="296"/>
      <c r="AP45" s="296"/>
      <c r="AQ45" s="296"/>
      <c r="AR45" s="295"/>
      <c r="AS45" s="295"/>
      <c r="AT45" s="296"/>
      <c r="AU45" s="297"/>
    </row>
    <row r="46" spans="1:47" ht="15.75" thickBot="1" x14ac:dyDescent="0.3">
      <c r="A46" s="261" t="s">
        <v>210</v>
      </c>
      <c r="B46" s="298" t="s">
        <v>106</v>
      </c>
      <c r="C46" s="254" t="s">
        <v>92</v>
      </c>
      <c r="D46" s="254" t="s">
        <v>235</v>
      </c>
      <c r="E46" s="245" t="s">
        <v>233</v>
      </c>
      <c r="F46" s="245" t="s">
        <v>234</v>
      </c>
      <c r="G46" s="245" t="s">
        <v>93</v>
      </c>
      <c r="H46" s="245" t="s">
        <v>94</v>
      </c>
      <c r="I46" s="245" t="s">
        <v>95</v>
      </c>
      <c r="J46" s="245" t="s">
        <v>198</v>
      </c>
      <c r="K46" s="245" t="s">
        <v>96</v>
      </c>
      <c r="L46" s="245" t="s">
        <v>254</v>
      </c>
      <c r="M46" s="245" t="s">
        <v>284</v>
      </c>
      <c r="N46" s="245" t="s">
        <v>285</v>
      </c>
      <c r="O46" s="245" t="s">
        <v>110</v>
      </c>
      <c r="P46" s="245" t="s">
        <v>246</v>
      </c>
      <c r="Q46" s="262" t="s">
        <v>245</v>
      </c>
      <c r="R46" s="254" t="s">
        <v>92</v>
      </c>
      <c r="S46" s="254" t="s">
        <v>235</v>
      </c>
      <c r="T46" s="245" t="s">
        <v>233</v>
      </c>
      <c r="U46" s="245" t="s">
        <v>234</v>
      </c>
      <c r="V46" s="245" t="s">
        <v>93</v>
      </c>
      <c r="W46" s="245" t="s">
        <v>94</v>
      </c>
      <c r="X46" s="245" t="s">
        <v>95</v>
      </c>
      <c r="Y46" s="245" t="s">
        <v>198</v>
      </c>
      <c r="Z46" s="245" t="s">
        <v>96</v>
      </c>
      <c r="AA46" s="245" t="s">
        <v>254</v>
      </c>
      <c r="AB46" s="245" t="s">
        <v>284</v>
      </c>
      <c r="AC46" s="245" t="s">
        <v>285</v>
      </c>
      <c r="AD46" s="245" t="s">
        <v>110</v>
      </c>
      <c r="AE46" s="245" t="s">
        <v>246</v>
      </c>
      <c r="AF46" s="262" t="s">
        <v>245</v>
      </c>
      <c r="AG46" s="254" t="s">
        <v>92</v>
      </c>
      <c r="AH46" s="254" t="s">
        <v>235</v>
      </c>
      <c r="AI46" s="245" t="s">
        <v>233</v>
      </c>
      <c r="AJ46" s="245" t="s">
        <v>234</v>
      </c>
      <c r="AK46" s="245" t="s">
        <v>93</v>
      </c>
      <c r="AL46" s="245" t="s">
        <v>94</v>
      </c>
      <c r="AM46" s="245" t="s">
        <v>95</v>
      </c>
      <c r="AN46" s="245" t="s">
        <v>198</v>
      </c>
      <c r="AO46" s="245" t="s">
        <v>96</v>
      </c>
      <c r="AP46" s="245" t="s">
        <v>254</v>
      </c>
      <c r="AQ46" s="245" t="s">
        <v>284</v>
      </c>
      <c r="AR46" s="245" t="s">
        <v>285</v>
      </c>
      <c r="AS46" s="245" t="s">
        <v>110</v>
      </c>
      <c r="AT46" s="245" t="s">
        <v>246</v>
      </c>
      <c r="AU46" s="262" t="s">
        <v>245</v>
      </c>
    </row>
    <row r="47" spans="1:47" ht="12.75" customHeight="1" x14ac:dyDescent="0.25">
      <c r="A47" s="201">
        <f>Design!$D$13</f>
        <v>85</v>
      </c>
      <c r="B47" s="202">
        <f t="shared" ref="B47:B86" si="14">$B48+$AU$88</f>
        <v>11.999999999999995</v>
      </c>
      <c r="C47" s="203">
        <f>Design!$D$6</f>
        <v>3.5</v>
      </c>
      <c r="D47" s="203">
        <f ca="1">FORECAST(C47, OFFSET(Design!$C$15:$C$17,MATCH(C47,Design!$B$15:$B$17,1)-1,0,2), OFFSET(Design!$B$15:$B$17,MATCH(C47,Design!$B$15:$B$17,1)-1,0,2))+(M47-25)*Design!$B$18/1000</f>
        <v>0.38581102940927497</v>
      </c>
      <c r="E47" s="214">
        <f ca="1">IF(100*(Design!$C$28+D47+C47*IF(ISBLANK(Design!$B$40),Constants!$C$6,Design!$B$40)/1000*(1+Constants!$C$29/100*(N47-25)))/($B47+D47-C47*O47/1000)&gt;Design!$C$35,Design!$C$35,100*(Design!$C$28+D47+C47*IF(ISBLANK(Design!$B$40),Constants!$C$6,Design!$B$40)/1000*(1+Constants!$C$29/100*(N47-25)))/($B47+D47-C47*O47/1000))</f>
        <v>32.844692177057553</v>
      </c>
      <c r="F47" s="204">
        <f ca="1">IF(($B47-C47*IF(ISBLANK(Design!$B$40),Constants!$C$6,Design!$B$40)/1000*(1+Constants!$C$29/100*(N47-25))-Design!$C$28)/(IF(ISBLANK(Design!$B$39),Design!$B$38,Design!$B$39)/1000000)*E47/100/(IF(ISBLANK(Design!$B$32),Design!$B$31,Design!$B$32)*1000000)&lt;0,0,($B47-C47*IF(ISBLANK(Design!$B$40),Constants!$C$6,Design!$B$40)/1000*(1+Constants!$C$29/100*(N47-25))-Design!$C$28)/(IF(ISBLANK(Design!$B$39),Design!$B$38,Design!$B$39)/1000000)*E47/100/(IF(ISBLANK(Design!$B$32),Design!$B$31,Design!$B$32)*1000000))</f>
        <v>0.83143715104157589</v>
      </c>
      <c r="G47" s="205">
        <f>$B47*Constants!$C$18/1000+IF(ISBLANK(Design!$B$32),Design!$B$31,Design!$B$32)*1000000*Constants!$D$22/1000000000*(IF($B47&lt;Constants!$C$21,0,$B47-Constants!$C$21))</f>
        <v>1.7931999999999986E-2</v>
      </c>
      <c r="H47" s="205">
        <f>B47*C47*(B47/(Constants!$C$23*1000000000)*IF(ISBLANK(Design!$B$32),Design!$B$31,Design!$B$32)*1000000/2+B47/(Constants!$C$24*1000000000)*IF(ISBLANK(Design!$B$32),Design!$B$31,Design!$B$32)*1000000/2)</f>
        <v>0.29749999999999971</v>
      </c>
      <c r="I47" s="205">
        <f t="shared" ref="I47:I87" ca="1" si="15">IF($D$115,1,E47/100*(C47^2+F47^2/12)*O47/1000)</f>
        <v>1.0166046215513951</v>
      </c>
      <c r="J47" s="205">
        <f>Constants!$D$22/1000000000*Constants!$C$21*IF(ISBLANK(Design!$B$32),Design!$B$31,Design!$B$32)*1000000</f>
        <v>1.2499999999999999E-2</v>
      </c>
      <c r="K47" s="205">
        <f ca="1">SUM(G47:J47)</f>
        <v>1.3445366215513948</v>
      </c>
      <c r="L47" s="205">
        <f ca="1">C47*D47*(1-E47/100)</f>
        <v>0.90682404545131567</v>
      </c>
      <c r="M47" s="206">
        <f ca="1">$A47+L47*Design!$B$19</f>
        <v>136.68897059072498</v>
      </c>
      <c r="N47" s="206">
        <f ca="1">K47*Design!$C$12+A47</f>
        <v>130.71424513274741</v>
      </c>
      <c r="O47" s="206">
        <f ca="1">Constants!$D$19+Constants!$D$19*Constants!$C$20/100*(N47-25)</f>
        <v>251.48567532743749</v>
      </c>
      <c r="P47" s="205">
        <f ca="1">(1-Constants!$D$17/1000000000*Design!$B$32*1000000) * ($B47+D47-C47*O47/1000) - (D47+C47*(1+($A47-25)*Constants!$C$29/100)*IF(ISBLANK(Design!$B$40),Constants!$C$6/1000,Design!$B$40/1000))</f>
        <v>10.112845243092906</v>
      </c>
      <c r="Q47" s="212">
        <f ca="1">IF(P47&gt;Design!$C$28,Design!$C$28,P47)</f>
        <v>3.2940895522388054</v>
      </c>
      <c r="R47" s="334">
        <f>2*Design!$D$6/3</f>
        <v>2.3333333333333335</v>
      </c>
      <c r="S47" s="218">
        <f ca="1">FORECAST(R47, OFFSET(Design!$C$15:$C$17,MATCH(R47,Design!$B$15:$B$17,1)-1,0,2), OFFSET(Design!$B$15:$B$17,MATCH(R47,Design!$B$15:$B$17,1)-1,0,2))+(AB47-25)*Design!$B$18/1000</f>
        <v>0.37423659157533062</v>
      </c>
      <c r="T47" s="219">
        <f ca="1">IF(100*(Design!$C$28+S47+R47*IF(ISBLANK(Design!$B$40),Constants!$C$6,Design!$B$40)/1000*(1+Constants!$C$29/100*(AC47-25)))/($B47+S47-R47*AD47/1000)&gt;Design!$C$35,Design!$C$35,100*(Design!$C$28+S47+R47*IF(ISBLANK(Design!$B$40),Constants!$C$6,Design!$B$40)/1000*(1+Constants!$C$29/100*(AC47-25)))/($B47+S47-R47*AD47/1000))</f>
        <v>31.4961483845508</v>
      </c>
      <c r="U47" s="220">
        <f ca="1">IF(($B47-R47*IF(ISBLANK(Design!$B$40),Constants!$C$6,Design!$B$40)/1000*(1+Constants!$C$29/100*(AC47-25))-Design!$C$28)/(IF(ISBLANK(Design!$B$39),Design!$B$38,Design!$B$39)/1000000)*T47/100/(IF(ISBLANK(Design!$B$32),Design!$B$31,Design!$B$32)*1000000)&lt;0,0,($B47-R47*IF(ISBLANK(Design!$B$40),Constants!$C$6,Design!$B$40)/1000*(1+Constants!$C$29/100*(AC47-25))-Design!$C$28)/(IF(ISBLANK(Design!$B$39),Design!$B$38,Design!$B$39)/1000000)*T47/100/(IF(ISBLANK(Design!$B$32),Design!$B$31,Design!$B$32)*1000000))</f>
        <v>0.80077585794684303</v>
      </c>
      <c r="V47" s="159">
        <f>$B47*Constants!$C$18/1000+IF(ISBLANK(Design!$B$32),Design!$B$31,Design!$B$32)*1000000*Constants!$D$22/1000000000*(IF($B47&lt;Constants!$C$21,0,$B47-Constants!$C$21))</f>
        <v>1.7931999999999986E-2</v>
      </c>
      <c r="W47" s="221">
        <f>$B47*R47*($B47/(Constants!$C$23*1000000000)*IF(ISBLANK(Design!$B$32),Design!$B$31,Design!$B$32)*1000000/2+$B47/(Constants!$C$24*1000000000)*IF(ISBLANK(Design!$B$32),Design!$B$31,Design!$B$32)*1000000/2)</f>
        <v>0.19833333333333317</v>
      </c>
      <c r="X47" s="221">
        <f t="shared" ref="X47:X87" ca="1" si="16">IF($D$115,1,T47/100*(R47^2+U47^2/12)*AD47/1000)</f>
        <v>0.3947241796847738</v>
      </c>
      <c r="Y47" s="221">
        <f>Constants!$D$22/1000000000*Constants!$C$21*IF(ISBLANK(Design!$B$32),Design!$B$31,Design!$B$32)*1000000</f>
        <v>1.2499999999999999E-2</v>
      </c>
      <c r="Z47" s="221">
        <f ca="1">SUM(V47:Y47)</f>
        <v>0.62348951301810684</v>
      </c>
      <c r="AA47" s="221">
        <f ca="1">R47*S47*(1-T47/100)</f>
        <v>0.59818845189478476</v>
      </c>
      <c r="AB47" s="222">
        <f ca="1">$A47+AA47*Design!$B$19</f>
        <v>119.09674175800274</v>
      </c>
      <c r="AC47" s="222">
        <f ca="1">Z47*Design!$C$12+$A47</f>
        <v>106.19864344261563</v>
      </c>
      <c r="AD47" s="222">
        <f ca="1">Constants!$D$19+Constants!$D$19*Constants!$C$20/100*(AC47-25)</f>
        <v>227.95069770491102</v>
      </c>
      <c r="AE47" s="221">
        <f ca="1">(1-Constants!$D$17/1000000000*Design!$B$32*1000000) * ($B47+S47-R47*AD47/1000) - (S47+R47*(1+($A47-25)*Constants!$C$29/100)*IF(ISBLANK(Design!$B$40),Constants!$C$6/1000,Design!$B$40/1000))</f>
        <v>10.463056241600761</v>
      </c>
      <c r="AF47" s="338">
        <f ca="1">IF(AE47&gt;Design!$C$28,Design!$C$28,AE47)</f>
        <v>3.2940895522388054</v>
      </c>
      <c r="AG47" s="231">
        <f>Design!$D$6/3</f>
        <v>1.1666666666666667</v>
      </c>
      <c r="AH47" s="232">
        <f ca="1">FORECAST(AG47, OFFSET(Design!$C$15:$C$17,MATCH(AG47,Design!$B$15:$B$17,1)-1,0,2), OFFSET(Design!$B$15:$B$17,MATCH(AG47,Design!$B$15:$B$17,1)-1,0,2))+(AQ47-25)*Design!$B$18/1000</f>
        <v>0.32031514238705883</v>
      </c>
      <c r="AI47" s="233">
        <f ca="1">IF(100*(Design!$C$28+AH47+AG47*IF(ISBLANK(Design!$B$40),Constants!$C$6,Design!$B$40)/1000*(1+Constants!$C$29/100*(AR47-25)))/($B47+AH47-AG47*AS47/1000)&gt;Design!$C$35,Design!$C$35,100*(Design!$C$28+AH47+AG47*IF(ISBLANK(Design!$B$40),Constants!$C$6,Design!$B$40)/1000*(1+Constants!$C$29/100*(AR47-25)))/($B47+AH47-AG47*AS47/1000))</f>
        <v>30.190728895658655</v>
      </c>
      <c r="AJ47" s="234">
        <f ca="1">IF(($B47-AG47*IF(ISBLANK(Design!$B$40),Constants!$C$6,Design!$B$40)/1000*(1+Constants!$C$29/100*(AR47-25))-Design!$C$28)/(IF(ISBLANK(Design!$B$39),Design!$B$38,Design!$B$39)/1000000)*AI47/100/(IF(ISBLANK(Design!$B$32),Design!$B$31,Design!$B$32)*1000000)&lt;0,0,($B47-AG47*IF(ISBLANK(Design!$B$40),Constants!$C$6,Design!$B$40)/1000*(1+Constants!$C$29/100*(AR47-25))-Design!$C$28)/(IF(ISBLANK(Design!$B$39),Design!$B$38,Design!$B$39)/1000000)*AI47/100/(IF(ISBLANK(Design!$B$32),Design!$B$31,Design!$B$32)*1000000))</f>
        <v>0.77043062454355982</v>
      </c>
      <c r="AK47" s="161">
        <f>$B47*Constants!$C$18/1000+IF(ISBLANK(Design!$B$32),Design!$B$31,Design!$B$32)*1000000*Constants!$D$22/1000000000*(IF($B47&lt;Constants!$C$21,0,$B47-Constants!$C$21))</f>
        <v>1.7931999999999986E-2</v>
      </c>
      <c r="AL47" s="235">
        <f>$B47*AG47*($B47/(Constants!$C$23*1000000000)*IF(ISBLANK(Design!$B$32),Design!$B$31,Design!$B$32)*1000000/2+$B47/(Constants!$C$24*1000000000)*IF(ISBLANK(Design!$B$32),Design!$B$31,Design!$B$32)*1000000/2)</f>
        <v>9.9166666666666584E-2</v>
      </c>
      <c r="AM47" s="235">
        <f t="shared" ref="AM47:AM87" ca="1" si="17">IF($D$115,1,AI47/100*(AG47^2+AJ47^2/12)*AS47/1000)</f>
        <v>9.1482174726612228E-2</v>
      </c>
      <c r="AN47" s="235">
        <f>Constants!$D$22/1000000000*Constants!$C$21*IF(ISBLANK(Design!$B$32),Design!$B$31,Design!$B$32)*1000000</f>
        <v>1.2499999999999999E-2</v>
      </c>
      <c r="AO47" s="235">
        <f ca="1">SUM(AK47:AN47)</f>
        <v>0.22108084139327883</v>
      </c>
      <c r="AP47" s="235">
        <f ca="1">AG47*AH47*(1-AI47/100)</f>
        <v>0.2608779438267787</v>
      </c>
      <c r="AQ47" s="236">
        <f ca="1">$A47+AP47*Design!$B$19</f>
        <v>99.870042798126391</v>
      </c>
      <c r="AR47" s="236">
        <f ca="1">AO47*Design!$C$12+$A47</f>
        <v>92.516748607371483</v>
      </c>
      <c r="AS47" s="236">
        <f ca="1">Constants!$D$19+Constants!$D$19*Constants!$C$20/100*(AR47-25)</f>
        <v>214.81607866307661</v>
      </c>
      <c r="AT47" s="235">
        <f ca="1">(1-Constants!$D$17/1000000000*Design!$B$32*1000000) * ($B47+AH47-AG47*AS47/1000) - (AH47+AG47*(1+($A47-25)*Constants!$C$29/100)*IF(ISBLANK(Design!$B$40),Constants!$C$6/1000,Design!$B$40/1000))</f>
        <v>10.754970197510662</v>
      </c>
      <c r="AU47" s="341">
        <f ca="1">IF(AT47&gt;Design!$C$28,Design!$C$28,AT47)</f>
        <v>3.2940895522388054</v>
      </c>
    </row>
    <row r="48" spans="1:47" ht="12.75" customHeight="1" x14ac:dyDescent="0.25">
      <c r="A48" s="154">
        <f>Design!$D$13</f>
        <v>85</v>
      </c>
      <c r="B48" s="155">
        <f t="shared" si="14"/>
        <v>11.764999999999995</v>
      </c>
      <c r="C48" s="156">
        <f>Design!$D$6</f>
        <v>3.5</v>
      </c>
      <c r="D48" s="156">
        <f ca="1">FORECAST(C48, OFFSET(Design!$C$15:$C$17,MATCH(C48,Design!$B$15:$B$17,1)-1,0,2), OFFSET(Design!$B$15:$B$17,MATCH(C48,Design!$B$15:$B$17,1)-1,0,2))+(M48-25)*Design!$B$18/1000</f>
        <v>0.38628138025474457</v>
      </c>
      <c r="E48" s="215">
        <f ca="1">IF(100*(Design!$C$28+D48+C48*IF(ISBLANK(Design!$B$40),Constants!$C$6,Design!$B$40)/1000*(1+Constants!$C$29/100*(N48-25)))/($B48+D48-C48*O48/1000)&gt;Design!$C$35,Design!$C$35,100*(Design!$C$28+D48+C48*IF(ISBLANK(Design!$B$40),Constants!$C$6,Design!$B$40)/1000*(1+Constants!$C$29/100*(N48-25)))/($B48+D48-C48*O48/1000))</f>
        <v>33.536807832380681</v>
      </c>
      <c r="F48" s="157">
        <f ca="1">IF(($B48-C48*IF(ISBLANK(Design!$B$40),Constants!$C$6,Design!$B$40)/1000*(1+Constants!$C$29/100*(N48-25))-Design!$C$28)/(IF(ISBLANK(Design!$B$39),Design!$B$38,Design!$B$39)/1000000)*E48/100/(IF(ISBLANK(Design!$B$32),Design!$B$31,Design!$B$32)*1000000)&lt;0,0,($B48-C48*IF(ISBLANK(Design!$B$40),Constants!$C$6,Design!$B$40)/1000*(1+Constants!$C$29/100*(N48-25))-Design!$C$28)/(IF(ISBLANK(Design!$B$39),Design!$B$38,Design!$B$39)/1000000)*E48/100/(IF(ISBLANK(Design!$B$32),Design!$B$31,Design!$B$32)*1000000))</f>
        <v>0.82576782048539676</v>
      </c>
      <c r="G48" s="207">
        <f>$B48*Constants!$C$18/1000+IF(ISBLANK(Design!$B$32),Design!$B$31,Design!$B$32)*1000000*Constants!$D$22/1000000000*(IF($B48&lt;Constants!$C$21,0,$B48-Constants!$C$21))</f>
        <v>1.733603999999999E-2</v>
      </c>
      <c r="H48" s="207">
        <f>B48*C48*(B48/(Constants!$C$23*1000000000)*IF(ISBLANK(Design!$B$32),Design!$B$31,Design!$B$32)*1000000/2+B48/(Constants!$C$24*1000000000)*IF(ISBLANK(Design!$B$32),Design!$B$31,Design!$B$32)*1000000/2)</f>
        <v>0.28596200998263865</v>
      </c>
      <c r="I48" s="207">
        <f t="shared" ca="1" si="15"/>
        <v>1.039396674472127</v>
      </c>
      <c r="J48" s="207">
        <f>Constants!$D$22/1000000000*Constants!$C$21*IF(ISBLANK(Design!$B$32),Design!$B$31,Design!$B$32)*1000000</f>
        <v>1.2499999999999999E-2</v>
      </c>
      <c r="K48" s="207">
        <f t="shared" ref="K48" ca="1" si="18">SUM(G48:J48)</f>
        <v>1.3551947244547657</v>
      </c>
      <c r="L48" s="207">
        <f t="shared" ref="L48:L87" ca="1" si="19">C48*D48*(1-E48/100)</f>
        <v>0.89857227623255109</v>
      </c>
      <c r="M48" s="208">
        <f ca="1">$A48+L48*Design!$B$19</f>
        <v>136.21861974525541</v>
      </c>
      <c r="N48" s="208">
        <f ca="1">K48*Design!$C$12+A48</f>
        <v>131.07662063146205</v>
      </c>
      <c r="O48" s="208">
        <f ca="1">Constants!$D$19+Constants!$D$19*Constants!$C$20/100*(N48-25)</f>
        <v>251.83355580620355</v>
      </c>
      <c r="P48" s="207">
        <f ca="1">(1-Constants!$D$17/1000000000*Design!$B$32*1000000) * ($B48+D48-C48*O48/1000) - (D48+C48*(1+($A48-25)*Constants!$C$29/100)*IF(ISBLANK(Design!$B$40),Constants!$C$6/1000,Design!$B$40/1000))</f>
        <v>9.8954874398836399</v>
      </c>
      <c r="Q48" s="213">
        <f ca="1">IF(P48&gt;Design!$C$28,Design!$C$28,P48)</f>
        <v>3.2940895522388054</v>
      </c>
      <c r="R48" s="335">
        <f>2*Design!$D$6/3</f>
        <v>2.3333333333333335</v>
      </c>
      <c r="S48" s="158">
        <f ca="1">FORECAST(R48, OFFSET(Design!$C$15:$C$17,MATCH(R48,Design!$B$15:$B$17,1)-1,0,2), OFFSET(Design!$B$15:$B$17,MATCH(R48,Design!$B$15:$B$17,1)-1,0,2))+(AB48-25)*Design!$B$18/1000</f>
        <v>0.37452843967029448</v>
      </c>
      <c r="T48" s="224">
        <f ca="1">IF(100*(Design!$C$28+S48+R48*IF(ISBLANK(Design!$B$40),Constants!$C$6,Design!$B$40)/1000*(1+Constants!$C$29/100*(AC48-25)))/($B48+S48-R48*AD48/1000)&gt;Design!$C$35,Design!$C$35,100*(Design!$C$28+S48+R48*IF(ISBLANK(Design!$B$40),Constants!$C$6,Design!$B$40)/1000*(1+Constants!$C$29/100*(AC48-25)))/($B48+S48-R48*AD48/1000))</f>
        <v>32.135425275432461</v>
      </c>
      <c r="U48" s="159">
        <f ca="1">IF(($B48-R48*IF(ISBLANK(Design!$B$40),Constants!$C$6,Design!$B$40)/1000*(1+Constants!$C$29/100*(AC48-25))-Design!$C$28)/(IF(ISBLANK(Design!$B$39),Design!$B$38,Design!$B$39)/1000000)*T48/100/(IF(ISBLANK(Design!$B$32),Design!$B$31,Design!$B$32)*1000000)&lt;0,0,($B48-R48*IF(ISBLANK(Design!$B$40),Constants!$C$6,Design!$B$40)/1000*(1+Constants!$C$29/100*(AC48-25))-Design!$C$28)/(IF(ISBLANK(Design!$B$39),Design!$B$38,Design!$B$39)/1000000)*T48/100/(IF(ISBLANK(Design!$B$32),Design!$B$31,Design!$B$32)*1000000))</f>
        <v>0.79481815376861242</v>
      </c>
      <c r="V48" s="159">
        <f>$B48*Constants!$C$18/1000+IF(ISBLANK(Design!$B$32),Design!$B$31,Design!$B$32)*1000000*Constants!$D$22/1000000000*(IF($B48&lt;Constants!$C$21,0,$B48-Constants!$C$21))</f>
        <v>1.733603999999999E-2</v>
      </c>
      <c r="W48" s="225">
        <f>$B48*R48*($B48/(Constants!$C$23*1000000000)*IF(ISBLANK(Design!$B$32),Design!$B$31,Design!$B$32)*1000000/2+$B48/(Constants!$C$24*1000000000)*IF(ISBLANK(Design!$B$32),Design!$B$31,Design!$B$32)*1000000/2)</f>
        <v>0.19064133998842578</v>
      </c>
      <c r="X48" s="225">
        <f t="shared" ca="1" si="16"/>
        <v>0.40265740890550339</v>
      </c>
      <c r="Y48" s="225">
        <f>Constants!$D$22/1000000000*Constants!$C$21*IF(ISBLANK(Design!$B$32),Design!$B$31,Design!$B$32)*1000000</f>
        <v>1.2499999999999999E-2</v>
      </c>
      <c r="Z48" s="225">
        <f t="shared" ref="Z48" ca="1" si="20">SUM(V48:Y48)</f>
        <v>0.62313478889392915</v>
      </c>
      <c r="AA48" s="225">
        <f t="shared" ref="AA48:AA87" ca="1" si="21">R48*S48*(1-T48/100)</f>
        <v>0.59306830987787562</v>
      </c>
      <c r="AB48" s="226">
        <f ca="1">$A48+AA48*Design!$B$19</f>
        <v>118.80489366303891</v>
      </c>
      <c r="AC48" s="226">
        <f ca="1">Z48*Design!$C$12+$A48</f>
        <v>106.18658282239359</v>
      </c>
      <c r="AD48" s="226">
        <f ca="1">Constants!$D$19+Constants!$D$19*Constants!$C$20/100*(AC48-25)</f>
        <v>227.93911950949786</v>
      </c>
      <c r="AE48" s="225">
        <f ca="1">(1-Constants!$D$17/1000000000*Design!$B$32*1000000) * ($B48+S48-R48*AD48/1000) - (S48+R48*(1+($A48-25)*Constants!$C$29/100)*IF(ISBLANK(Design!$B$40),Constants!$C$6/1000,Design!$B$40/1000))</f>
        <v>10.246857748279316</v>
      </c>
      <c r="AF48" s="339">
        <f ca="1">IF(AE48&gt;Design!$C$28,Design!$C$28,AE48)</f>
        <v>3.2940895522388054</v>
      </c>
      <c r="AG48" s="237">
        <f>Design!$D$6/3</f>
        <v>1.1666666666666667</v>
      </c>
      <c r="AH48" s="160">
        <f ca="1">FORECAST(AG48, OFFSET(Design!$C$15:$C$17,MATCH(AG48,Design!$B$15:$B$17,1)-1,0,2), OFFSET(Design!$B$15:$B$17,MATCH(AG48,Design!$B$15:$B$17,1)-1,0,2))+(AQ48-25)*Design!$B$18/1000</f>
        <v>0.32043729776994795</v>
      </c>
      <c r="AI48" s="238">
        <f ca="1">IF(100*(Design!$C$28+AH48+AG48*IF(ISBLANK(Design!$B$40),Constants!$C$6,Design!$B$40)/1000*(1+Constants!$C$29/100*(AR48-25)))/($B48+AH48-AG48*AS48/1000)&gt;Design!$C$35,Design!$C$35,100*(Design!$C$28+AH48+AG48*IF(ISBLANK(Design!$B$40),Constants!$C$6,Design!$B$40)/1000*(1+Constants!$C$29/100*(AR48-25)))/($B48+AH48-AG48*AS48/1000))</f>
        <v>30.790596278997377</v>
      </c>
      <c r="AJ48" s="161">
        <f ca="1">IF(($B48-AG48*IF(ISBLANK(Design!$B$40),Constants!$C$6,Design!$B$40)/1000*(1+Constants!$C$29/100*(AR48-25))-Design!$C$28)/(IF(ISBLANK(Design!$B$39),Design!$B$38,Design!$B$39)/1000000)*AI48/100/(IF(ISBLANK(Design!$B$32),Design!$B$31,Design!$B$32)*1000000)&lt;0,0,($B48-AG48*IF(ISBLANK(Design!$B$40),Constants!$C$6,Design!$B$40)/1000*(1+Constants!$C$29/100*(AR48-25))-Design!$C$28)/(IF(ISBLANK(Design!$B$39),Design!$B$38,Design!$B$39)/1000000)*AI48/100/(IF(ISBLANK(Design!$B$32),Design!$B$31,Design!$B$32)*1000000))</f>
        <v>0.76445753985935117</v>
      </c>
      <c r="AK48" s="161">
        <f>$B48*Constants!$C$18/1000+IF(ISBLANK(Design!$B$32),Design!$B$31,Design!$B$32)*1000000*Constants!$D$22/1000000000*(IF($B48&lt;Constants!$C$21,0,$B48-Constants!$C$21))</f>
        <v>1.733603999999999E-2</v>
      </c>
      <c r="AL48" s="239">
        <f>$B48*AG48*($B48/(Constants!$C$23*1000000000)*IF(ISBLANK(Design!$B$32),Design!$B$31,Design!$B$32)*1000000/2+$B48/(Constants!$C$24*1000000000)*IF(ISBLANK(Design!$B$32),Design!$B$31,Design!$B$32)*1000000/2)</f>
        <v>9.5320669994212889E-2</v>
      </c>
      <c r="AM48" s="239">
        <f t="shared" ca="1" si="17"/>
        <v>9.3210881056050535E-2</v>
      </c>
      <c r="AN48" s="239">
        <f>Constants!$D$22/1000000000*Constants!$C$21*IF(ISBLANK(Design!$B$32),Design!$B$31,Design!$B$32)*1000000</f>
        <v>1.2499999999999999E-2</v>
      </c>
      <c r="AO48" s="239">
        <f t="shared" ref="AO48" ca="1" si="22">SUM(AK48:AN48)</f>
        <v>0.21836759105026343</v>
      </c>
      <c r="AP48" s="239">
        <f t="shared" ref="AP48:AP87" ca="1" si="23">AG48*AH48*(1-AI48/100)</f>
        <v>0.25873486693398706</v>
      </c>
      <c r="AQ48" s="240">
        <f ca="1">$A48+AP48*Design!$B$19</f>
        <v>99.747887415237258</v>
      </c>
      <c r="AR48" s="240">
        <f ca="1">AO48*Design!$C$12+$A48</f>
        <v>92.424498095708955</v>
      </c>
      <c r="AS48" s="240">
        <f ca="1">Constants!$D$19+Constants!$D$19*Constants!$C$20/100*(AR48-25)</f>
        <v>214.7275181718806</v>
      </c>
      <c r="AT48" s="239">
        <f ca="1">(1-Constants!$D$17/1000000000*Design!$B$32*1000000) * ($B48+AH48-AG48*AS48/1000) - (AH48+AG48*(1+($A48-25)*Constants!$C$29/100)*IF(ISBLANK(Design!$B$40),Constants!$C$6/1000,Design!$B$40/1000))</f>
        <v>10.53885548000725</v>
      </c>
      <c r="AU48" s="342">
        <f ca="1">IF(AT48&gt;Design!$C$28,Design!$C$28,AT48)</f>
        <v>3.2940895522388054</v>
      </c>
    </row>
    <row r="49" spans="1:47" ht="12.75" customHeight="1" x14ac:dyDescent="0.25">
      <c r="A49" s="154">
        <f>Design!$D$13</f>
        <v>85</v>
      </c>
      <c r="B49" s="155">
        <f t="shared" si="14"/>
        <v>11.529999999999996</v>
      </c>
      <c r="C49" s="156">
        <f>Design!$D$6</f>
        <v>3.5</v>
      </c>
      <c r="D49" s="156">
        <f ca="1">FORECAST(C49, OFFSET(Design!$C$15:$C$17,MATCH(C49,Design!$B$15:$B$17,1)-1,0,2), OFFSET(Design!$B$15:$B$17,MATCH(C49,Design!$B$15:$B$17,1)-1,0,2))+(M49-25)*Design!$B$18/1000</f>
        <v>0.38677356644420502</v>
      </c>
      <c r="E49" s="215">
        <f ca="1">IF(100*(Design!$C$28+D49+C49*IF(ISBLANK(Design!$B$40),Constants!$C$6,Design!$B$40)/1000*(1+Constants!$C$29/100*(N49-25)))/($B49+D49-C49*O49/1000)&gt;Design!$C$35,Design!$C$35,100*(Design!$C$28+D49+C49*IF(ISBLANK(Design!$B$40),Constants!$C$6,Design!$B$40)/1000*(1+Constants!$C$29/100*(N49-25)))/($B49+D49-C49*O49/1000))</f>
        <v>34.259251553819375</v>
      </c>
      <c r="F49" s="157">
        <f ca="1">IF(($B49-C49*IF(ISBLANK(Design!$B$40),Constants!$C$6,Design!$B$40)/1000*(1+Constants!$C$29/100*(N49-25))-Design!$C$28)/(IF(ISBLANK(Design!$B$39),Design!$B$38,Design!$B$39)/1000000)*E49/100/(IF(ISBLANK(Design!$B$32),Design!$B$31,Design!$B$32)*1000000)&lt;0,0,($B49-C49*IF(ISBLANK(Design!$B$40),Constants!$C$6,Design!$B$40)/1000*(1+Constants!$C$29/100*(N49-25))-Design!$C$28)/(IF(ISBLANK(Design!$B$39),Design!$B$38,Design!$B$39)/1000000)*E49/100/(IF(ISBLANK(Design!$B$32),Design!$B$31,Design!$B$32)*1000000))</f>
        <v>0.81986578780303632</v>
      </c>
      <c r="G49" s="207">
        <f>$B49*Constants!$C$18/1000+IF(ISBLANK(Design!$B$32),Design!$B$31,Design!$B$32)*1000000*Constants!$D$22/1000000000*(IF($B49&lt;Constants!$C$21,0,$B49-Constants!$C$21))</f>
        <v>1.6740079999999987E-2</v>
      </c>
      <c r="H49" s="207">
        <f>B49*C49*(B49/(Constants!$C$23*1000000000)*IF(ISBLANK(Design!$B$32),Design!$B$31,Design!$B$32)*1000000/2+B49/(Constants!$C$24*1000000000)*IF(ISBLANK(Design!$B$32),Design!$B$31,Design!$B$32)*1000000/2)</f>
        <v>0.274652206597222</v>
      </c>
      <c r="I49" s="207">
        <f t="shared" ca="1" si="15"/>
        <v>1.0633792012932228</v>
      </c>
      <c r="J49" s="207">
        <f>Constants!$D$22/1000000000*Constants!$C$21*IF(ISBLANK(Design!$B$32),Design!$B$31,Design!$B$32)*1000000</f>
        <v>1.2499999999999999E-2</v>
      </c>
      <c r="K49" s="207">
        <f ca="1">SUM(G49:J49)</f>
        <v>1.3672714878904448</v>
      </c>
      <c r="L49" s="207">
        <f t="shared" ca="1" si="19"/>
        <v>0.88993743080342136</v>
      </c>
      <c r="M49" s="208">
        <f ca="1">$A49+L49*Design!$B$19</f>
        <v>135.72643355579501</v>
      </c>
      <c r="N49" s="208">
        <f ca="1">K49*Design!$C$12+A49</f>
        <v>131.48723058827511</v>
      </c>
      <c r="O49" s="208">
        <f ca="1">Constants!$D$19+Constants!$D$19*Constants!$C$20/100*(N49-25)</f>
        <v>252.22774136474411</v>
      </c>
      <c r="P49" s="207">
        <f ca="1">(1-Constants!$D$17/1000000000*Design!$B$32*1000000) * ($B49+D49-C49*O49/1000) - (D49+C49*(1+($A49-25)*Constants!$C$29/100)*IF(ISBLANK(Design!$B$40),Constants!$C$6/1000,Design!$B$40/1000))</f>
        <v>9.6779787874899839</v>
      </c>
      <c r="Q49" s="213">
        <f ca="1">IF(P49&gt;Design!$C$28,Design!$C$28,P49)</f>
        <v>3.2940895522388054</v>
      </c>
      <c r="R49" s="335">
        <f>2*Design!$D$6/3</f>
        <v>2.3333333333333335</v>
      </c>
      <c r="S49" s="158">
        <f ca="1">FORECAST(R49, OFFSET(Design!$C$15:$C$17,MATCH(R49,Design!$B$15:$B$17,1)-1,0,2), OFFSET(Design!$B$15:$B$17,MATCH(R49,Design!$B$15:$B$17,1)-1,0,2))+(AB49-25)*Design!$B$18/1000</f>
        <v>0.3748329147043824</v>
      </c>
      <c r="T49" s="224">
        <f ca="1">IF(100*(Design!$C$28+S49+R49*IF(ISBLANK(Design!$B$40),Constants!$C$6,Design!$B$40)/1000*(1+Constants!$C$29/100*(AC49-25)))/($B49+S49-R49*AD49/1000)&gt;Design!$C$35,Design!$C$35,100*(Design!$C$28+S49+R49*IF(ISBLANK(Design!$B$40),Constants!$C$6,Design!$B$40)/1000*(1+Constants!$C$29/100*(AC49-25)))/($B49+S49-R49*AD49/1000))</f>
        <v>32.801299738346366</v>
      </c>
      <c r="U49" s="159">
        <f ca="1">IF(($B49-R49*IF(ISBLANK(Design!$B$40),Constants!$C$6,Design!$B$40)/1000*(1+Constants!$C$29/100*(AC49-25))-Design!$C$28)/(IF(ISBLANK(Design!$B$39),Design!$B$38,Design!$B$39)/1000000)*T49/100/(IF(ISBLANK(Design!$B$32),Design!$B$31,Design!$B$32)*1000000)&lt;0,0,($B49-R49*IF(ISBLANK(Design!$B$40),Constants!$C$6,Design!$B$40)/1000*(1+Constants!$C$29/100*(AC49-25))-Design!$C$28)/(IF(ISBLANK(Design!$B$39),Design!$B$38,Design!$B$39)/1000000)*T49/100/(IF(ISBLANK(Design!$B$32),Design!$B$31,Design!$B$32)*1000000))</f>
        <v>0.78861590944883875</v>
      </c>
      <c r="V49" s="159">
        <f>$B49*Constants!$C$18/1000+IF(ISBLANK(Design!$B$32),Design!$B$31,Design!$B$32)*1000000*Constants!$D$22/1000000000*(IF($B49&lt;Constants!$C$21,0,$B49-Constants!$C$21))</f>
        <v>1.6740079999999987E-2</v>
      </c>
      <c r="W49" s="225">
        <f>$B49*R49*($B49/(Constants!$C$23*1000000000)*IF(ISBLANK(Design!$B$32),Design!$B$31,Design!$B$32)*1000000/2+$B49/(Constants!$C$24*1000000000)*IF(ISBLANK(Design!$B$32),Design!$B$31,Design!$B$32)*1000000/2)</f>
        <v>0.1831014710648147</v>
      </c>
      <c r="X49" s="225">
        <f t="shared" ca="1" si="16"/>
        <v>0.41094879083588975</v>
      </c>
      <c r="Y49" s="225">
        <f>Constants!$D$22/1000000000*Constants!$C$21*IF(ISBLANK(Design!$B$32),Design!$B$31,Design!$B$32)*1000000</f>
        <v>1.2499999999999999E-2</v>
      </c>
      <c r="Z49" s="225">
        <f ca="1">SUM(V49:Y49)</f>
        <v>0.62329034190070443</v>
      </c>
      <c r="AA49" s="225">
        <f t="shared" ca="1" si="21"/>
        <v>0.58772664261317487</v>
      </c>
      <c r="AB49" s="226">
        <f ca="1">$A49+AA49*Design!$B$19</f>
        <v>118.50041862895097</v>
      </c>
      <c r="AC49" s="226">
        <f ca="1">Z49*Design!$C$12+$A49</f>
        <v>106.19187162462396</v>
      </c>
      <c r="AD49" s="226">
        <f ca="1">Constants!$D$19+Constants!$D$19*Constants!$C$20/100*(AC49-25)</f>
        <v>227.944196759639</v>
      </c>
      <c r="AE49" s="225">
        <f ca="1">(1-Constants!$D$17/1000000000*Design!$B$32*1000000) * ($B49+S49-R49*AD49/1000) - (S49+R49*(1+($A49-25)*Constants!$C$29/100)*IF(ISBLANK(Design!$B$40),Constants!$C$6/1000,Design!$B$40/1000))</f>
        <v>10.030622491112954</v>
      </c>
      <c r="AF49" s="339">
        <f ca="1">IF(AE49&gt;Design!$C$28,Design!$C$28,AE49)</f>
        <v>3.2940895522388054</v>
      </c>
      <c r="AG49" s="237">
        <f>Design!$D$6/3</f>
        <v>1.1666666666666667</v>
      </c>
      <c r="AH49" s="160">
        <f ca="1">FORECAST(AG49, OFFSET(Design!$C$15:$C$17,MATCH(AG49,Design!$B$15:$B$17,1)-1,0,2), OFFSET(Design!$B$15:$B$17,MATCH(AG49,Design!$B$15:$B$17,1)-1,0,2))+(AQ49-25)*Design!$B$18/1000</f>
        <v>0.32056450666252628</v>
      </c>
      <c r="AI49" s="238">
        <f ca="1">IF(100*(Design!$C$28+AH49+AG49*IF(ISBLANK(Design!$B$40),Constants!$C$6,Design!$B$40)/1000*(1+Constants!$C$29/100*(AR49-25)))/($B49+AH49-AG49*AS49/1000)&gt;Design!$C$35,Design!$C$35,100*(Design!$C$28+AH49+AG49*IF(ISBLANK(Design!$B$40),Constants!$C$6,Design!$B$40)/1000*(1+Constants!$C$29/100*(AR49-25)))/($B49+AH49-AG49*AS49/1000))</f>
        <v>31.414793952886992</v>
      </c>
      <c r="AJ49" s="161">
        <f ca="1">IF(($B49-AG49*IF(ISBLANK(Design!$B$40),Constants!$C$6,Design!$B$40)/1000*(1+Constants!$C$29/100*(AR49-25))-Design!$C$28)/(IF(ISBLANK(Design!$B$39),Design!$B$38,Design!$B$39)/1000000)*AI49/100/(IF(ISBLANK(Design!$B$32),Design!$B$31,Design!$B$32)*1000000)&lt;0,0,($B49-AG49*IF(ISBLANK(Design!$B$40),Constants!$C$6,Design!$B$40)/1000*(1+Constants!$C$29/100*(AR49-25))-Design!$C$28)/(IF(ISBLANK(Design!$B$39),Design!$B$38,Design!$B$39)/1000000)*AI49/100/(IF(ISBLANK(Design!$B$32),Design!$B$31,Design!$B$32)*1000000))</f>
        <v>0.75824246186795696</v>
      </c>
      <c r="AK49" s="161">
        <f>$B49*Constants!$C$18/1000+IF(ISBLANK(Design!$B$32),Design!$B$31,Design!$B$32)*1000000*Constants!$D$22/1000000000*(IF($B49&lt;Constants!$C$21,0,$B49-Constants!$C$21))</f>
        <v>1.6740079999999987E-2</v>
      </c>
      <c r="AL49" s="239">
        <f>$B49*AG49*($B49/(Constants!$C$23*1000000000)*IF(ISBLANK(Design!$B$32),Design!$B$31,Design!$B$32)*1000000/2+$B49/(Constants!$C$24*1000000000)*IF(ISBLANK(Design!$B$32),Design!$B$31,Design!$B$32)*1000000/2)</f>
        <v>9.1550735532407349E-2</v>
      </c>
      <c r="AM49" s="239">
        <f t="shared" ca="1" si="17"/>
        <v>9.5010204330165854E-2</v>
      </c>
      <c r="AN49" s="239">
        <f>Constants!$D$22/1000000000*Constants!$C$21*IF(ISBLANK(Design!$B$32),Design!$B$31,Design!$B$32)*1000000</f>
        <v>1.2499999999999999E-2</v>
      </c>
      <c r="AO49" s="239">
        <f ca="1">SUM(AK49:AN49)</f>
        <v>0.21580101986257322</v>
      </c>
      <c r="AP49" s="239">
        <f t="shared" ca="1" si="23"/>
        <v>0.25650313197647245</v>
      </c>
      <c r="AQ49" s="240">
        <f ca="1">$A49+AP49*Design!$B$19</f>
        <v>99.620678522658935</v>
      </c>
      <c r="AR49" s="240">
        <f ca="1">AO49*Design!$C$12+$A49</f>
        <v>92.337234675327494</v>
      </c>
      <c r="AS49" s="240">
        <f ca="1">Constants!$D$19+Constants!$D$19*Constants!$C$20/100*(AR49-25)</f>
        <v>214.64374528831439</v>
      </c>
      <c r="AT49" s="239">
        <f ca="1">(1-Constants!$D$17/1000000000*Design!$B$32*1000000) * ($B49+AH49-AG49*AS49/1000) - (AH49+AG49*(1+($A49-25)*Constants!$C$29/100)*IF(ISBLANK(Design!$B$40),Constants!$C$6/1000,Design!$B$40/1000))</f>
        <v>10.322735219524203</v>
      </c>
      <c r="AU49" s="342">
        <f ca="1">IF(AT49&gt;Design!$C$28,Design!$C$28,AT49)</f>
        <v>3.2940895522388054</v>
      </c>
    </row>
    <row r="50" spans="1:47" ht="12.75" customHeight="1" x14ac:dyDescent="0.25">
      <c r="A50" s="154">
        <f>Design!$D$13</f>
        <v>85</v>
      </c>
      <c r="B50" s="155">
        <f t="shared" si="14"/>
        <v>11.294999999999996</v>
      </c>
      <c r="C50" s="156">
        <f>Design!$D$6</f>
        <v>3.5</v>
      </c>
      <c r="D50" s="156">
        <f ca="1">FORECAST(C50, OFFSET(Design!$C$15:$C$17,MATCH(C50,Design!$B$15:$B$17,1)-1,0,2), OFFSET(Design!$B$15:$B$17,MATCH(C50,Design!$B$15:$B$17,1)-1,0,2))+(M50-25)*Design!$B$18/1000</f>
        <v>0.38728916513610129</v>
      </c>
      <c r="E50" s="215">
        <f ca="1">IF(100*(Design!$C$28+D50+C50*IF(ISBLANK(Design!$B$40),Constants!$C$6,Design!$B$40)/1000*(1+Constants!$C$29/100*(N50-25)))/($B50+D50-C50*O50/1000)&gt;Design!$C$35,Design!$C$35,100*(Design!$C$28+D50+C50*IF(ISBLANK(Design!$B$40),Constants!$C$6,Design!$B$40)/1000*(1+Constants!$C$29/100*(N50-25)))/($B50+D50-C50*O50/1000))</f>
        <v>35.01409142494655</v>
      </c>
      <c r="F50" s="157">
        <f ca="1">IF(($B50-C50*IF(ISBLANK(Design!$B$40),Constants!$C$6,Design!$B$40)/1000*(1+Constants!$C$29/100*(N50-25))-Design!$C$28)/(IF(ISBLANK(Design!$B$39),Design!$B$38,Design!$B$39)/1000000)*E50/100/(IF(ISBLANK(Design!$B$32),Design!$B$31,Design!$B$32)*1000000)&lt;0,0,($B50-C50*IF(ISBLANK(Design!$B$40),Constants!$C$6,Design!$B$40)/1000*(1+Constants!$C$29/100*(N50-25))-Design!$C$28)/(IF(ISBLANK(Design!$B$39),Design!$B$38,Design!$B$39)/1000000)*E50/100/(IF(ISBLANK(Design!$B$32),Design!$B$31,Design!$B$32)*1000000))</f>
        <v>0.81371602334774318</v>
      </c>
      <c r="G50" s="207">
        <f>$B50*Constants!$C$18/1000+IF(ISBLANK(Design!$B$32),Design!$B$31,Design!$B$32)*1000000*Constants!$D$22/1000000000*(IF($B50&lt;Constants!$C$21,0,$B50-Constants!$C$21))</f>
        <v>1.6144119999999991E-2</v>
      </c>
      <c r="H50" s="207">
        <f>B50*C50*(B50/(Constants!$C$23*1000000000)*IF(ISBLANK(Design!$B$32),Design!$B$31,Design!$B$32)*1000000/2+B50/(Constants!$C$24*1000000000)*IF(ISBLANK(Design!$B$32),Design!$B$31,Design!$B$32)*1000000/2)</f>
        <v>0.26357058984374981</v>
      </c>
      <c r="I50" s="207">
        <f t="shared" ca="1" si="15"/>
        <v>1.0886459350946818</v>
      </c>
      <c r="J50" s="207">
        <f>Constants!$D$22/1000000000*Constants!$C$21*IF(ISBLANK(Design!$B$32),Design!$B$31,Design!$B$32)*1000000</f>
        <v>1.2499999999999999E-2</v>
      </c>
      <c r="K50" s="207">
        <f t="shared" ref="K50:K87" ca="1" si="24">SUM(G50:J50)</f>
        <v>1.3808606449384315</v>
      </c>
      <c r="L50" s="207">
        <f t="shared" ca="1" si="19"/>
        <v>0.88089183971752105</v>
      </c>
      <c r="M50" s="208">
        <f ca="1">$A50+L50*Design!$B$19</f>
        <v>135.2108348638987</v>
      </c>
      <c r="N50" s="208">
        <f ca="1">K50*Design!$C$12+A50</f>
        <v>131.94926192790666</v>
      </c>
      <c r="O50" s="208">
        <f ca="1">Constants!$D$19+Constants!$D$19*Constants!$C$20/100*(N50-25)</f>
        <v>252.67129145079039</v>
      </c>
      <c r="P50" s="207">
        <f ca="1">(1-Constants!$D$17/1000000000*Design!$B$32*1000000) * ($B50+D50-C50*O50/1000) - (D50+C50*(1+($A50-25)*Constants!$C$29/100)*IF(ISBLANK(Design!$B$40),Constants!$C$6/1000,Design!$B$40/1000))</f>
        <v>9.460309308317564</v>
      </c>
      <c r="Q50" s="213">
        <f ca="1">IF(P50&gt;Design!$C$28,Design!$C$28,P50)</f>
        <v>3.2940895522388054</v>
      </c>
      <c r="R50" s="335">
        <f>2*Design!$D$6/3</f>
        <v>2.3333333333333335</v>
      </c>
      <c r="S50" s="158">
        <f ca="1">FORECAST(R50, OFFSET(Design!$C$15:$C$17,MATCH(R50,Design!$B$15:$B$17,1)-1,0,2), OFFSET(Design!$B$15:$B$17,MATCH(R50,Design!$B$15:$B$17,1)-1,0,2))+(AB50-25)*Design!$B$18/1000</f>
        <v>0.37515085556438499</v>
      </c>
      <c r="T50" s="224">
        <f ca="1">IF(100*(Design!$C$28+S50+R50*IF(ISBLANK(Design!$B$40),Constants!$C$6,Design!$B$40)/1000*(1+Constants!$C$29/100*(AC50-25)))/($B50+S50-R50*AD50/1000)&gt;Design!$C$35,Design!$C$35,100*(Design!$C$28+S50+R50*IF(ISBLANK(Design!$B$40),Constants!$C$6,Design!$B$40)/1000*(1+Constants!$C$29/100*(AC50-25)))/($B50+S50-R50*AD50/1000))</f>
        <v>33.495469795236957</v>
      </c>
      <c r="U50" s="159">
        <f ca="1">IF(($B50-R50*IF(ISBLANK(Design!$B$40),Constants!$C$6,Design!$B$40)/1000*(1+Constants!$C$29/100*(AC50-25))-Design!$C$28)/(IF(ISBLANK(Design!$B$39),Design!$B$38,Design!$B$39)/1000000)*T50/100/(IF(ISBLANK(Design!$B$32),Design!$B$31,Design!$B$32)*1000000)&lt;0,0,($B50-R50*IF(ISBLANK(Design!$B$40),Constants!$C$6,Design!$B$40)/1000*(1+Constants!$C$29/100*(AC50-25))-Design!$C$28)/(IF(ISBLANK(Design!$B$39),Design!$B$38,Design!$B$39)/1000000)*T50/100/(IF(ISBLANK(Design!$B$32),Design!$B$31,Design!$B$32)*1000000))</f>
        <v>0.78215359090743353</v>
      </c>
      <c r="V50" s="159">
        <f>$B50*Constants!$C$18/1000+IF(ISBLANK(Design!$B$32),Design!$B$31,Design!$B$32)*1000000*Constants!$D$22/1000000000*(IF($B50&lt;Constants!$C$21,0,$B50-Constants!$C$21))</f>
        <v>1.6144119999999991E-2</v>
      </c>
      <c r="W50" s="225">
        <f>$B50*R50*($B50/(Constants!$C$23*1000000000)*IF(ISBLANK(Design!$B$32),Design!$B$31,Design!$B$32)*1000000/2+$B50/(Constants!$C$24*1000000000)*IF(ISBLANK(Design!$B$32),Design!$B$31,Design!$B$32)*1000000/2)</f>
        <v>0.17571372656249989</v>
      </c>
      <c r="X50" s="225">
        <f t="shared" ca="1" si="16"/>
        <v>0.41962252414630724</v>
      </c>
      <c r="Y50" s="225">
        <f>Constants!$D$22/1000000000*Constants!$C$21*IF(ISBLANK(Design!$B$32),Design!$B$31,Design!$B$32)*1000000</f>
        <v>1.2499999999999999E-2</v>
      </c>
      <c r="Z50" s="225">
        <f t="shared" ref="Z50:Z87" ca="1" si="25">SUM(V50:Y50)</f>
        <v>0.62398037070880707</v>
      </c>
      <c r="AA50" s="225">
        <f t="shared" ca="1" si="21"/>
        <v>0.58214873278856782</v>
      </c>
      <c r="AB50" s="226">
        <f ca="1">$A50+AA50*Design!$B$19</f>
        <v>118.18247776894836</v>
      </c>
      <c r="AC50" s="226">
        <f ca="1">Z50*Design!$C$12+$A50</f>
        <v>106.21533260409944</v>
      </c>
      <c r="AD50" s="226">
        <f ca="1">Constants!$D$19+Constants!$D$19*Constants!$C$20/100*(AC50-25)</f>
        <v>227.96671929993545</v>
      </c>
      <c r="AE50" s="225">
        <f ca="1">(1-Constants!$D$17/1000000000*Design!$B$32*1000000) * ($B50+S50-R50*AD50/1000) - (S50+R50*(1+($A50-25)*Constants!$C$29/100)*IF(ISBLANK(Design!$B$40),Constants!$C$6/1000,Design!$B$40/1000))</f>
        <v>9.8143487074576523</v>
      </c>
      <c r="AF50" s="339">
        <f ca="1">IF(AE50&gt;Design!$C$28,Design!$C$28,AE50)</f>
        <v>3.2940895522388054</v>
      </c>
      <c r="AG50" s="237">
        <f>Design!$D$6/3</f>
        <v>1.1666666666666667</v>
      </c>
      <c r="AH50" s="160">
        <f ca="1">FORECAST(AG50, OFFSET(Design!$C$15:$C$17,MATCH(AG50,Design!$B$15:$B$17,1)-1,0,2), OFFSET(Design!$B$15:$B$17,MATCH(AG50,Design!$B$15:$B$17,1)-1,0,2))+(AQ50-25)*Design!$B$18/1000</f>
        <v>0.32069708917653822</v>
      </c>
      <c r="AI50" s="238">
        <f ca="1">IF(100*(Design!$C$28+AH50+AG50*IF(ISBLANK(Design!$B$40),Constants!$C$6,Design!$B$40)/1000*(1+Constants!$C$29/100*(AR50-25)))/($B50+AH50-AG50*AS50/1000)&gt;Design!$C$35,Design!$C$35,100*(Design!$C$28+AH50+AG50*IF(ISBLANK(Design!$B$40),Constants!$C$6,Design!$B$40)/1000*(1+Constants!$C$29/100*(AR50-25)))/($B50+AH50-AG50*AS50/1000))</f>
        <v>32.06483228375798</v>
      </c>
      <c r="AJ50" s="161">
        <f ca="1">IF(($B50-AG50*IF(ISBLANK(Design!$B$40),Constants!$C$6,Design!$B$40)/1000*(1+Constants!$C$29/100*(AR50-25))-Design!$C$28)/(IF(ISBLANK(Design!$B$39),Design!$B$38,Design!$B$39)/1000000)*AI50/100/(IF(ISBLANK(Design!$B$32),Design!$B$31,Design!$B$32)*1000000)&lt;0,0,($B50-AG50*IF(ISBLANK(Design!$B$40),Constants!$C$6,Design!$B$40)/1000*(1+Constants!$C$29/100*(AR50-25))-Design!$C$28)/(IF(ISBLANK(Design!$B$39),Design!$B$38,Design!$B$39)/1000000)*AI50/100/(IF(ISBLANK(Design!$B$32),Design!$B$31,Design!$B$32)*1000000))</f>
        <v>0.75177034993986269</v>
      </c>
      <c r="AK50" s="161">
        <f>$B50*Constants!$C$18/1000+IF(ISBLANK(Design!$B$32),Design!$B$31,Design!$B$32)*1000000*Constants!$D$22/1000000000*(IF($B50&lt;Constants!$C$21,0,$B50-Constants!$C$21))</f>
        <v>1.6144119999999991E-2</v>
      </c>
      <c r="AL50" s="239">
        <f>$B50*AG50*($B50/(Constants!$C$23*1000000000)*IF(ISBLANK(Design!$B$32),Design!$B$31,Design!$B$32)*1000000/2+$B50/(Constants!$C$24*1000000000)*IF(ISBLANK(Design!$B$32),Design!$B$31,Design!$B$32)*1000000/2)</f>
        <v>8.7856863281249947E-2</v>
      </c>
      <c r="AM50" s="239">
        <f t="shared" ca="1" si="17"/>
        <v>9.6884513028231783E-2</v>
      </c>
      <c r="AN50" s="239">
        <f>Constants!$D$22/1000000000*Constants!$C$21*IF(ISBLANK(Design!$B$32),Design!$B$31,Design!$B$32)*1000000</f>
        <v>1.2499999999999999E-2</v>
      </c>
      <c r="AO50" s="239">
        <f t="shared" ref="AO50:AO87" ca="1" si="26">SUM(AK50:AN50)</f>
        <v>0.21338549630948173</v>
      </c>
      <c r="AP50" s="239">
        <f t="shared" ca="1" si="23"/>
        <v>0.25417712295871875</v>
      </c>
      <c r="AQ50" s="240">
        <f ca="1">$A50+AP50*Design!$B$19</f>
        <v>99.488096008646963</v>
      </c>
      <c r="AR50" s="240">
        <f ca="1">AO50*Design!$C$12+$A50</f>
        <v>92.255106874522383</v>
      </c>
      <c r="AS50" s="240">
        <f ca="1">Constants!$D$19+Constants!$D$19*Constants!$C$20/100*(AR50-25)</f>
        <v>214.56490259954148</v>
      </c>
      <c r="AT50" s="239">
        <f ca="1">(1-Constants!$D$17/1000000000*Design!$B$32*1000000) * ($B50+AH50-AG50*AS50/1000) - (AH50+AG50*(1+($A50-25)*Constants!$C$29/100)*IF(ISBLANK(Design!$B$40),Constants!$C$6/1000,Design!$B$40/1000))</f>
        <v>10.106609237409033</v>
      </c>
      <c r="AU50" s="342">
        <f ca="1">IF(AT50&gt;Design!$C$28,Design!$C$28,AT50)</f>
        <v>3.2940895522388054</v>
      </c>
    </row>
    <row r="51" spans="1:47" ht="12.75" customHeight="1" x14ac:dyDescent="0.25">
      <c r="A51" s="154">
        <f>Design!$D$13</f>
        <v>85</v>
      </c>
      <c r="B51" s="155">
        <f t="shared" si="14"/>
        <v>11.059999999999997</v>
      </c>
      <c r="C51" s="156">
        <f>Design!$D$6</f>
        <v>3.5</v>
      </c>
      <c r="D51" s="156">
        <f ca="1">FORECAST(C51, OFFSET(Design!$C$15:$C$17,MATCH(C51,Design!$B$15:$B$17,1)-1,0,2), OFFSET(Design!$B$15:$B$17,MATCH(C51,Design!$B$15:$B$17,1)-1,0,2))+(M51-25)*Design!$B$18/1000</f>
        <v>0.38782991156026531</v>
      </c>
      <c r="E51" s="215">
        <f ca="1">IF(100*(Design!$C$28+D51+C51*IF(ISBLANK(Design!$B$40),Constants!$C$6,Design!$B$40)/1000*(1+Constants!$C$29/100*(N51-25)))/($B51+D51-C51*O51/1000)&gt;Design!$C$35,Design!$C$35,100*(Design!$C$28+D51+C51*IF(ISBLANK(Design!$B$40),Constants!$C$6,Design!$B$40)/1000*(1+Constants!$C$29/100*(N51-25)))/($B51+D51-C51*O51/1000))</f>
        <v>35.80359148086319</v>
      </c>
      <c r="F51" s="157">
        <f ca="1">IF(($B51-C51*IF(ISBLANK(Design!$B$40),Constants!$C$6,Design!$B$40)/1000*(1+Constants!$C$29/100*(N51-25))-Design!$C$28)/(IF(ISBLANK(Design!$B$39),Design!$B$38,Design!$B$39)/1000000)*E51/100/(IF(ISBLANK(Design!$B$32),Design!$B$31,Design!$B$32)*1000000)&lt;0,0,($B51-C51*IF(ISBLANK(Design!$B$40),Constants!$C$6,Design!$B$40)/1000*(1+Constants!$C$29/100*(N51-25))-Design!$C$28)/(IF(ISBLANK(Design!$B$39),Design!$B$38,Design!$B$39)/1000000)*E51/100/(IF(ISBLANK(Design!$B$32),Design!$B$31,Design!$B$32)*1000000))</f>
        <v>0.80730216944238264</v>
      </c>
      <c r="G51" s="207">
        <f>$B51*Constants!$C$18/1000+IF(ISBLANK(Design!$B$32),Design!$B$31,Design!$B$32)*1000000*Constants!$D$22/1000000000*(IF($B51&lt;Constants!$C$21,0,$B51-Constants!$C$21))</f>
        <v>1.5548159999999993E-2</v>
      </c>
      <c r="H51" s="207">
        <f>B51*C51*(B51/(Constants!$C$23*1000000000)*IF(ISBLANK(Design!$B$32),Design!$B$31,Design!$B$32)*1000000/2+B51/(Constants!$C$24*1000000000)*IF(ISBLANK(Design!$B$32),Design!$B$31,Design!$B$32)*1000000/2)</f>
        <v>0.25271715972222208</v>
      </c>
      <c r="I51" s="207">
        <f t="shared" ca="1" si="15"/>
        <v>1.1153008439011323</v>
      </c>
      <c r="J51" s="207">
        <f>Constants!$D$22/1000000000*Constants!$C$21*IF(ISBLANK(Design!$B$32),Design!$B$31,Design!$B$32)*1000000</f>
        <v>1.2499999999999999E-2</v>
      </c>
      <c r="K51" s="207">
        <f t="shared" ca="1" si="24"/>
        <v>1.3960661636233542</v>
      </c>
      <c r="L51" s="207">
        <f t="shared" ca="1" si="19"/>
        <v>0.87140506034622223</v>
      </c>
      <c r="M51" s="208">
        <f ca="1">$A51+L51*Design!$B$19</f>
        <v>134.67008843973468</v>
      </c>
      <c r="N51" s="208">
        <f ca="1">K51*Design!$C$12+A51</f>
        <v>132.46624956319403</v>
      </c>
      <c r="O51" s="208">
        <f ca="1">Constants!$D$19+Constants!$D$19*Constants!$C$20/100*(N51-25)</f>
        <v>253.16759958066626</v>
      </c>
      <c r="P51" s="207">
        <f ca="1">(1-Constants!$D$17/1000000000*Design!$B$32*1000000) * ($B51+D51-C51*O51/1000) - (D51+C51*(1+($A51-25)*Constants!$C$29/100)*IF(ISBLANK(Design!$B$40),Constants!$C$6/1000,Design!$B$40/1000))</f>
        <v>9.242467936425431</v>
      </c>
      <c r="Q51" s="213">
        <f ca="1">IF(P51&gt;Design!$C$28,Design!$C$28,P51)</f>
        <v>3.2940895522388054</v>
      </c>
      <c r="R51" s="335">
        <f>2*Design!$D$6/3</f>
        <v>2.3333333333333335</v>
      </c>
      <c r="S51" s="158">
        <f ca="1">FORECAST(R51, OFFSET(Design!$C$15:$C$17,MATCH(R51,Design!$B$15:$B$17,1)-1,0,2), OFFSET(Design!$B$15:$B$17,MATCH(R51,Design!$B$15:$B$17,1)-1,0,2))+(AB51-25)*Design!$B$18/1000</f>
        <v>0.37548317728179115</v>
      </c>
      <c r="T51" s="224">
        <f ca="1">IF(100*(Design!$C$28+S51+R51*IF(ISBLANK(Design!$B$40),Constants!$C$6,Design!$B$40)/1000*(1+Constants!$C$29/100*(AC51-25)))/($B51+S51-R51*AD51/1000)&gt;Design!$C$35,Design!$C$35,100*(Design!$C$28+S51+R51*IF(ISBLANK(Design!$B$40),Constants!$C$6,Design!$B$40)/1000*(1+Constants!$C$29/100*(AC51-25)))/($B51+S51-R51*AD51/1000))</f>
        <v>34.219781479714335</v>
      </c>
      <c r="U51" s="159">
        <f ca="1">IF(($B51-R51*IF(ISBLANK(Design!$B$40),Constants!$C$6,Design!$B$40)/1000*(1+Constants!$C$29/100*(AC51-25))-Design!$C$28)/(IF(ISBLANK(Design!$B$39),Design!$B$38,Design!$B$39)/1000000)*T51/100/(IF(ISBLANK(Design!$B$32),Design!$B$31,Design!$B$32)*1000000)&lt;0,0,($B51-R51*IF(ISBLANK(Design!$B$40),Constants!$C$6,Design!$B$40)/1000*(1+Constants!$C$29/100*(AC51-25))-Design!$C$28)/(IF(ISBLANK(Design!$B$39),Design!$B$38,Design!$B$39)/1000000)*T51/100/(IF(ISBLANK(Design!$B$32),Design!$B$31,Design!$B$32)*1000000))</f>
        <v>0.77541431912199921</v>
      </c>
      <c r="V51" s="159">
        <f>$B51*Constants!$C$18/1000+IF(ISBLANK(Design!$B$32),Design!$B$31,Design!$B$32)*1000000*Constants!$D$22/1000000000*(IF($B51&lt;Constants!$C$21,0,$B51-Constants!$C$21))</f>
        <v>1.5548159999999993E-2</v>
      </c>
      <c r="W51" s="225">
        <f>$B51*R51*($B51/(Constants!$C$23*1000000000)*IF(ISBLANK(Design!$B$32),Design!$B$31,Design!$B$32)*1000000/2+$B51/(Constants!$C$24*1000000000)*IF(ISBLANK(Design!$B$32),Design!$B$31,Design!$B$32)*1000000/2)</f>
        <v>0.1684781064814814</v>
      </c>
      <c r="X51" s="225">
        <f t="shared" ca="1" si="16"/>
        <v>0.42870504499608114</v>
      </c>
      <c r="Y51" s="225">
        <f>Constants!$D$22/1000000000*Constants!$C$21*IF(ISBLANK(Design!$B$32),Design!$B$31,Design!$B$32)*1000000</f>
        <v>1.2499999999999999E-2</v>
      </c>
      <c r="Z51" s="225">
        <f t="shared" ca="1" si="25"/>
        <v>0.6252313114775625</v>
      </c>
      <c r="AA51" s="225">
        <f t="shared" ca="1" si="21"/>
        <v>0.57631852722003896</v>
      </c>
      <c r="AB51" s="226">
        <f ca="1">$A51+AA51*Design!$B$19</f>
        <v>117.85015605154223</v>
      </c>
      <c r="AC51" s="226">
        <f ca="1">Z51*Design!$C$12+$A51</f>
        <v>106.25786459023712</v>
      </c>
      <c r="AD51" s="226">
        <f ca="1">Constants!$D$19+Constants!$D$19*Constants!$C$20/100*(AC51-25)</f>
        <v>228.00755000662764</v>
      </c>
      <c r="AE51" s="225">
        <f ca="1">(1-Constants!$D$17/1000000000*Design!$B$32*1000000) * ($B51+S51-R51*AD51/1000) - (S51+R51*(1+($A51-25)*Constants!$C$29/100)*IF(ISBLANK(Design!$B$40),Constants!$C$6/1000,Design!$B$40/1000))</f>
        <v>9.5980344718032278</v>
      </c>
      <c r="AF51" s="339">
        <f ca="1">IF(AE51&gt;Design!$C$28,Design!$C$28,AE51)</f>
        <v>3.2940895522388054</v>
      </c>
      <c r="AG51" s="237">
        <f>Design!$D$6/3</f>
        <v>1.1666666666666667</v>
      </c>
      <c r="AH51" s="160">
        <f ca="1">FORECAST(AG51, OFFSET(Design!$C$15:$C$17,MATCH(AG51,Design!$B$15:$B$17,1)-1,0,2), OFFSET(Design!$B$15:$B$17,MATCH(AG51,Design!$B$15:$B$17,1)-1,0,2))+(AQ51-25)*Design!$B$18/1000</f>
        <v>0.32083539303621567</v>
      </c>
      <c r="AI51" s="238">
        <f ca="1">IF(100*(Design!$C$28+AH51+AG51*IF(ISBLANK(Design!$B$40),Constants!$C$6,Design!$B$40)/1000*(1+Constants!$C$29/100*(AR51-25)))/($B51+AH51-AG51*AS51/1000)&gt;Design!$C$35,Design!$C$35,100*(Design!$C$28+AH51+AG51*IF(ISBLANK(Design!$B$40),Constants!$C$6,Design!$B$40)/1000*(1+Constants!$C$29/100*(AR51-25)))/($B51+AH51-AG51*AS51/1000))</f>
        <v>32.742349258067328</v>
      </c>
      <c r="AJ51" s="161">
        <f ca="1">IF(($B51-AG51*IF(ISBLANK(Design!$B$40),Constants!$C$6,Design!$B$40)/1000*(1+Constants!$C$29/100*(AR51-25))-Design!$C$28)/(IF(ISBLANK(Design!$B$39),Design!$B$38,Design!$B$39)/1000000)*AI51/100/(IF(ISBLANK(Design!$B$32),Design!$B$31,Design!$B$32)*1000000)&lt;0,0,($B51-AG51*IF(ISBLANK(Design!$B$40),Constants!$C$6,Design!$B$40)/1000*(1+Constants!$C$29/100*(AR51-25))-Design!$C$28)/(IF(ISBLANK(Design!$B$39),Design!$B$38,Design!$B$39)/1000000)*AI51/100/(IF(ISBLANK(Design!$B$32),Design!$B$31,Design!$B$32)*1000000))</f>
        <v>0.745024891323948</v>
      </c>
      <c r="AK51" s="161">
        <f>$B51*Constants!$C$18/1000+IF(ISBLANK(Design!$B$32),Design!$B$31,Design!$B$32)*1000000*Constants!$D$22/1000000000*(IF($B51&lt;Constants!$C$21,0,$B51-Constants!$C$21))</f>
        <v>1.5548159999999993E-2</v>
      </c>
      <c r="AL51" s="239">
        <f>$B51*AG51*($B51/(Constants!$C$23*1000000000)*IF(ISBLANK(Design!$B$32),Design!$B$31,Design!$B$32)*1000000/2+$B51/(Constants!$C$24*1000000000)*IF(ISBLANK(Design!$B$32),Design!$B$31,Design!$B$32)*1000000/2)</f>
        <v>8.4239053240740699E-2</v>
      </c>
      <c r="AM51" s="239">
        <f t="shared" ca="1" si="17"/>
        <v>9.8838545729219546E-2</v>
      </c>
      <c r="AN51" s="239">
        <f>Constants!$D$22/1000000000*Constants!$C$21*IF(ISBLANK(Design!$B$32),Design!$B$31,Design!$B$32)*1000000</f>
        <v>1.2499999999999999E-2</v>
      </c>
      <c r="AO51" s="239">
        <f t="shared" ca="1" si="26"/>
        <v>0.21112575896996025</v>
      </c>
      <c r="AP51" s="239">
        <f t="shared" ca="1" si="23"/>
        <v>0.25175073945560572</v>
      </c>
      <c r="AQ51" s="240">
        <f ca="1">$A51+AP51*Design!$B$19</f>
        <v>99.349792148969527</v>
      </c>
      <c r="AR51" s="240">
        <f ca="1">AO51*Design!$C$12+$A51</f>
        <v>92.178275804978654</v>
      </c>
      <c r="AS51" s="240">
        <f ca="1">Constants!$D$19+Constants!$D$19*Constants!$C$20/100*(AR51-25)</f>
        <v>214.49114477277951</v>
      </c>
      <c r="AT51" s="239">
        <f ca="1">(1-Constants!$D$17/1000000000*Design!$B$32*1000000) * ($B51+AH51-AG51*AS51/1000) - (AH51+AG51*(1+($A51-25)*Constants!$C$29/100)*IF(ISBLANK(Design!$B$40),Constants!$C$6/1000,Design!$B$40/1000))</f>
        <v>9.890477339834316</v>
      </c>
      <c r="AU51" s="342">
        <f ca="1">IF(AT51&gt;Design!$C$28,Design!$C$28,AT51)</f>
        <v>3.2940895522388054</v>
      </c>
    </row>
    <row r="52" spans="1:47" ht="12.75" customHeight="1" x14ac:dyDescent="0.25">
      <c r="A52" s="154">
        <f>Design!$D$13</f>
        <v>85</v>
      </c>
      <c r="B52" s="155">
        <f t="shared" si="14"/>
        <v>10.824999999999998</v>
      </c>
      <c r="C52" s="156">
        <f>Design!$D$6</f>
        <v>3.5</v>
      </c>
      <c r="D52" s="156">
        <f ca="1">FORECAST(C52, OFFSET(Design!$C$15:$C$17,MATCH(C52,Design!$B$15:$B$17,1)-1,0,2), OFFSET(Design!$B$15:$B$17,MATCH(C52,Design!$B$15:$B$17,1)-1,0,2))+(M52-25)*Design!$B$18/1000</f>
        <v>0.38839771968476516</v>
      </c>
      <c r="E52" s="215">
        <f ca="1">IF(100*(Design!$C$28+D52+C52*IF(ISBLANK(Design!$B$40),Constants!$C$6,Design!$B$40)/1000*(1+Constants!$C$29/100*(N52-25)))/($B52+D52-C52*O52/1000)&gt;Design!$C$35,Design!$C$35,100*(Design!$C$28+D52+C52*IF(ISBLANK(Design!$B$40),Constants!$C$6,Design!$B$40)/1000*(1+Constants!$C$29/100*(N52-25)))/($B52+D52-C52*O52/1000))</f>
        <v>36.630235993180357</v>
      </c>
      <c r="F52" s="157">
        <f ca="1">IF(($B52-C52*IF(ISBLANK(Design!$B$40),Constants!$C$6,Design!$B$40)/1000*(1+Constants!$C$29/100*(N52-25))-Design!$C$28)/(IF(ISBLANK(Design!$B$39),Design!$B$38,Design!$B$39)/1000000)*E52/100/(IF(ISBLANK(Design!$B$32),Design!$B$31,Design!$B$32)*1000000)&lt;0,0,($B52-C52*IF(ISBLANK(Design!$B$40),Constants!$C$6,Design!$B$40)/1000*(1+Constants!$C$29/100*(N52-25))-Design!$C$28)/(IF(ISBLANK(Design!$B$39),Design!$B$38,Design!$B$39)/1000000)*E52/100/(IF(ISBLANK(Design!$B$32),Design!$B$31,Design!$B$32)*1000000))</f>
        <v>0.80060638914293114</v>
      </c>
      <c r="G52" s="207">
        <f>$B52*Constants!$C$18/1000+IF(ISBLANK(Design!$B$32),Design!$B$31,Design!$B$32)*1000000*Constants!$D$22/1000000000*(IF($B52&lt;Constants!$C$21,0,$B52-Constants!$C$21))</f>
        <v>1.4952199999999994E-2</v>
      </c>
      <c r="H52" s="207">
        <f>B52*C52*(B52/(Constants!$C$23*1000000000)*IF(ISBLANK(Design!$B$32),Design!$B$31,Design!$B$32)*1000000/2+B52/(Constants!$C$24*1000000000)*IF(ISBLANK(Design!$B$32),Design!$B$31,Design!$B$32)*1000000/2)</f>
        <v>0.24209191623263876</v>
      </c>
      <c r="I52" s="207">
        <f t="shared" ca="1" si="15"/>
        <v>1.1434595854546381</v>
      </c>
      <c r="J52" s="207">
        <f>Constants!$D$22/1000000000*Constants!$C$21*IF(ISBLANK(Design!$B$32),Design!$B$31,Design!$B$32)*1000000</f>
        <v>1.2499999999999999E-2</v>
      </c>
      <c r="K52" s="207">
        <f t="shared" ca="1" si="24"/>
        <v>1.4130037016872767</v>
      </c>
      <c r="L52" s="207">
        <f t="shared" ca="1" si="19"/>
        <v>0.86144351430236599</v>
      </c>
      <c r="M52" s="208">
        <f ca="1">$A52+L52*Design!$B$19</f>
        <v>134.10228031523485</v>
      </c>
      <c r="N52" s="208">
        <f ca="1">K52*Design!$C$12+A52</f>
        <v>133.04212585736741</v>
      </c>
      <c r="O52" s="208">
        <f ca="1">Constants!$D$19+Constants!$D$19*Constants!$C$20/100*(N52-25)</f>
        <v>253.72044082307269</v>
      </c>
      <c r="P52" s="207">
        <f ca="1">(1-Constants!$D$17/1000000000*Design!$B$32*1000000) * ($B52+D52-C52*O52/1000) - (D52+C52*(1+($A52-25)*Constants!$C$29/100)*IF(ISBLANK(Design!$B$40),Constants!$C$6/1000,Design!$B$40/1000))</f>
        <v>9.0244423629749235</v>
      </c>
      <c r="Q52" s="213">
        <f ca="1">IF(P52&gt;Design!$C$28,Design!$C$28,P52)</f>
        <v>3.2940895522388054</v>
      </c>
      <c r="R52" s="335">
        <f>2*Design!$D$6/3</f>
        <v>2.3333333333333335</v>
      </c>
      <c r="S52" s="158">
        <f ca="1">FORECAST(R52, OFFSET(Design!$C$15:$C$17,MATCH(R52,Design!$B$15:$B$17,1)-1,0,2), OFFSET(Design!$B$15:$B$17,MATCH(R52,Design!$B$15:$B$17,1)-1,0,2))+(AB52-25)*Design!$B$18/1000</f>
        <v>0.37583087989184083</v>
      </c>
      <c r="T52" s="224">
        <f ca="1">IF(100*(Design!$C$28+S52+R52*IF(ISBLANK(Design!$B$40),Constants!$C$6,Design!$B$40)/1000*(1+Constants!$C$29/100*(AC52-25)))/($B52+S52-R52*AD52/1000)&gt;Design!$C$35,Design!$C$35,100*(Design!$C$28+S52+R52*IF(ISBLANK(Design!$B$40),Constants!$C$6,Design!$B$40)/1000*(1+Constants!$C$29/100*(AC52-25)))/($B52+S52-R52*AD52/1000))</f>
        <v>34.976245364807816</v>
      </c>
      <c r="U52" s="159">
        <f ca="1">IF(($B52-R52*IF(ISBLANK(Design!$B$40),Constants!$C$6,Design!$B$40)/1000*(1+Constants!$C$29/100*(AC52-25))-Design!$C$28)/(IF(ISBLANK(Design!$B$39),Design!$B$38,Design!$B$39)/1000000)*T52/100/(IF(ISBLANK(Design!$B$32),Design!$B$31,Design!$B$32)*1000000)&lt;0,0,($B52-R52*IF(ISBLANK(Design!$B$40),Constants!$C$6,Design!$B$40)/1000*(1+Constants!$C$29/100*(AC52-25))-Design!$C$28)/(IF(ISBLANK(Design!$B$39),Design!$B$38,Design!$B$39)/1000000)*T52/100/(IF(ISBLANK(Design!$B$32),Design!$B$31,Design!$B$32)*1000000))</f>
        <v>0.76837972105881802</v>
      </c>
      <c r="V52" s="159">
        <f>$B52*Constants!$C$18/1000+IF(ISBLANK(Design!$B$32),Design!$B$31,Design!$B$32)*1000000*Constants!$D$22/1000000000*(IF($B52&lt;Constants!$C$21,0,$B52-Constants!$C$21))</f>
        <v>1.4952199999999994E-2</v>
      </c>
      <c r="W52" s="225">
        <f>$B52*R52*($B52/(Constants!$C$23*1000000000)*IF(ISBLANK(Design!$B$32),Design!$B$31,Design!$B$32)*1000000/2+$B52/(Constants!$C$24*1000000000)*IF(ISBLANK(Design!$B$32),Design!$B$31,Design!$B$32)*1000000/2)</f>
        <v>0.16139461082175918</v>
      </c>
      <c r="X52" s="225">
        <f t="shared" ca="1" si="16"/>
        <v>0.43822529261993737</v>
      </c>
      <c r="Y52" s="225">
        <f>Constants!$D$22/1000000000*Constants!$C$21*IF(ISBLANK(Design!$B$32),Design!$B$31,Design!$B$32)*1000000</f>
        <v>1.2499999999999999E-2</v>
      </c>
      <c r="Z52" s="225">
        <f t="shared" ca="1" si="25"/>
        <v>0.6270721034416965</v>
      </c>
      <c r="AA52" s="225">
        <f t="shared" ca="1" si="21"/>
        <v>0.57021848142969378</v>
      </c>
      <c r="AB52" s="226">
        <f ca="1">$A52+AA52*Design!$B$19</f>
        <v>117.50245344149255</v>
      </c>
      <c r="AC52" s="226">
        <f ca="1">Z52*Design!$C$12+$A52</f>
        <v>106.32045151701769</v>
      </c>
      <c r="AD52" s="226">
        <f ca="1">Constants!$D$19+Constants!$D$19*Constants!$C$20/100*(AC52-25)</f>
        <v>228.06763345633698</v>
      </c>
      <c r="AE52" s="225">
        <f ca="1">(1-Constants!$D$17/1000000000*Design!$B$32*1000000) * ($B52+S52-R52*AD52/1000) - (S52+R52*(1+($A52-25)*Constants!$C$29/100)*IF(ISBLANK(Design!$B$40),Constants!$C$6/1000,Design!$B$40/1000))</f>
        <v>9.3816776764557162</v>
      </c>
      <c r="AF52" s="339">
        <f ca="1">IF(AE52&gt;Design!$C$28,Design!$C$28,AE52)</f>
        <v>3.2940895522388054</v>
      </c>
      <c r="AG52" s="237">
        <f>Design!$D$6/3</f>
        <v>1.1666666666666667</v>
      </c>
      <c r="AH52" s="160">
        <f ca="1">FORECAST(AG52, OFFSET(Design!$C$15:$C$17,MATCH(AG52,Design!$B$15:$B$17,1)-1,0,2), OFFSET(Design!$B$15:$B$17,MATCH(AG52,Design!$B$15:$B$17,1)-1,0,2))+(AQ52-25)*Design!$B$18/1000</f>
        <v>0.3209797966203487</v>
      </c>
      <c r="AI52" s="238">
        <f ca="1">IF(100*(Design!$C$28+AH52+AG52*IF(ISBLANK(Design!$B$40),Constants!$C$6,Design!$B$40)/1000*(1+Constants!$C$29/100*(AR52-25)))/($B52+AH52-AG52*AS52/1000)&gt;Design!$C$35,Design!$C$35,100*(Design!$C$28+AH52+AG52*IF(ISBLANK(Design!$B$40),Constants!$C$6,Design!$B$40)/1000*(1+Constants!$C$29/100*(AR52-25)))/($B52+AH52-AG52*AS52/1000))</f>
        <v>33.449124248371291</v>
      </c>
      <c r="AJ52" s="161">
        <f ca="1">IF(($B52-AG52*IF(ISBLANK(Design!$B$40),Constants!$C$6,Design!$B$40)/1000*(1+Constants!$C$29/100*(AR52-25))-Design!$C$28)/(IF(ISBLANK(Design!$B$39),Design!$B$38,Design!$B$39)/1000000)*AI52/100/(IF(ISBLANK(Design!$B$32),Design!$B$31,Design!$B$32)*1000000)&lt;0,0,($B52-AG52*IF(ISBLANK(Design!$B$40),Constants!$C$6,Design!$B$40)/1000*(1+Constants!$C$29/100*(AR52-25))-Design!$C$28)/(IF(ISBLANK(Design!$B$39),Design!$B$38,Design!$B$39)/1000000)*AI52/100/(IF(ISBLANK(Design!$B$32),Design!$B$31,Design!$B$32)*1000000))</f>
        <v>0.73798836378475008</v>
      </c>
      <c r="AK52" s="161">
        <f>$B52*Constants!$C$18/1000+IF(ISBLANK(Design!$B$32),Design!$B$31,Design!$B$32)*1000000*Constants!$D$22/1000000000*(IF($B52&lt;Constants!$C$21,0,$B52-Constants!$C$21))</f>
        <v>1.4952199999999994E-2</v>
      </c>
      <c r="AL52" s="239">
        <f>$B52*AG52*($B52/(Constants!$C$23*1000000000)*IF(ISBLANK(Design!$B$32),Design!$B$31,Design!$B$32)*1000000/2+$B52/(Constants!$C$24*1000000000)*IF(ISBLANK(Design!$B$32),Design!$B$31,Design!$B$32)*1000000/2)</f>
        <v>8.0697305410879591E-2</v>
      </c>
      <c r="AM52" s="239">
        <f t="shared" ca="1" si="17"/>
        <v>0.10087745140854794</v>
      </c>
      <c r="AN52" s="239">
        <f>Constants!$D$22/1000000000*Constants!$C$21*IF(ISBLANK(Design!$B$32),Design!$B$31,Design!$B$32)*1000000</f>
        <v>1.2499999999999999E-2</v>
      </c>
      <c r="AO52" s="239">
        <f t="shared" ca="1" si="26"/>
        <v>0.20902695681942754</v>
      </c>
      <c r="AP52" s="239">
        <f t="shared" ca="1" si="23"/>
        <v>0.24921734324274522</v>
      </c>
      <c r="AQ52" s="240">
        <f ca="1">$A52+AP52*Design!$B$19</f>
        <v>99.205388564836483</v>
      </c>
      <c r="AR52" s="240">
        <f ca="1">AO52*Design!$C$12+$A52</f>
        <v>92.106916531860534</v>
      </c>
      <c r="AS52" s="240">
        <f ca="1">Constants!$D$19+Constants!$D$19*Constants!$C$20/100*(AR52-25)</f>
        <v>214.42263987058612</v>
      </c>
      <c r="AT52" s="239">
        <f ca="1">(1-Constants!$D$17/1000000000*Design!$B$32*1000000) * ($B52+AH52-AG52*AS52/1000) - (AH52+AG52*(1+($A52-25)*Constants!$C$29/100)*IF(ISBLANK(Design!$B$40),Constants!$C$6/1000,Design!$B$40/1000))</f>
        <v>9.674339316142607</v>
      </c>
      <c r="AU52" s="342">
        <f ca="1">IF(AT52&gt;Design!$C$28,Design!$C$28,AT52)</f>
        <v>3.2940895522388054</v>
      </c>
    </row>
    <row r="53" spans="1:47" ht="12.75" customHeight="1" x14ac:dyDescent="0.25">
      <c r="A53" s="154">
        <f>Design!$D$13</f>
        <v>85</v>
      </c>
      <c r="B53" s="155">
        <f t="shared" si="14"/>
        <v>10.589999999999998</v>
      </c>
      <c r="C53" s="156">
        <f>Design!$D$6</f>
        <v>3.5</v>
      </c>
      <c r="D53" s="156">
        <f ca="1">FORECAST(C53, OFFSET(Design!$C$15:$C$17,MATCH(C53,Design!$B$15:$B$17,1)-1,0,2), OFFSET(Design!$B$15:$B$17,MATCH(C53,Design!$B$15:$B$17,1)-1,0,2))+(M53-25)*Design!$B$18/1000</f>
        <v>0.38899470627594196</v>
      </c>
      <c r="E53" s="215">
        <f ca="1">IF(100*(Design!$C$28+D53+C53*IF(ISBLANK(Design!$B$40),Constants!$C$6,Design!$B$40)/1000*(1+Constants!$C$29/100*(N53-25)))/($B53+D53-C53*O53/1000)&gt;Design!$C$35,Design!$C$35,100*(Design!$C$28+D53+C53*IF(ISBLANK(Design!$B$40),Constants!$C$6,Design!$B$40)/1000*(1+Constants!$C$29/100*(N53-25)))/($B53+D53-C53*O53/1000))</f>
        <v>37.496757550019026</v>
      </c>
      <c r="F53" s="157">
        <f ca="1">IF(($B53-C53*IF(ISBLANK(Design!$B$40),Constants!$C$6,Design!$B$40)/1000*(1+Constants!$C$29/100*(N53-25))-Design!$C$28)/(IF(ISBLANK(Design!$B$39),Design!$B$38,Design!$B$39)/1000000)*E53/100/(IF(ISBLANK(Design!$B$32),Design!$B$31,Design!$B$32)*1000000)&lt;0,0,($B53-C53*IF(ISBLANK(Design!$B$40),Constants!$C$6,Design!$B$40)/1000*(1+Constants!$C$29/100*(N53-25))-Design!$C$28)/(IF(ISBLANK(Design!$B$39),Design!$B$38,Design!$B$39)/1000000)*E53/100/(IF(ISBLANK(Design!$B$32),Design!$B$31,Design!$B$32)*1000000))</f>
        <v>0.79360919364131477</v>
      </c>
      <c r="G53" s="207">
        <f>$B53*Constants!$C$18/1000+IF(ISBLANK(Design!$B$32),Design!$B$31,Design!$B$32)*1000000*Constants!$D$22/1000000000*(IF($B53&lt;Constants!$C$21,0,$B53-Constants!$C$21))</f>
        <v>1.4356239999999996E-2</v>
      </c>
      <c r="H53" s="207">
        <f>B53*C53*(B53/(Constants!$C$23*1000000000)*IF(ISBLANK(Design!$B$32),Design!$B$31,Design!$B$32)*1000000/2+B53/(Constants!$C$24*1000000000)*IF(ISBLANK(Design!$B$32),Design!$B$31,Design!$B$32)*1000000/2)</f>
        <v>0.2316948593749999</v>
      </c>
      <c r="I53" s="207">
        <f t="shared" ca="1" si="15"/>
        <v>1.1732512207398644</v>
      </c>
      <c r="J53" s="207">
        <f>Constants!$D$22/1000000000*Constants!$C$21*IF(ISBLANK(Design!$B$32),Design!$B$31,Design!$B$32)*1000000</f>
        <v>1.2499999999999999E-2</v>
      </c>
      <c r="K53" s="207">
        <f t="shared" ca="1" si="24"/>
        <v>1.4318023201148642</v>
      </c>
      <c r="L53" s="207">
        <f t="shared" ca="1" si="19"/>
        <v>0.85097006533435182</v>
      </c>
      <c r="M53" s="208">
        <f ca="1">$A53+L53*Design!$B$19</f>
        <v>133.50529372405805</v>
      </c>
      <c r="N53" s="208">
        <f ca="1">K53*Design!$C$12+A53</f>
        <v>133.68127888390538</v>
      </c>
      <c r="O53" s="208">
        <f ca="1">Constants!$D$19+Constants!$D$19*Constants!$C$20/100*(N53-25)</f>
        <v>254.33402772854916</v>
      </c>
      <c r="P53" s="207">
        <f ca="1">(1-Constants!$D$17/1000000000*Design!$B$32*1000000) * ($B53+D53-C53*O53/1000) - (D53+C53*(1+($A53-25)*Constants!$C$29/100)*IF(ISBLANK(Design!$B$40),Constants!$C$6/1000,Design!$B$40/1000))</f>
        <v>8.8062188542119948</v>
      </c>
      <c r="Q53" s="213">
        <f ca="1">IF(P53&gt;Design!$C$28,Design!$C$28,P53)</f>
        <v>3.2940895522388054</v>
      </c>
      <c r="R53" s="335">
        <f>2*Design!$D$6/3</f>
        <v>2.3333333333333335</v>
      </c>
      <c r="S53" s="158">
        <f ca="1">FORECAST(R53, OFFSET(Design!$C$15:$C$17,MATCH(R53,Design!$B$15:$B$17,1)-1,0,2), OFFSET(Design!$B$15:$B$17,MATCH(R53,Design!$B$15:$B$17,1)-1,0,2))+(AB53-25)*Design!$B$18/1000</f>
        <v>0.37619505856182461</v>
      </c>
      <c r="T53" s="224">
        <f ca="1">IF(100*(Design!$C$28+S53+R53*IF(ISBLANK(Design!$B$40),Constants!$C$6,Design!$B$40)/1000*(1+Constants!$C$29/100*(AC53-25)))/($B53+S53-R53*AD53/1000)&gt;Design!$C$35,Design!$C$35,100*(Design!$C$28+S53+R53*IF(ISBLANK(Design!$B$40),Constants!$C$6,Design!$B$40)/1000*(1+Constants!$C$29/100*(AC53-25)))/($B53+S53-R53*AD53/1000))</f>
        <v>35.767055362359855</v>
      </c>
      <c r="U53" s="159">
        <f ca="1">IF(($B53-R53*IF(ISBLANK(Design!$B$40),Constants!$C$6,Design!$B$40)/1000*(1+Constants!$C$29/100*(AC53-25))-Design!$C$28)/(IF(ISBLANK(Design!$B$39),Design!$B$38,Design!$B$39)/1000000)*T53/100/(IF(ISBLANK(Design!$B$32),Design!$B$31,Design!$B$32)*1000000)&lt;0,0,($B53-R53*IF(ISBLANK(Design!$B$40),Constants!$C$6,Design!$B$40)/1000*(1+Constants!$C$29/100*(AC53-25))-Design!$C$28)/(IF(ISBLANK(Design!$B$39),Design!$B$38,Design!$B$39)/1000000)*T53/100/(IF(ISBLANK(Design!$B$32),Design!$B$31,Design!$B$32)*1000000))</f>
        <v>0.76102976028288427</v>
      </c>
      <c r="V53" s="159">
        <f>$B53*Constants!$C$18/1000+IF(ISBLANK(Design!$B$32),Design!$B$31,Design!$B$32)*1000000*Constants!$D$22/1000000000*(IF($B53&lt;Constants!$C$21,0,$B53-Constants!$C$21))</f>
        <v>1.4356239999999996E-2</v>
      </c>
      <c r="W53" s="225">
        <f>$B53*R53*($B53/(Constants!$C$23*1000000000)*IF(ISBLANK(Design!$B$32),Design!$B$31,Design!$B$32)*1000000/2+$B53/(Constants!$C$24*1000000000)*IF(ISBLANK(Design!$B$32),Design!$B$31,Design!$B$32)*1000000/2)</f>
        <v>0.15446323958333327</v>
      </c>
      <c r="X53" s="225">
        <f t="shared" ca="1" si="16"/>
        <v>0.44821501379264939</v>
      </c>
      <c r="Y53" s="225">
        <f>Constants!$D$22/1000000000*Constants!$C$21*IF(ISBLANK(Design!$B$32),Design!$B$31,Design!$B$32)*1000000</f>
        <v>1.2499999999999999E-2</v>
      </c>
      <c r="Z53" s="225">
        <f t="shared" ca="1" si="25"/>
        <v>0.62953449337598255</v>
      </c>
      <c r="AA53" s="225">
        <f t="shared" ca="1" si="21"/>
        <v>0.5638293819562944</v>
      </c>
      <c r="AB53" s="226">
        <f ca="1">$A53+AA53*Design!$B$19</f>
        <v>117.13827477150878</v>
      </c>
      <c r="AC53" s="226">
        <f ca="1">Z53*Design!$C$12+$A53</f>
        <v>106.4041727747834</v>
      </c>
      <c r="AD53" s="226">
        <f ca="1">Constants!$D$19+Constants!$D$19*Constants!$C$20/100*(AC53-25)</f>
        <v>228.14800586379206</v>
      </c>
      <c r="AE53" s="225">
        <f ca="1">(1-Constants!$D$17/1000000000*Design!$B$32*1000000) * ($B53+S53-R53*AD53/1000) - (S53+R53*(1+($A53-25)*Constants!$C$29/100)*IF(ISBLANK(Design!$B$40),Constants!$C$6/1000,Design!$B$40/1000))</f>
        <v>9.1652760093941126</v>
      </c>
      <c r="AF53" s="339">
        <f ca="1">IF(AE53&gt;Design!$C$28,Design!$C$28,AE53)</f>
        <v>3.2940895522388054</v>
      </c>
      <c r="AG53" s="237">
        <f>Design!$D$6/3</f>
        <v>1.1666666666666667</v>
      </c>
      <c r="AH53" s="160">
        <f ca="1">FORECAST(AG53, OFFSET(Design!$C$15:$C$17,MATCH(AG53,Design!$B$15:$B$17,1)-1,0,2), OFFSET(Design!$B$15:$B$17,MATCH(AG53,Design!$B$15:$B$17,1)-1,0,2))+(AQ53-25)*Design!$B$18/1000</f>
        <v>0.32113071241547475</v>
      </c>
      <c r="AI53" s="238">
        <f ca="1">IF(100*(Design!$C$28+AH53+AG53*IF(ISBLANK(Design!$B$40),Constants!$C$6,Design!$B$40)/1000*(1+Constants!$C$29/100*(AR53-25)))/($B53+AH53-AG53*AS53/1000)&gt;Design!$C$35,Design!$C$35,100*(Design!$C$28+AH53+AG53*IF(ISBLANK(Design!$B$40),Constants!$C$6,Design!$B$40)/1000*(1+Constants!$C$29/100*(AR53-25)))/($B53+AH53-AG53*AS53/1000))</f>
        <v>34.187093600010485</v>
      </c>
      <c r="AJ53" s="161">
        <f ca="1">IF(($B53-AG53*IF(ISBLANK(Design!$B$40),Constants!$C$6,Design!$B$40)/1000*(1+Constants!$C$29/100*(AR53-25))-Design!$C$28)/(IF(ISBLANK(Design!$B$39),Design!$B$38,Design!$B$39)/1000000)*AI53/100/(IF(ISBLANK(Design!$B$32),Design!$B$31,Design!$B$32)*1000000)&lt;0,0,($B53-AG53*IF(ISBLANK(Design!$B$40),Constants!$C$6,Design!$B$40)/1000*(1+Constants!$C$29/100*(AR53-25))-Design!$C$28)/(IF(ISBLANK(Design!$B$39),Design!$B$38,Design!$B$39)/1000000)*AI53/100/(IF(ISBLANK(Design!$B$32),Design!$B$31,Design!$B$32)*1000000))</f>
        <v>0.73064148005332319</v>
      </c>
      <c r="AK53" s="161">
        <f>$B53*Constants!$C$18/1000+IF(ISBLANK(Design!$B$32),Design!$B$31,Design!$B$32)*1000000*Constants!$D$22/1000000000*(IF($B53&lt;Constants!$C$21,0,$B53-Constants!$C$21))</f>
        <v>1.4356239999999996E-2</v>
      </c>
      <c r="AL53" s="239">
        <f>$B53*AG53*($B53/(Constants!$C$23*1000000000)*IF(ISBLANK(Design!$B$32),Design!$B$31,Design!$B$32)*1000000/2+$B53/(Constants!$C$24*1000000000)*IF(ISBLANK(Design!$B$32),Design!$B$31,Design!$B$32)*1000000/2)</f>
        <v>7.7231619791666636E-2</v>
      </c>
      <c r="AM53" s="239">
        <f t="shared" ca="1" si="17"/>
        <v>0.10300683515311755</v>
      </c>
      <c r="AN53" s="239">
        <f>Constants!$D$22/1000000000*Constants!$C$21*IF(ISBLANK(Design!$B$32),Design!$B$31,Design!$B$32)*1000000</f>
        <v>1.2499999999999999E-2</v>
      </c>
      <c r="AO53" s="239">
        <f t="shared" ca="1" si="26"/>
        <v>0.20709469494478419</v>
      </c>
      <c r="AP53" s="239">
        <f t="shared" ca="1" si="23"/>
        <v>0.24656969771421855</v>
      </c>
      <c r="AQ53" s="240">
        <f ca="1">$A53+AP53*Design!$B$19</f>
        <v>99.054472769710458</v>
      </c>
      <c r="AR53" s="240">
        <f ca="1">AO53*Design!$C$12+$A53</f>
        <v>92.041219628122661</v>
      </c>
      <c r="AS53" s="240">
        <f ca="1">Constants!$D$19+Constants!$D$19*Constants!$C$20/100*(AR53-25)</f>
        <v>214.35957084299775</v>
      </c>
      <c r="AT53" s="239">
        <f ca="1">(1-Constants!$D$17/1000000000*Design!$B$32*1000000) * ($B53+AH53-AG53*AS53/1000) - (AH53+AG53*(1+($A53-25)*Constants!$C$29/100)*IF(ISBLANK(Design!$B$40),Constants!$C$6/1000,Design!$B$40/1000))</f>
        <v>9.45819493696861</v>
      </c>
      <c r="AU53" s="342">
        <f ca="1">IF(AT53&gt;Design!$C$28,Design!$C$28,AT53)</f>
        <v>3.2940895522388054</v>
      </c>
    </row>
    <row r="54" spans="1:47" ht="12.75" customHeight="1" x14ac:dyDescent="0.25">
      <c r="A54" s="154">
        <f>Design!$D$13</f>
        <v>85</v>
      </c>
      <c r="B54" s="155">
        <f t="shared" si="14"/>
        <v>10.354999999999999</v>
      </c>
      <c r="C54" s="156">
        <f>Design!$D$6</f>
        <v>3.5</v>
      </c>
      <c r="D54" s="156">
        <f ca="1">FORECAST(C54, OFFSET(Design!$C$15:$C$17,MATCH(C54,Design!$B$15:$B$17,1)-1,0,2), OFFSET(Design!$B$15:$B$17,MATCH(C54,Design!$B$15:$B$17,1)-1,0,2))+(M54-25)*Design!$B$18/1000</f>
        <v>0.38962321903358899</v>
      </c>
      <c r="E54" s="215">
        <f ca="1">IF(100*(Design!$C$28+D54+C54*IF(ISBLANK(Design!$B$40),Constants!$C$6,Design!$B$40)/1000*(1+Constants!$C$29/100*(N54-25)))/($B54+D54-C54*O54/1000)&gt;Design!$C$35,Design!$C$35,100*(Design!$C$28+D54+C54*IF(ISBLANK(Design!$B$40),Constants!$C$6,Design!$B$40)/1000*(1+Constants!$C$29/100*(N54-25)))/($B54+D54-C54*O54/1000))</f>
        <v>38.406169660900169</v>
      </c>
      <c r="F54" s="157">
        <f ca="1">IF(($B54-C54*IF(ISBLANK(Design!$B$40),Constants!$C$6,Design!$B$40)/1000*(1+Constants!$C$29/100*(N54-25))-Design!$C$28)/(IF(ISBLANK(Design!$B$39),Design!$B$38,Design!$B$39)/1000000)*E54/100/(IF(ISBLANK(Design!$B$32),Design!$B$31,Design!$B$32)*1000000)&lt;0,0,($B54-C54*IF(ISBLANK(Design!$B$40),Constants!$C$6,Design!$B$40)/1000*(1+Constants!$C$29/100*(N54-25))-Design!$C$28)/(IF(ISBLANK(Design!$B$39),Design!$B$38,Design!$B$39)/1000000)*E54/100/(IF(ISBLANK(Design!$B$32),Design!$B$31,Design!$B$32)*1000000))</f>
        <v>0.78628924465958261</v>
      </c>
      <c r="G54" s="207">
        <f>$B54*Constants!$C$18/1000+IF(ISBLANK(Design!$B$32),Design!$B$31,Design!$B$32)*1000000*Constants!$D$22/1000000000*(IF($B54&lt;Constants!$C$21,0,$B54-Constants!$C$21))</f>
        <v>1.3760279999999996E-2</v>
      </c>
      <c r="H54" s="207">
        <f>B54*C54*(B54/(Constants!$C$23*1000000000)*IF(ISBLANK(Design!$B$32),Design!$B$31,Design!$B$32)*1000000/2+B54/(Constants!$C$24*1000000000)*IF(ISBLANK(Design!$B$32),Design!$B$31,Design!$B$32)*1000000/2)</f>
        <v>0.22152598914930546</v>
      </c>
      <c r="I54" s="207">
        <f t="shared" ca="1" si="15"/>
        <v>1.204820242325799</v>
      </c>
      <c r="J54" s="207">
        <f>Constants!$D$22/1000000000*Constants!$C$21*IF(ISBLANK(Design!$B$32),Design!$B$31,Design!$B$32)*1000000</f>
        <v>1.2499999999999999E-2</v>
      </c>
      <c r="K54" s="207">
        <f t="shared" ca="1" si="24"/>
        <v>1.4526065114751043</v>
      </c>
      <c r="L54" s="207">
        <f t="shared" ca="1" si="19"/>
        <v>0.83994352572650843</v>
      </c>
      <c r="M54" s="208">
        <f ca="1">$A54+L54*Design!$B$19</f>
        <v>132.87678096641099</v>
      </c>
      <c r="N54" s="208">
        <f ca="1">K54*Design!$C$12+A54</f>
        <v>134.38862139015356</v>
      </c>
      <c r="O54" s="208">
        <f ca="1">Constants!$D$19+Constants!$D$19*Constants!$C$20/100*(N54-25)</f>
        <v>255.01307653454739</v>
      </c>
      <c r="P54" s="207">
        <f ca="1">(1-Constants!$D$17/1000000000*Design!$B$32*1000000) * ($B54+D54-C54*O54/1000) - (D54+C54*(1+($A54-25)*Constants!$C$29/100)*IF(ISBLANK(Design!$B$40),Constants!$C$6/1000,Design!$B$40/1000))</f>
        <v>8.587782036036069</v>
      </c>
      <c r="Q54" s="213">
        <f ca="1">IF(P54&gt;Design!$C$28,Design!$C$28,P54)</f>
        <v>3.2940895522388054</v>
      </c>
      <c r="R54" s="335">
        <f>2*Design!$D$6/3</f>
        <v>2.3333333333333335</v>
      </c>
      <c r="S54" s="158">
        <f ca="1">FORECAST(R54, OFFSET(Design!$C$15:$C$17,MATCH(R54,Design!$B$15:$B$17,1)-1,0,2), OFFSET(Design!$B$15:$B$17,MATCH(R54,Design!$B$15:$B$17,1)-1,0,2))+(AB54-25)*Design!$B$18/1000</f>
        <v>0.37657691520651715</v>
      </c>
      <c r="T54" s="224">
        <f ca="1">IF(100*(Design!$C$28+S54+R54*IF(ISBLANK(Design!$B$40),Constants!$C$6,Design!$B$40)/1000*(1+Constants!$C$29/100*(AC54-25)))/($B54+S54-R54*AD54/1000)&gt;Design!$C$35,Design!$C$35,100*(Design!$C$28+S54+R54*IF(ISBLANK(Design!$B$40),Constants!$C$6,Design!$B$40)/1000*(1+Constants!$C$29/100*(AC54-25)))/($B54+S54-R54*AD54/1000))</f>
        <v>36.594610168034734</v>
      </c>
      <c r="U54" s="159">
        <f ca="1">IF(($B54-R54*IF(ISBLANK(Design!$B$40),Constants!$C$6,Design!$B$40)/1000*(1+Constants!$C$29/100*(AC54-25))-Design!$C$28)/(IF(ISBLANK(Design!$B$39),Design!$B$38,Design!$B$39)/1000000)*T54/100/(IF(ISBLANK(Design!$B$32),Design!$B$31,Design!$B$32)*1000000)&lt;0,0,($B54-R54*IF(ISBLANK(Design!$B$40),Constants!$C$6,Design!$B$40)/1000*(1+Constants!$C$29/100*(AC54-25))-Design!$C$28)/(IF(ISBLANK(Design!$B$39),Design!$B$38,Design!$B$39)/1000000)*T54/100/(IF(ISBLANK(Design!$B$32),Design!$B$31,Design!$B$32)*1000000))</f>
        <v>0.75334254393181577</v>
      </c>
      <c r="V54" s="159">
        <f>$B54*Constants!$C$18/1000+IF(ISBLANK(Design!$B$32),Design!$B$31,Design!$B$32)*1000000*Constants!$D$22/1000000000*(IF($B54&lt;Constants!$C$21,0,$B54-Constants!$C$21))</f>
        <v>1.3760279999999996E-2</v>
      </c>
      <c r="W54" s="225">
        <f>$B54*R54*($B54/(Constants!$C$23*1000000000)*IF(ISBLANK(Design!$B$32),Design!$B$31,Design!$B$32)*1000000/2+$B54/(Constants!$C$24*1000000000)*IF(ISBLANK(Design!$B$32),Design!$B$31,Design!$B$32)*1000000/2)</f>
        <v>0.14768399276620367</v>
      </c>
      <c r="X54" s="225">
        <f t="shared" ca="1" si="16"/>
        <v>0.45870911300069267</v>
      </c>
      <c r="Y54" s="225">
        <f>Constants!$D$22/1000000000*Constants!$C$21*IF(ISBLANK(Design!$B$32),Design!$B$31,Design!$B$32)*1000000</f>
        <v>1.2499999999999999E-2</v>
      </c>
      <c r="Z54" s="225">
        <f t="shared" ca="1" si="25"/>
        <v>0.63265338576689634</v>
      </c>
      <c r="AA54" s="225">
        <f t="shared" ca="1" si="21"/>
        <v>0.55713014257572346</v>
      </c>
      <c r="AB54" s="226">
        <f ca="1">$A54+AA54*Design!$B$19</f>
        <v>116.75641812681624</v>
      </c>
      <c r="AC54" s="226">
        <f ca="1">Z54*Design!$C$12+$A54</f>
        <v>106.51021511607448</v>
      </c>
      <c r="AD54" s="226">
        <f ca="1">Constants!$D$19+Constants!$D$19*Constants!$C$20/100*(AC54-25)</f>
        <v>228.2498065114315</v>
      </c>
      <c r="AE54" s="225">
        <f ca="1">(1-Constants!$D$17/1000000000*Design!$B$32*1000000) * ($B54+S54-R54*AD54/1000) - (S54+R54*(1+($A54-25)*Constants!$C$29/100)*IF(ISBLANK(Design!$B$40),Constants!$C$6/1000,Design!$B$40/1000))</f>
        <v>8.9488269288056053</v>
      </c>
      <c r="AF54" s="339">
        <f ca="1">IF(AE54&gt;Design!$C$28,Design!$C$28,AE54)</f>
        <v>3.2940895522388054</v>
      </c>
      <c r="AG54" s="237">
        <f>Design!$D$6/3</f>
        <v>1.1666666666666667</v>
      </c>
      <c r="AH54" s="160">
        <f ca="1">FORECAST(AG54, OFFSET(Design!$C$15:$C$17,MATCH(AG54,Design!$B$15:$B$17,1)-1,0,2), OFFSET(Design!$B$15:$B$17,MATCH(AG54,Design!$B$15:$B$17,1)-1,0,2))+(AQ54-25)*Design!$B$18/1000</f>
        <v>0.32128859094647955</v>
      </c>
      <c r="AI54" s="238">
        <f ca="1">IF(100*(Design!$C$28+AH54+AG54*IF(ISBLANK(Design!$B$40),Constants!$C$6,Design!$B$40)/1000*(1+Constants!$C$29/100*(AR54-25)))/($B54+AH54-AG54*AS54/1000)&gt;Design!$C$35,Design!$C$35,100*(Design!$C$28+AH54+AG54*IF(ISBLANK(Design!$B$40),Constants!$C$6,Design!$B$40)/1000*(1+Constants!$C$29/100*(AR54-25)))/($B54+AH54-AG54*AS54/1000))</f>
        <v>34.958368325554972</v>
      </c>
      <c r="AJ54" s="161">
        <f ca="1">IF(($B54-AG54*IF(ISBLANK(Design!$B$40),Constants!$C$6,Design!$B$40)/1000*(1+Constants!$C$29/100*(AR54-25))-Design!$C$28)/(IF(ISBLANK(Design!$B$39),Design!$B$38,Design!$B$39)/1000000)*AI54/100/(IF(ISBLANK(Design!$B$32),Design!$B$31,Design!$B$32)*1000000)&lt;0,0,($B54-AG54*IF(ISBLANK(Design!$B$40),Constants!$C$6,Design!$B$40)/1000*(1+Constants!$C$29/100*(AR54-25))-Design!$C$28)/(IF(ISBLANK(Design!$B$39),Design!$B$38,Design!$B$39)/1000000)*AI54/100/(IF(ISBLANK(Design!$B$32),Design!$B$31,Design!$B$32)*1000000))</f>
        <v>0.72296321122007456</v>
      </c>
      <c r="AK54" s="161">
        <f>$B54*Constants!$C$18/1000+IF(ISBLANK(Design!$B$32),Design!$B$31,Design!$B$32)*1000000*Constants!$D$22/1000000000*(IF($B54&lt;Constants!$C$21,0,$B54-Constants!$C$21))</f>
        <v>1.3760279999999996E-2</v>
      </c>
      <c r="AL54" s="239">
        <f>$B54*AG54*($B54/(Constants!$C$23*1000000000)*IF(ISBLANK(Design!$B$32),Design!$B$31,Design!$B$32)*1000000/2+$B54/(Constants!$C$24*1000000000)*IF(ISBLANK(Design!$B$32),Design!$B$31,Design!$B$32)*1000000/2)</f>
        <v>7.3841996383101835E-2</v>
      </c>
      <c r="AM54" s="239">
        <f t="shared" ca="1" si="17"/>
        <v>0.10523281017007326</v>
      </c>
      <c r="AN54" s="239">
        <f>Constants!$D$22/1000000000*Constants!$C$21*IF(ISBLANK(Design!$B$32),Design!$B$31,Design!$B$32)*1000000</f>
        <v>1.2499999999999999E-2</v>
      </c>
      <c r="AO54" s="239">
        <f t="shared" ca="1" si="26"/>
        <v>0.20533508655317512</v>
      </c>
      <c r="AP54" s="239">
        <f t="shared" ca="1" si="23"/>
        <v>0.24379989892466086</v>
      </c>
      <c r="AQ54" s="240">
        <f ca="1">$A54+AP54*Design!$B$19</f>
        <v>98.896594238705674</v>
      </c>
      <c r="AR54" s="240">
        <f ca="1">AO54*Design!$C$12+$A54</f>
        <v>91.981392942807958</v>
      </c>
      <c r="AS54" s="240">
        <f ca="1">Constants!$D$19+Constants!$D$19*Constants!$C$20/100*(AR54-25)</f>
        <v>214.30213722509563</v>
      </c>
      <c r="AT54" s="239">
        <f ca="1">(1-Constants!$D$17/1000000000*Design!$B$32*1000000) * ($B54+AH54-AG54*AS54/1000) - (AH54+AG54*(1+($A54-25)*Constants!$C$29/100)*IF(ISBLANK(Design!$B$40),Constants!$C$6/1000,Design!$B$40/1000))</f>
        <v>9.2420439521026783</v>
      </c>
      <c r="AU54" s="342">
        <f ca="1">IF(AT54&gt;Design!$C$28,Design!$C$28,AT54)</f>
        <v>3.2940895522388054</v>
      </c>
    </row>
    <row r="55" spans="1:47" ht="12.75" customHeight="1" x14ac:dyDescent="0.25">
      <c r="A55" s="154">
        <f>Design!$D$13</f>
        <v>85</v>
      </c>
      <c r="B55" s="155">
        <f t="shared" si="14"/>
        <v>10.119999999999999</v>
      </c>
      <c r="C55" s="156">
        <f>Design!$D$6</f>
        <v>3.5</v>
      </c>
      <c r="D55" s="156">
        <f ca="1">FORECAST(C55, OFFSET(Design!$C$15:$C$17,MATCH(C55,Design!$B$15:$B$17,1)-1,0,2), OFFSET(Design!$B$15:$B$17,MATCH(C55,Design!$B$15:$B$17,1)-1,0,2))+(M55-25)*Design!$B$18/1000</f>
        <v>0.39028586964796463</v>
      </c>
      <c r="E55" s="215">
        <f ca="1">IF(100*(Design!$C$28+D55+C55*IF(ISBLANK(Design!$B$40),Constants!$C$6,Design!$B$40)/1000*(1+Constants!$C$29/100*(N55-25)))/($B55+D55-C55*O55/1000)&gt;Design!$C$35,Design!$C$35,100*(Design!$C$28+D55+C55*IF(ISBLANK(Design!$B$40),Constants!$C$6,Design!$B$40)/1000*(1+Constants!$C$29/100*(N55-25)))/($B55+D55-C55*O55/1000))</f>
        <v>39.361804786202725</v>
      </c>
      <c r="F55" s="157">
        <f ca="1">IF(($B55-C55*IF(ISBLANK(Design!$B$40),Constants!$C$6,Design!$B$40)/1000*(1+Constants!$C$29/100*(N55-25))-Design!$C$28)/(IF(ISBLANK(Design!$B$39),Design!$B$38,Design!$B$39)/1000000)*E55/100/(IF(ISBLANK(Design!$B$32),Design!$B$31,Design!$B$32)*1000000)&lt;0,0,($B55-C55*IF(ISBLANK(Design!$B$40),Constants!$C$6,Design!$B$40)/1000*(1+Constants!$C$29/100*(N55-25))-Design!$C$28)/(IF(ISBLANK(Design!$B$39),Design!$B$38,Design!$B$39)/1000000)*E55/100/(IF(ISBLANK(Design!$B$32),Design!$B$31,Design!$B$32)*1000000))</f>
        <v>0.77862312744720508</v>
      </c>
      <c r="G55" s="207">
        <f>$B55*Constants!$C$18/1000+IF(ISBLANK(Design!$B$32),Design!$B$31,Design!$B$32)*1000000*Constants!$D$22/1000000000*(IF($B55&lt;Constants!$C$21,0,$B55-Constants!$C$21))</f>
        <v>1.3164319999999998E-2</v>
      </c>
      <c r="H55" s="207">
        <f>B55*C55*(B55/(Constants!$C$23*1000000000)*IF(ISBLANK(Design!$B$32),Design!$B$31,Design!$B$32)*1000000/2+B55/(Constants!$C$24*1000000000)*IF(ISBLANK(Design!$B$32),Design!$B$31,Design!$B$32)*1000000/2)</f>
        <v>0.21158530555555549</v>
      </c>
      <c r="I55" s="207">
        <f t="shared" ca="1" si="15"/>
        <v>1.238328988102652</v>
      </c>
      <c r="J55" s="207">
        <f>Constants!$D$22/1000000000*Constants!$C$21*IF(ISBLANK(Design!$B$32),Design!$B$31,Design!$B$32)*1000000</f>
        <v>1.2499999999999999E-2</v>
      </c>
      <c r="K55" s="207">
        <f t="shared" ca="1" si="24"/>
        <v>1.4755786136582074</v>
      </c>
      <c r="L55" s="207">
        <f t="shared" ca="1" si="19"/>
        <v>0.82831807635149701</v>
      </c>
      <c r="M55" s="208">
        <f ca="1">$A55+L55*Design!$B$19</f>
        <v>132.21413035203534</v>
      </c>
      <c r="N55" s="208">
        <f ca="1">K55*Design!$C$12+A55</f>
        <v>135.16967286437904</v>
      </c>
      <c r="O55" s="208">
        <f ca="1">Constants!$D$19+Constants!$D$19*Constants!$C$20/100*(N55-25)</f>
        <v>255.76288594980389</v>
      </c>
      <c r="P55" s="207">
        <f ca="1">(1-Constants!$D$17/1000000000*Design!$B$32*1000000) * ($B55+D55-C55*O55/1000) - (D55+C55*(1+($A55-25)*Constants!$C$29/100)*IF(ISBLANK(Design!$B$40),Constants!$C$6/1000,Design!$B$40/1000))</f>
        <v>8.369114637669794</v>
      </c>
      <c r="Q55" s="213">
        <f ca="1">IF(P55&gt;Design!$C$28,Design!$C$28,P55)</f>
        <v>3.2940895522388054</v>
      </c>
      <c r="R55" s="335">
        <f>2*Design!$D$6/3</f>
        <v>2.3333333333333335</v>
      </c>
      <c r="S55" s="158">
        <f ca="1">FORECAST(R55, OFFSET(Design!$C$15:$C$17,MATCH(R55,Design!$B$15:$B$17,1)-1,0,2), OFFSET(Design!$B$15:$B$17,MATCH(R55,Design!$B$15:$B$17,1)-1,0,2))+(AB55-25)*Design!$B$18/1000</f>
        <v>0.37697777185257203</v>
      </c>
      <c r="T55" s="224">
        <f ca="1">IF(100*(Design!$C$28+S55+R55*IF(ISBLANK(Design!$B$40),Constants!$C$6,Design!$B$40)/1000*(1+Constants!$C$29/100*(AC55-25)))/($B55+S55-R55*AD55/1000)&gt;Design!$C$35,Design!$C$35,100*(Design!$C$28+S55+R55*IF(ISBLANK(Design!$B$40),Constants!$C$6,Design!$B$40)/1000*(1+Constants!$C$29/100*(AC55-25)))/($B55+S55-R55*AD55/1000))</f>
        <v>37.461537798226686</v>
      </c>
      <c r="U55" s="159">
        <f ca="1">IF(($B55-R55*IF(ISBLANK(Design!$B$40),Constants!$C$6,Design!$B$40)/1000*(1+Constants!$C$29/100*(AC55-25))-Design!$C$28)/(IF(ISBLANK(Design!$B$39),Design!$B$38,Design!$B$39)/1000000)*T55/100/(IF(ISBLANK(Design!$B$32),Design!$B$31,Design!$B$32)*1000000)&lt;0,0,($B55-R55*IF(ISBLANK(Design!$B$40),Constants!$C$6,Design!$B$40)/1000*(1+Constants!$C$29/100*(AC55-25))-Design!$C$28)/(IF(ISBLANK(Design!$B$39),Design!$B$38,Design!$B$39)/1000000)*T55/100/(IF(ISBLANK(Design!$B$32),Design!$B$31,Design!$B$32)*1000000))</f>
        <v>0.74529410210385294</v>
      </c>
      <c r="V55" s="159">
        <f>$B55*Constants!$C$18/1000+IF(ISBLANK(Design!$B$32),Design!$B$31,Design!$B$32)*1000000*Constants!$D$22/1000000000*(IF($B55&lt;Constants!$C$21,0,$B55-Constants!$C$21))</f>
        <v>1.3164319999999998E-2</v>
      </c>
      <c r="W55" s="225">
        <f>$B55*R55*($B55/(Constants!$C$23*1000000000)*IF(ISBLANK(Design!$B$32),Design!$B$31,Design!$B$32)*1000000/2+$B55/(Constants!$C$24*1000000000)*IF(ISBLANK(Design!$B$32),Design!$B$31,Design!$B$32)*1000000/2)</f>
        <v>0.14105687037037035</v>
      </c>
      <c r="X55" s="225">
        <f t="shared" ca="1" si="16"/>
        <v>0.4697460565606274</v>
      </c>
      <c r="Y55" s="225">
        <f>Constants!$D$22/1000000000*Constants!$C$21*IF(ISBLANK(Design!$B$32),Design!$B$31,Design!$B$32)*1000000</f>
        <v>1.2499999999999999E-2</v>
      </c>
      <c r="Z55" s="225">
        <f t="shared" ca="1" si="25"/>
        <v>0.63646724693099777</v>
      </c>
      <c r="AA55" s="225">
        <f t="shared" ca="1" si="21"/>
        <v>0.55009756983791869</v>
      </c>
      <c r="AB55" s="226">
        <f ca="1">$A55+AA55*Design!$B$19</f>
        <v>116.35556148076137</v>
      </c>
      <c r="AC55" s="226">
        <f ca="1">Z55*Design!$C$12+$A55</f>
        <v>106.63988639565392</v>
      </c>
      <c r="AD55" s="226">
        <f ca="1">Constants!$D$19+Constants!$D$19*Constants!$C$20/100*(AC55-25)</f>
        <v>228.37429093982774</v>
      </c>
      <c r="AE55" s="225">
        <f ca="1">(1-Constants!$D$17/1000000000*Design!$B$32*1000000) * ($B55+S55-R55*AD55/1000) - (S55+R55*(1+($A55-25)*Constants!$C$29/100)*IF(ISBLANK(Design!$B$40),Constants!$C$6/1000,Design!$B$40/1000))</f>
        <v>8.7323276337009652</v>
      </c>
      <c r="AF55" s="339">
        <f ca="1">IF(AE55&gt;Design!$C$28,Design!$C$28,AE55)</f>
        <v>3.2940895522388054</v>
      </c>
      <c r="AG55" s="237">
        <f>Design!$D$6/3</f>
        <v>1.1666666666666667</v>
      </c>
      <c r="AH55" s="160">
        <f ca="1">FORECAST(AG55, OFFSET(Design!$C$15:$C$17,MATCH(AG55,Design!$B$15:$B$17,1)-1,0,2), OFFSET(Design!$B$15:$B$17,MATCH(AG55,Design!$B$15:$B$17,1)-1,0,2))+(AQ55-25)*Design!$B$18/1000</f>
        <v>0.32145392526340633</v>
      </c>
      <c r="AI55" s="238">
        <f ca="1">IF(100*(Design!$C$28+AH55+AG55*IF(ISBLANK(Design!$B$40),Constants!$C$6,Design!$B$40)/1000*(1+Constants!$C$29/100*(AR55-25)))/($B55+AH55-AG55*AS55/1000)&gt;Design!$C$35,Design!$C$35,100*(Design!$C$28+AH55+AG55*IF(ISBLANK(Design!$B$40),Constants!$C$6,Design!$B$40)/1000*(1+Constants!$C$29/100*(AR55-25)))/($B55+AH55-AG55*AS55/1000))</f>
        <v>35.765254247090503</v>
      </c>
      <c r="AJ55" s="161">
        <f ca="1">IF(($B55-AG55*IF(ISBLANK(Design!$B$40),Constants!$C$6,Design!$B$40)/1000*(1+Constants!$C$29/100*(AR55-25))-Design!$C$28)/(IF(ISBLANK(Design!$B$39),Design!$B$38,Design!$B$39)/1000000)*AI55/100/(IF(ISBLANK(Design!$B$32),Design!$B$31,Design!$B$32)*1000000)&lt;0,0,($B55-AG55*IF(ISBLANK(Design!$B$40),Constants!$C$6,Design!$B$40)/1000*(1+Constants!$C$29/100*(AR55-25))-Design!$C$28)/(IF(ISBLANK(Design!$B$39),Design!$B$38,Design!$B$39)/1000000)*AI55/100/(IF(ISBLANK(Design!$B$32),Design!$B$31,Design!$B$32)*1000000))</f>
        <v>0.71493058566799528</v>
      </c>
      <c r="AK55" s="161">
        <f>$B55*Constants!$C$18/1000+IF(ISBLANK(Design!$B$32),Design!$B$31,Design!$B$32)*1000000*Constants!$D$22/1000000000*(IF($B55&lt;Constants!$C$21,0,$B55-Constants!$C$21))</f>
        <v>1.3164319999999998E-2</v>
      </c>
      <c r="AL55" s="239">
        <f>$B55*AG55*($B55/(Constants!$C$23*1000000000)*IF(ISBLANK(Design!$B$32),Design!$B$31,Design!$B$32)*1000000/2+$B55/(Constants!$C$24*1000000000)*IF(ISBLANK(Design!$B$32),Design!$B$31,Design!$B$32)*1000000/2)</f>
        <v>7.0528435185185173E-2</v>
      </c>
      <c r="AM55" s="239">
        <f t="shared" ca="1" si="17"/>
        <v>0.10756205713136663</v>
      </c>
      <c r="AN55" s="239">
        <f>Constants!$D$22/1000000000*Constants!$C$21*IF(ISBLANK(Design!$B$32),Design!$B$31,Design!$B$32)*1000000</f>
        <v>1.2499999999999999E-2</v>
      </c>
      <c r="AO55" s="239">
        <f t="shared" ca="1" si="26"/>
        <v>0.20375481231655179</v>
      </c>
      <c r="AP55" s="239">
        <f t="shared" ca="1" si="23"/>
        <v>0.24089929687331291</v>
      </c>
      <c r="AQ55" s="240">
        <f ca="1">$A55+AP55*Design!$B$19</f>
        <v>98.731259921778843</v>
      </c>
      <c r="AR55" s="240">
        <f ca="1">AO55*Design!$C$12+$A55</f>
        <v>91.927663618762764</v>
      </c>
      <c r="AS55" s="240">
        <f ca="1">Constants!$D$19+Constants!$D$19*Constants!$C$20/100*(AR55-25)</f>
        <v>214.25055707401225</v>
      </c>
      <c r="AT55" s="239">
        <f ca="1">(1-Constants!$D$17/1000000000*Design!$B$32*1000000) * ($B55+AH55-AG55*AS55/1000) - (AH55+AG55*(1+($A55-25)*Constants!$C$29/100)*IF(ISBLANK(Design!$B$40),Constants!$C$6/1000,Design!$B$40/1000))</f>
        <v>9.0258860880528218</v>
      </c>
      <c r="AU55" s="342">
        <f ca="1">IF(AT55&gt;Design!$C$28,Design!$C$28,AT55)</f>
        <v>3.2940895522388054</v>
      </c>
    </row>
    <row r="56" spans="1:47" ht="12.75" customHeight="1" x14ac:dyDescent="0.25">
      <c r="A56" s="154">
        <f>Design!$D$13</f>
        <v>85</v>
      </c>
      <c r="B56" s="155">
        <f t="shared" si="14"/>
        <v>9.8849999999999998</v>
      </c>
      <c r="C56" s="156">
        <f>Design!$D$6</f>
        <v>3.5</v>
      </c>
      <c r="D56" s="156">
        <f ca="1">FORECAST(C56, OFFSET(Design!$C$15:$C$17,MATCH(C56,Design!$B$15:$B$17,1)-1,0,2), OFFSET(Design!$B$15:$B$17,MATCH(C56,Design!$B$15:$B$17,1)-1,0,2))+(M56-25)*Design!$B$18/1000</f>
        <v>0.39098557283724722</v>
      </c>
      <c r="E56" s="215">
        <f ca="1">IF(100*(Design!$C$28+D56+C56*IF(ISBLANK(Design!$B$40),Constants!$C$6,Design!$B$40)/1000*(1+Constants!$C$29/100*(N56-25)))/($B56+D56-C56*O56/1000)&gt;Design!$C$35,Design!$C$35,100*(Design!$C$28+D56+C56*IF(ISBLANK(Design!$B$40),Constants!$C$6,Design!$B$40)/1000*(1+Constants!$C$29/100*(N56-25)))/($B56+D56-C56*O56/1000))</f>
        <v>40.36735890783158</v>
      </c>
      <c r="F56" s="157">
        <f ca="1">IF(($B56-C56*IF(ISBLANK(Design!$B$40),Constants!$C$6,Design!$B$40)/1000*(1+Constants!$C$29/100*(N56-25))-Design!$C$28)/(IF(ISBLANK(Design!$B$39),Design!$B$38,Design!$B$39)/1000000)*E56/100/(IF(ISBLANK(Design!$B$32),Design!$B$31,Design!$B$32)*1000000)&lt;0,0,($B56-C56*IF(ISBLANK(Design!$B$40),Constants!$C$6,Design!$B$40)/1000*(1+Constants!$C$29/100*(N56-25))-Design!$C$28)/(IF(ISBLANK(Design!$B$39),Design!$B$38,Design!$B$39)/1000000)*E56/100/(IF(ISBLANK(Design!$B$32),Design!$B$31,Design!$B$32)*1000000))</f>
        <v>0.77058508907674761</v>
      </c>
      <c r="G56" s="207">
        <f>$B56*Constants!$C$18/1000+IF(ISBLANK(Design!$B$32),Design!$B$31,Design!$B$32)*1000000*Constants!$D$22/1000000000*(IF($B56&lt;Constants!$C$21,0,$B56-Constants!$C$21))</f>
        <v>1.2568359999999999E-2</v>
      </c>
      <c r="H56" s="207">
        <f>B56*C56*(B56/(Constants!$C$23*1000000000)*IF(ISBLANK(Design!$B$32),Design!$B$31,Design!$B$32)*1000000/2+B56/(Constants!$C$24*1000000000)*IF(ISBLANK(Design!$B$32),Design!$B$31,Design!$B$32)*1000000/2)</f>
        <v>0.20187280859374998</v>
      </c>
      <c r="I56" s="207">
        <f t="shared" ca="1" si="15"/>
        <v>1.2739605299321322</v>
      </c>
      <c r="J56" s="207">
        <f>Constants!$D$22/1000000000*Constants!$C$21*IF(ISBLANK(Design!$B$32),Design!$B$31,Design!$B$32)*1000000</f>
        <v>1.2499999999999999E-2</v>
      </c>
      <c r="K56" s="207">
        <f t="shared" ca="1" si="24"/>
        <v>1.5009016985258821</v>
      </c>
      <c r="L56" s="207">
        <f t="shared" ca="1" si="19"/>
        <v>0.8160425818026803</v>
      </c>
      <c r="M56" s="208">
        <f ca="1">$A56+L56*Design!$B$19</f>
        <v>131.51442716275278</v>
      </c>
      <c r="N56" s="208">
        <f ca="1">K56*Design!$C$12+A56</f>
        <v>136.03065774987999</v>
      </c>
      <c r="O56" s="208">
        <f ca="1">Constants!$D$19+Constants!$D$19*Constants!$C$20/100*(N56-25)</f>
        <v>256.58943143988478</v>
      </c>
      <c r="P56" s="207">
        <f ca="1">(1-Constants!$D$17/1000000000*Design!$B$32*1000000) * ($B56+D56-C56*O56/1000) - (D56+C56*(1+($A56-25)*Constants!$C$29/100)*IF(ISBLANK(Design!$B$40),Constants!$C$6/1000,Design!$B$40/1000))</f>
        <v>8.1501971849365926</v>
      </c>
      <c r="Q56" s="213">
        <f ca="1">IF(P56&gt;Design!$C$28,Design!$C$28,P56)</f>
        <v>3.2940895522388054</v>
      </c>
      <c r="R56" s="335">
        <f>2*Design!$D$6/3</f>
        <v>2.3333333333333335</v>
      </c>
      <c r="S56" s="158">
        <f ca="1">FORECAST(R56, OFFSET(Design!$C$15:$C$17,MATCH(R56,Design!$B$15:$B$17,1)-1,0,2), OFFSET(Design!$B$15:$B$17,MATCH(R56,Design!$B$15:$B$17,1)-1,0,2))+(AB56-25)*Design!$B$18/1000</f>
        <v>0.37739908606790112</v>
      </c>
      <c r="T56" s="224">
        <f ca="1">IF(100*(Design!$C$28+S56+R56*IF(ISBLANK(Design!$B$40),Constants!$C$6,Design!$B$40)/1000*(1+Constants!$C$29/100*(AC56-25)))/($B56+S56-R56*AD56/1000)&gt;Design!$C$35,Design!$C$35,100*(Design!$C$28+S56+R56*IF(ISBLANK(Design!$B$40),Constants!$C$6,Design!$B$40)/1000*(1+Constants!$C$29/100*(AC56-25)))/($B56+S56-R56*AD56/1000))</f>
        <v>38.370723753646033</v>
      </c>
      <c r="U56" s="159">
        <f ca="1">IF(($B56-R56*IF(ISBLANK(Design!$B$40),Constants!$C$6,Design!$B$40)/1000*(1+Constants!$C$29/100*(AC56-25))-Design!$C$28)/(IF(ISBLANK(Design!$B$39),Design!$B$38,Design!$B$39)/1000000)*T56/100/(IF(ISBLANK(Design!$B$32),Design!$B$31,Design!$B$32)*1000000)&lt;0,0,($B56-R56*IF(ISBLANK(Design!$B$40),Constants!$C$6,Design!$B$40)/1000*(1+Constants!$C$29/100*(AC56-25))-Design!$C$28)/(IF(ISBLANK(Design!$B$39),Design!$B$38,Design!$B$39)/1000000)*T56/100/(IF(ISBLANK(Design!$B$32),Design!$B$31,Design!$B$32)*1000000))</f>
        <v>0.73685813493507013</v>
      </c>
      <c r="V56" s="159">
        <f>$B56*Constants!$C$18/1000+IF(ISBLANK(Design!$B$32),Design!$B$31,Design!$B$32)*1000000*Constants!$D$22/1000000000*(IF($B56&lt;Constants!$C$21,0,$B56-Constants!$C$21))</f>
        <v>1.2568359999999999E-2</v>
      </c>
      <c r="W56" s="225">
        <f>$B56*R56*($B56/(Constants!$C$23*1000000000)*IF(ISBLANK(Design!$B$32),Design!$B$31,Design!$B$32)*1000000/2+$B56/(Constants!$C$24*1000000000)*IF(ISBLANK(Design!$B$32),Design!$B$31,Design!$B$32)*1000000/2)</f>
        <v>0.13458187239583333</v>
      </c>
      <c r="X56" s="225">
        <f t="shared" ca="1" si="16"/>
        <v>0.48136834067266104</v>
      </c>
      <c r="Y56" s="225">
        <f>Constants!$D$22/1000000000*Constants!$C$21*IF(ISBLANK(Design!$B$32),Design!$B$31,Design!$B$32)*1000000</f>
        <v>1.2499999999999999E-2</v>
      </c>
      <c r="Z56" s="225">
        <f t="shared" ca="1" si="25"/>
        <v>0.6410185730684943</v>
      </c>
      <c r="AA56" s="225">
        <f t="shared" ca="1" si="21"/>
        <v>0.54270609237600465</v>
      </c>
      <c r="AB56" s="226">
        <f ca="1">$A56+AA56*Design!$B$19</f>
        <v>115.93424726543226</v>
      </c>
      <c r="AC56" s="226">
        <f ca="1">Z56*Design!$C$12+$A56</f>
        <v>106.7946314843288</v>
      </c>
      <c r="AD56" s="226">
        <f ca="1">Constants!$D$19+Constants!$D$19*Constants!$C$20/100*(AC56-25)</f>
        <v>228.52284622495563</v>
      </c>
      <c r="AE56" s="225">
        <f ca="1">(1-Constants!$D$17/1000000000*Design!$B$32*1000000) * ($B56+S56-R56*AD56/1000) - (S56+R56*(1+($A56-25)*Constants!$C$29/100)*IF(ISBLANK(Design!$B$40),Constants!$C$6/1000,Design!$B$40/1000))</f>
        <v>8.5157750298849955</v>
      </c>
      <c r="AF56" s="339">
        <f ca="1">IF(AE56&gt;Design!$C$28,Design!$C$28,AE56)</f>
        <v>3.2940895522388054</v>
      </c>
      <c r="AG56" s="237">
        <f>Design!$D$6/3</f>
        <v>1.1666666666666667</v>
      </c>
      <c r="AH56" s="160">
        <f ca="1">FORECAST(AG56, OFFSET(Design!$C$15:$C$17,MATCH(AG56,Design!$B$15:$B$17,1)-1,0,2), OFFSET(Design!$B$15:$B$17,MATCH(AG56,Design!$B$15:$B$17,1)-1,0,2))+(AQ56-25)*Design!$B$18/1000</f>
        <v>0.32162725607848541</v>
      </c>
      <c r="AI56" s="238">
        <f ca="1">IF(100*(Design!$C$28+AH56+AG56*IF(ISBLANK(Design!$B$40),Constants!$C$6,Design!$B$40)/1000*(1+Constants!$C$29/100*(AR56-25)))/($B56+AH56-AG56*AS56/1000)&gt;Design!$C$35,Design!$C$35,100*(Design!$C$28+AH56+AG56*IF(ISBLANK(Design!$B$40),Constants!$C$6,Design!$B$40)/1000*(1+Constants!$C$29/100*(AR56-25)))/($B56+AH56-AG56*AS56/1000))</f>
        <v>36.61027499059243</v>
      </c>
      <c r="AJ56" s="161">
        <f ca="1">IF(($B56-AG56*IF(ISBLANK(Design!$B$40),Constants!$C$6,Design!$B$40)/1000*(1+Constants!$C$29/100*(AR56-25))-Design!$C$28)/(IF(ISBLANK(Design!$B$39),Design!$B$38,Design!$B$39)/1000000)*AI56/100/(IF(ISBLANK(Design!$B$32),Design!$B$31,Design!$B$32)*1000000)&lt;0,0,($B56-AG56*IF(ISBLANK(Design!$B$40),Constants!$C$6,Design!$B$40)/1000*(1+Constants!$C$29/100*(AR56-25))-Design!$C$28)/(IF(ISBLANK(Design!$B$39),Design!$B$38,Design!$B$39)/1000000)*AI56/100/(IF(ISBLANK(Design!$B$32),Design!$B$31,Design!$B$32)*1000000))</f>
        <v>0.70651845950212178</v>
      </c>
      <c r="AK56" s="161">
        <f>$B56*Constants!$C$18/1000+IF(ISBLANK(Design!$B$32),Design!$B$31,Design!$B$32)*1000000*Constants!$D$22/1000000000*(IF($B56&lt;Constants!$C$21,0,$B56-Constants!$C$21))</f>
        <v>1.2568359999999999E-2</v>
      </c>
      <c r="AL56" s="239">
        <f>$B56*AG56*($B56/(Constants!$C$23*1000000000)*IF(ISBLANK(Design!$B$32),Design!$B$31,Design!$B$32)*1000000/2+$B56/(Constants!$C$24*1000000000)*IF(ISBLANK(Design!$B$32),Design!$B$31,Design!$B$32)*1000000/2)</f>
        <v>6.7290936197916665E-2</v>
      </c>
      <c r="AM56" s="239">
        <f t="shared" ca="1" si="17"/>
        <v>0.11000189209961329</v>
      </c>
      <c r="AN56" s="239">
        <f>Constants!$D$22/1000000000*Constants!$C$21*IF(ISBLANK(Design!$B$32),Design!$B$31,Design!$B$32)*1000000</f>
        <v>1.2499999999999999E-2</v>
      </c>
      <c r="AO56" s="239">
        <f t="shared" ca="1" si="26"/>
        <v>0.20236118829752997</v>
      </c>
      <c r="AP56" s="239">
        <f t="shared" ca="1" si="23"/>
        <v>0.2378584053806975</v>
      </c>
      <c r="AQ56" s="240">
        <f ca="1">$A56+AP56*Design!$B$19</f>
        <v>98.55792910669976</v>
      </c>
      <c r="AR56" s="240">
        <f ca="1">AO56*Design!$C$12+$A56</f>
        <v>91.880280402116014</v>
      </c>
      <c r="AS56" s="240">
        <f ca="1">Constants!$D$19+Constants!$D$19*Constants!$C$20/100*(AR56-25)</f>
        <v>214.20506918603138</v>
      </c>
      <c r="AT56" s="239">
        <f ca="1">(1-Constants!$D$17/1000000000*Design!$B$32*1000000) * ($B56+AH56-AG56*AS56/1000) - (AH56+AG56*(1+($A56-25)*Constants!$C$29/100)*IF(ISBLANK(Design!$B$40),Constants!$C$6/1000,Design!$B$40/1000))</f>
        <v>8.8097210452540473</v>
      </c>
      <c r="AU56" s="342">
        <f ca="1">IF(AT56&gt;Design!$C$28,Design!$C$28,AT56)</f>
        <v>3.2940895522388054</v>
      </c>
    </row>
    <row r="57" spans="1:47" ht="12.75" customHeight="1" x14ac:dyDescent="0.25">
      <c r="A57" s="154">
        <f>Design!$D$13</f>
        <v>85</v>
      </c>
      <c r="B57" s="155">
        <f t="shared" si="14"/>
        <v>9.65</v>
      </c>
      <c r="C57" s="156">
        <f>Design!$D$6</f>
        <v>3.5</v>
      </c>
      <c r="D57" s="156">
        <f ca="1">FORECAST(C57, OFFSET(Design!$C$15:$C$17,MATCH(C57,Design!$B$15:$B$17,1)-1,0,2), OFFSET(Design!$B$15:$B$17,MATCH(C57,Design!$B$15:$B$17,1)-1,0,2))+(M57-25)*Design!$B$18/1000</f>
        <v>0.39172559269898494</v>
      </c>
      <c r="E57" s="215">
        <f ca="1">IF(100*(Design!$C$28+D57+C57*IF(ISBLANK(Design!$B$40),Constants!$C$6,Design!$B$40)/1000*(1+Constants!$C$29/100*(N57-25)))/($B57+D57-C57*O57/1000)&gt;Design!$C$35,Design!$C$35,100*(Design!$C$28+D57+C57*IF(ISBLANK(Design!$B$40),Constants!$C$6,Design!$B$40)/1000*(1+Constants!$C$29/100*(N57-25)))/($B57+D57-C57*O57/1000))</f>
        <v>41.426944037335772</v>
      </c>
      <c r="F57" s="157">
        <f ca="1">IF(($B57-C57*IF(ISBLANK(Design!$B$40),Constants!$C$6,Design!$B$40)/1000*(1+Constants!$C$29/100*(N57-25))-Design!$C$28)/(IF(ISBLANK(Design!$B$39),Design!$B$38,Design!$B$39)/1000000)*E57/100/(IF(ISBLANK(Design!$B$32),Design!$B$31,Design!$B$32)*1000000)&lt;0,0,($B57-C57*IF(ISBLANK(Design!$B$40),Constants!$C$6,Design!$B$40)/1000*(1+Constants!$C$29/100*(N57-25))-Design!$C$28)/(IF(ISBLANK(Design!$B$39),Design!$B$38,Design!$B$39)/1000000)*E57/100/(IF(ISBLANK(Design!$B$32),Design!$B$31,Design!$B$32)*1000000))</f>
        <v>0.76214673559156632</v>
      </c>
      <c r="G57" s="207">
        <f>$B57*Constants!$C$18/1000+IF(ISBLANK(Design!$B$32),Design!$B$31,Design!$B$32)*1000000*Constants!$D$22/1000000000*(IF($B57&lt;Constants!$C$21,0,$B57-Constants!$C$21))</f>
        <v>1.1972400000000001E-2</v>
      </c>
      <c r="H57" s="207">
        <f>B57*C57*(B57/(Constants!$C$23*1000000000)*IF(ISBLANK(Design!$B$32),Design!$B$31,Design!$B$32)*1000000/2+B57/(Constants!$C$24*1000000000)*IF(ISBLANK(Design!$B$32),Design!$B$31,Design!$B$32)*1000000/2)</f>
        <v>0.1923884982638889</v>
      </c>
      <c r="I57" s="207">
        <f t="shared" ca="1" si="15"/>
        <v>1.3119221516654251</v>
      </c>
      <c r="J57" s="207">
        <f>Constants!$D$22/1000000000*Constants!$C$21*IF(ISBLANK(Design!$B$32),Design!$B$31,Design!$B$32)*1000000</f>
        <v>1.2499999999999999E-2</v>
      </c>
      <c r="K57" s="207">
        <f t="shared" ca="1" si="24"/>
        <v>1.528783049929314</v>
      </c>
      <c r="L57" s="207">
        <f t="shared" ca="1" si="19"/>
        <v>0.80305977721079091</v>
      </c>
      <c r="M57" s="208">
        <f ca="1">$A57+L57*Design!$B$19</f>
        <v>130.77440730101509</v>
      </c>
      <c r="N57" s="208">
        <f ca="1">K57*Design!$C$12+A57</f>
        <v>136.97862369759667</v>
      </c>
      <c r="O57" s="208">
        <f ca="1">Constants!$D$19+Constants!$D$19*Constants!$C$20/100*(N57-25)</f>
        <v>257.4994787496928</v>
      </c>
      <c r="P57" s="207">
        <f ca="1">(1-Constants!$D$17/1000000000*Design!$B$32*1000000) * ($B57+D57-C57*O57/1000) - (D57+C57*(1+($A57-25)*Constants!$C$29/100)*IF(ISBLANK(Design!$B$40),Constants!$C$6/1000,Design!$B$40/1000))</f>
        <v>7.9310076310100692</v>
      </c>
      <c r="Q57" s="213">
        <f ca="1">IF(P57&gt;Design!$C$28,Design!$C$28,P57)</f>
        <v>3.2940895522388054</v>
      </c>
      <c r="R57" s="335">
        <f>2*Design!$D$6/3</f>
        <v>2.3333333333333335</v>
      </c>
      <c r="S57" s="158">
        <f ca="1">FORECAST(R57, OFFSET(Design!$C$15:$C$17,MATCH(R57,Design!$B$15:$B$17,1)-1,0,2), OFFSET(Design!$B$15:$B$17,MATCH(R57,Design!$B$15:$B$17,1)-1,0,2))+(AB57-25)*Design!$B$18/1000</f>
        <v>0.37784246883925465</v>
      </c>
      <c r="T57" s="224">
        <f ca="1">IF(100*(Design!$C$28+S57+R57*IF(ISBLANK(Design!$B$40),Constants!$C$6,Design!$B$40)/1000*(1+Constants!$C$29/100*(AC57-25)))/($B57+S57-R57*AD57/1000)&gt;Design!$C$35,Design!$C$35,100*(Design!$C$28+S57+R57*IF(ISBLANK(Design!$B$40),Constants!$C$6,Design!$B$40)/1000*(1+Constants!$C$29/100*(AC57-25)))/($B57+S57-R57*AD57/1000))</f>
        <v>39.32534345318323</v>
      </c>
      <c r="U57" s="159">
        <f ca="1">IF(($B57-R57*IF(ISBLANK(Design!$B$40),Constants!$C$6,Design!$B$40)/1000*(1+Constants!$C$29/100*(AC57-25))-Design!$C$28)/(IF(ISBLANK(Design!$B$39),Design!$B$38,Design!$B$39)/1000000)*T57/100/(IF(ISBLANK(Design!$B$32),Design!$B$31,Design!$B$32)*1000000)&lt;0,0,($B57-R57*IF(ISBLANK(Design!$B$40),Constants!$C$6,Design!$B$40)/1000*(1+Constants!$C$29/100*(AC57-25))-Design!$C$28)/(IF(ISBLANK(Design!$B$39),Design!$B$38,Design!$B$39)/1000000)*T57/100/(IF(ISBLANK(Design!$B$32),Design!$B$31,Design!$B$32)*1000000))</f>
        <v>0.72800572168982913</v>
      </c>
      <c r="V57" s="159">
        <f>$B57*Constants!$C$18/1000+IF(ISBLANK(Design!$B$32),Design!$B$31,Design!$B$32)*1000000*Constants!$D$22/1000000000*(IF($B57&lt;Constants!$C$21,0,$B57-Constants!$C$21))</f>
        <v>1.1972400000000001E-2</v>
      </c>
      <c r="W57" s="225">
        <f>$B57*R57*($B57/(Constants!$C$23*1000000000)*IF(ISBLANK(Design!$B$32),Design!$B$31,Design!$B$32)*1000000/2+$B57/(Constants!$C$24*1000000000)*IF(ISBLANK(Design!$B$32),Design!$B$31,Design!$B$32)*1000000/2)</f>
        <v>0.12825899884259262</v>
      </c>
      <c r="X57" s="225">
        <f t="shared" ca="1" si="16"/>
        <v>0.49362303557703452</v>
      </c>
      <c r="Y57" s="225">
        <f>Constants!$D$22/1000000000*Constants!$C$21*IF(ISBLANK(Design!$B$32),Design!$B$31,Design!$B$32)*1000000</f>
        <v>1.2499999999999999E-2</v>
      </c>
      <c r="Z57" s="225">
        <f t="shared" ca="1" si="25"/>
        <v>0.64635443441962703</v>
      </c>
      <c r="AA57" s="225">
        <f t="shared" ca="1" si="21"/>
        <v>0.53492744726453889</v>
      </c>
      <c r="AB57" s="226">
        <f ca="1">$A57+AA57*Design!$B$19</f>
        <v>115.49086449407872</v>
      </c>
      <c r="AC57" s="226">
        <f ca="1">Z57*Design!$C$12+$A57</f>
        <v>106.97605077026732</v>
      </c>
      <c r="AD57" s="226">
        <f ca="1">Constants!$D$19+Constants!$D$19*Constants!$C$20/100*(AC57-25)</f>
        <v>228.69700873945663</v>
      </c>
      <c r="AE57" s="225">
        <f ca="1">(1-Constants!$D$17/1000000000*Design!$B$32*1000000) * ($B57+S57-R57*AD57/1000) - (S57+R57*(1+($A57-25)*Constants!$C$29/100)*IF(ISBLANK(Design!$B$40),Constants!$C$6/1000,Design!$B$40/1000))</f>
        <v>8.2991656903988265</v>
      </c>
      <c r="AF57" s="339">
        <f ca="1">IF(AE57&gt;Design!$C$28,Design!$C$28,AE57)</f>
        <v>3.2940895522388054</v>
      </c>
      <c r="AG57" s="237">
        <f>Design!$D$6/3</f>
        <v>1.1666666666666667</v>
      </c>
      <c r="AH57" s="160">
        <f ca="1">FORECAST(AG57, OFFSET(Design!$C$15:$C$17,MATCH(AG57,Design!$B$15:$B$17,1)-1,0,2), OFFSET(Design!$B$15:$B$17,MATCH(AG57,Design!$B$15:$B$17,1)-1,0,2))+(AQ57-25)*Design!$B$18/1000</f>
        <v>0.32180917766599981</v>
      </c>
      <c r="AI57" s="238">
        <f ca="1">IF(100*(Design!$C$28+AH57+AG57*IF(ISBLANK(Design!$B$40),Constants!$C$6,Design!$B$40)/1000*(1+Constants!$C$29/100*(AR57-25)))/($B57+AH57-AG57*AS57/1000)&gt;Design!$C$35,Design!$C$35,100*(Design!$C$28+AH57+AG57*IF(ISBLANK(Design!$B$40),Constants!$C$6,Design!$B$40)/1000*(1+Constants!$C$29/100*(AR57-25)))/($B57+AH57-AG57*AS57/1000))</f>
        <v>37.496198314742713</v>
      </c>
      <c r="AJ57" s="161">
        <f ca="1">IF(($B57-AG57*IF(ISBLANK(Design!$B$40),Constants!$C$6,Design!$B$40)/1000*(1+Constants!$C$29/100*(AR57-25))-Design!$C$28)/(IF(ISBLANK(Design!$B$39),Design!$B$38,Design!$B$39)/1000000)*AI57/100/(IF(ISBLANK(Design!$B$32),Design!$B$31,Design!$B$32)*1000000)&lt;0,0,($B57-AG57*IF(ISBLANK(Design!$B$40),Constants!$C$6,Design!$B$40)/1000*(1+Constants!$C$29/100*(AR57-25))-Design!$C$28)/(IF(ISBLANK(Design!$B$39),Design!$B$38,Design!$B$39)/1000000)*AI57/100/(IF(ISBLANK(Design!$B$32),Design!$B$31,Design!$B$32)*1000000))</f>
        <v>0.69769925364870045</v>
      </c>
      <c r="AK57" s="161">
        <f>$B57*Constants!$C$18/1000+IF(ISBLANK(Design!$B$32),Design!$B$31,Design!$B$32)*1000000*Constants!$D$22/1000000000*(IF($B57&lt;Constants!$C$21,0,$B57-Constants!$C$21))</f>
        <v>1.1972400000000001E-2</v>
      </c>
      <c r="AL57" s="239">
        <f>$B57*AG57*($B57/(Constants!$C$23*1000000000)*IF(ISBLANK(Design!$B$32),Design!$B$31,Design!$B$32)*1000000/2+$B57/(Constants!$C$24*1000000000)*IF(ISBLANK(Design!$B$32),Design!$B$31,Design!$B$32)*1000000/2)</f>
        <v>6.412949942129631E-2</v>
      </c>
      <c r="AM57" s="239">
        <f t="shared" ca="1" si="17"/>
        <v>0.11256034453028287</v>
      </c>
      <c r="AN57" s="239">
        <f>Constants!$D$22/1000000000*Constants!$C$21*IF(ISBLANK(Design!$B$32),Design!$B$31,Design!$B$32)*1000000</f>
        <v>1.2499999999999999E-2</v>
      </c>
      <c r="AO57" s="239">
        <f t="shared" ca="1" si="26"/>
        <v>0.20116224395157917</v>
      </c>
      <c r="AP57" s="239">
        <f t="shared" ca="1" si="23"/>
        <v>0.23466679858219947</v>
      </c>
      <c r="AQ57" s="240">
        <f ca="1">$A57+AP57*Design!$B$19</f>
        <v>98.376007519185364</v>
      </c>
      <c r="AR57" s="240">
        <f ca="1">AO57*Design!$C$12+$A57</f>
        <v>91.839516294353686</v>
      </c>
      <c r="AS57" s="240">
        <f ca="1">Constants!$D$19+Constants!$D$19*Constants!$C$20/100*(AR57-25)</f>
        <v>214.16593564257954</v>
      </c>
      <c r="AT57" s="239">
        <f ca="1">(1-Constants!$D$17/1000000000*Design!$B$32*1000000) * ($B57+AH57-AG57*AS57/1000) - (AH57+AG57*(1+($A57-25)*Constants!$C$29/100)*IF(ISBLANK(Design!$B$40),Constants!$C$6/1000,Design!$B$40/1000))</f>
        <v>8.5935484948636862</v>
      </c>
      <c r="AU57" s="342">
        <f ca="1">IF(AT57&gt;Design!$C$28,Design!$C$28,AT57)</f>
        <v>3.2940895522388054</v>
      </c>
    </row>
    <row r="58" spans="1:47" ht="12.75" customHeight="1" x14ac:dyDescent="0.25">
      <c r="A58" s="154">
        <f>Design!$D$13</f>
        <v>85</v>
      </c>
      <c r="B58" s="155">
        <f t="shared" si="14"/>
        <v>9.4150000000000009</v>
      </c>
      <c r="C58" s="156">
        <f>Design!$D$6</f>
        <v>3.5</v>
      </c>
      <c r="D58" s="156">
        <f ca="1">FORECAST(C58, OFFSET(Design!$C$15:$C$17,MATCH(C58,Design!$B$15:$B$17,1)-1,0,2), OFFSET(Design!$B$15:$B$17,MATCH(C58,Design!$B$15:$B$17,1)-1,0,2))+(M58-25)*Design!$B$18/1000</f>
        <v>0.39250959806910424</v>
      </c>
      <c r="E58" s="215">
        <f ca="1">IF(100*(Design!$C$28+D58+C58*IF(ISBLANK(Design!$B$40),Constants!$C$6,Design!$B$40)/1000*(1+Constants!$C$29/100*(N58-25)))/($B58+D58-C58*O58/1000)&gt;Design!$C$35,Design!$C$35,100*(Design!$C$28+D58+C58*IF(ISBLANK(Design!$B$40),Constants!$C$6,Design!$B$40)/1000*(1+Constants!$C$29/100*(N58-25)))/($B58+D58-C58*O58/1000))</f>
        <v>42.54515042135197</v>
      </c>
      <c r="F58" s="157">
        <f ca="1">IF(($B58-C58*IF(ISBLANK(Design!$B$40),Constants!$C$6,Design!$B$40)/1000*(1+Constants!$C$29/100*(N58-25))-Design!$C$28)/(IF(ISBLANK(Design!$B$39),Design!$B$38,Design!$B$39)/1000000)*E58/100/(IF(ISBLANK(Design!$B$32),Design!$B$31,Design!$B$32)*1000000)&lt;0,0,($B58-C58*IF(ISBLANK(Design!$B$40),Constants!$C$6,Design!$B$40)/1000*(1+Constants!$C$29/100*(N58-25))-Design!$C$28)/(IF(ISBLANK(Design!$B$39),Design!$B$38,Design!$B$39)/1000000)*E58/100/(IF(ISBLANK(Design!$B$32),Design!$B$31,Design!$B$32)*1000000))</f>
        <v>0.75327668012798044</v>
      </c>
      <c r="G58" s="207">
        <f>$B58*Constants!$C$18/1000+IF(ISBLANK(Design!$B$32),Design!$B$31,Design!$B$32)*1000000*Constants!$D$22/1000000000*(IF($B58&lt;Constants!$C$21,0,$B58-Constants!$C$21))</f>
        <v>1.1376440000000002E-2</v>
      </c>
      <c r="H58" s="207">
        <f>B58*C58*(B58/(Constants!$C$23*1000000000)*IF(ISBLANK(Design!$B$32),Design!$B$31,Design!$B$32)*1000000/2+B58/(Constants!$C$24*1000000000)*IF(ISBLANK(Design!$B$32),Design!$B$31,Design!$B$32)*1000000/2)</f>
        <v>0.18313237456597226</v>
      </c>
      <c r="I58" s="207">
        <f t="shared" ca="1" si="15"/>
        <v>1.3524495641311813</v>
      </c>
      <c r="J58" s="207">
        <f>Constants!$D$22/1000000000*Constants!$C$21*IF(ISBLANK(Design!$B$32),Design!$B$31,Design!$B$32)*1000000</f>
        <v>1.2499999999999999E-2</v>
      </c>
      <c r="K58" s="207">
        <f t="shared" ca="1" si="24"/>
        <v>1.5594583786971536</v>
      </c>
      <c r="L58" s="207">
        <f t="shared" ca="1" si="19"/>
        <v>0.78930529703325947</v>
      </c>
      <c r="M58" s="208">
        <f ca="1">$A58+L58*Design!$B$19</f>
        <v>129.99040193089579</v>
      </c>
      <c r="N58" s="208">
        <f ca="1">K58*Design!$C$12+A58</f>
        <v>138.02158487570324</v>
      </c>
      <c r="O58" s="208">
        <f ca="1">Constants!$D$19+Constants!$D$19*Constants!$C$20/100*(N58-25)</f>
        <v>258.50072148067511</v>
      </c>
      <c r="P58" s="207">
        <f ca="1">(1-Constants!$D$17/1000000000*Design!$B$32*1000000) * ($B58+D58-C58*O58/1000) - (D58+C58*(1+($A58-25)*Constants!$C$29/100)*IF(ISBLANK(Design!$B$40),Constants!$C$6/1000,Design!$B$40/1000))</f>
        <v>7.7115209089866976</v>
      </c>
      <c r="Q58" s="213">
        <f ca="1">IF(P58&gt;Design!$C$28,Design!$C$28,P58)</f>
        <v>3.2940895522388054</v>
      </c>
      <c r="R58" s="335">
        <f>2*Design!$D$6/3</f>
        <v>2.3333333333333335</v>
      </c>
      <c r="S58" s="158">
        <f ca="1">FORECAST(R58, OFFSET(Design!$C$15:$C$17,MATCH(R58,Design!$B$15:$B$17,1)-1,0,2), OFFSET(Design!$B$15:$B$17,MATCH(R58,Design!$B$15:$B$17,1)-1,0,2))+(AB58-25)*Design!$B$18/1000</f>
        <v>0.37830970536497421</v>
      </c>
      <c r="T58" s="224">
        <f ca="1">IF(100*(Design!$C$28+S58+R58*IF(ISBLANK(Design!$B$40),Constants!$C$6,Design!$B$40)/1000*(1+Constants!$C$29/100*(AC58-25)))/($B58+S58-R58*AD58/1000)&gt;Design!$C$35,Design!$C$35,100*(Design!$C$28+S58+R58*IF(ISBLANK(Design!$B$40),Constants!$C$6,Design!$B$40)/1000*(1+Constants!$C$29/100*(AC58-25)))/($B58+S58-R58*AD58/1000))</f>
        <v>40.328899716149472</v>
      </c>
      <c r="U58" s="159">
        <f ca="1">IF(($B58-R58*IF(ISBLANK(Design!$B$40),Constants!$C$6,Design!$B$40)/1000*(1+Constants!$C$29/100*(AC58-25))-Design!$C$28)/(IF(ISBLANK(Design!$B$39),Design!$B$38,Design!$B$39)/1000000)*T58/100/(IF(ISBLANK(Design!$B$32),Design!$B$31,Design!$B$32)*1000000)&lt;0,0,($B58-R58*IF(ISBLANK(Design!$B$40),Constants!$C$6,Design!$B$40)/1000*(1+Constants!$C$29/100*(AC58-25))-Design!$C$28)/(IF(ISBLANK(Design!$B$39),Design!$B$38,Design!$B$39)/1000000)*T58/100/(IF(ISBLANK(Design!$B$32),Design!$B$31,Design!$B$32)*1000000))</f>
        <v>0.71870498501566371</v>
      </c>
      <c r="V58" s="159">
        <f>$B58*Constants!$C$18/1000+IF(ISBLANK(Design!$B$32),Design!$B$31,Design!$B$32)*1000000*Constants!$D$22/1000000000*(IF($B58&lt;Constants!$C$21,0,$B58-Constants!$C$21))</f>
        <v>1.1376440000000002E-2</v>
      </c>
      <c r="W58" s="225">
        <f>$B58*R58*($B58/(Constants!$C$23*1000000000)*IF(ISBLANK(Design!$B$32),Design!$B$31,Design!$B$32)*1000000/2+$B58/(Constants!$C$24*1000000000)*IF(ISBLANK(Design!$B$32),Design!$B$31,Design!$B$32)*1000000/2)</f>
        <v>0.12208824971064819</v>
      </c>
      <c r="X58" s="225">
        <f t="shared" ca="1" si="16"/>
        <v>0.5065624207120325</v>
      </c>
      <c r="Y58" s="225">
        <f>Constants!$D$22/1000000000*Constants!$C$21*IF(ISBLANK(Design!$B$32),Design!$B$31,Design!$B$32)*1000000</f>
        <v>1.2499999999999999E-2</v>
      </c>
      <c r="Z58" s="225">
        <f t="shared" ca="1" si="25"/>
        <v>0.65252711042268063</v>
      </c>
      <c r="AA58" s="225">
        <f t="shared" ca="1" si="21"/>
        <v>0.52673031523437086</v>
      </c>
      <c r="AB58" s="226">
        <f ca="1">$A58+AA58*Design!$B$19</f>
        <v>115.02362796835914</v>
      </c>
      <c r="AC58" s="226">
        <f ca="1">Z58*Design!$C$12+$A58</f>
        <v>107.18592175437114</v>
      </c>
      <c r="AD58" s="226">
        <f ca="1">Constants!$D$19+Constants!$D$19*Constants!$C$20/100*(AC58-25)</f>
        <v>228.89848488419631</v>
      </c>
      <c r="AE58" s="225">
        <f ca="1">(1-Constants!$D$17/1000000000*Design!$B$32*1000000) * ($B58+S58-R58*AD58/1000) - (S58+R58*(1+($A58-25)*Constants!$C$29/100)*IF(ISBLANK(Design!$B$40),Constants!$C$6/1000,Design!$B$40/1000))</f>
        <v>8.0824958093527286</v>
      </c>
      <c r="AF58" s="339">
        <f ca="1">IF(AE58&gt;Design!$C$28,Design!$C$28,AE58)</f>
        <v>3.2940895522388054</v>
      </c>
      <c r="AG58" s="237">
        <f>Design!$D$6/3</f>
        <v>1.1666666666666667</v>
      </c>
      <c r="AH58" s="160">
        <f ca="1">FORECAST(AG58, OFFSET(Design!$C$15:$C$17,MATCH(AG58,Design!$B$15:$B$17,1)-1,0,2), OFFSET(Design!$B$15:$B$17,MATCH(AG58,Design!$B$15:$B$17,1)-1,0,2))+(AQ58-25)*Design!$B$18/1000</f>
        <v>0.32200034466045241</v>
      </c>
      <c r="AI58" s="238">
        <f ca="1">IF(100*(Design!$C$28+AH58+AG58*IF(ISBLANK(Design!$B$40),Constants!$C$6,Design!$B$40)/1000*(1+Constants!$C$29/100*(AR58-25)))/($B58+AH58-AG58*AS58/1000)&gt;Design!$C$35,Design!$C$35,100*(Design!$C$28+AH58+AG58*IF(ISBLANK(Design!$B$40),Constants!$C$6,Design!$B$40)/1000*(1+Constants!$C$29/100*(AR58-25)))/($B58+AH58-AG58*AS58/1000))</f>
        <v>38.426066352046007</v>
      </c>
      <c r="AJ58" s="161">
        <f ca="1">IF(($B58-AG58*IF(ISBLANK(Design!$B$40),Constants!$C$6,Design!$B$40)/1000*(1+Constants!$C$29/100*(AR58-25))-Design!$C$28)/(IF(ISBLANK(Design!$B$39),Design!$B$38,Design!$B$39)/1000000)*AI58/100/(IF(ISBLANK(Design!$B$32),Design!$B$31,Design!$B$32)*1000000)&lt;0,0,($B58-AG58*IF(ISBLANK(Design!$B$40),Constants!$C$6,Design!$B$40)/1000*(1+Constants!$C$29/100*(AR58-25))-Design!$C$28)/(IF(ISBLANK(Design!$B$39),Design!$B$38,Design!$B$39)/1000000)*AI58/100/(IF(ISBLANK(Design!$B$32),Design!$B$31,Design!$B$32)*1000000))</f>
        <v>0.68844265184070952</v>
      </c>
      <c r="AK58" s="161">
        <f>$B58*Constants!$C$18/1000+IF(ISBLANK(Design!$B$32),Design!$B$31,Design!$B$32)*1000000*Constants!$D$22/1000000000*(IF($B58&lt;Constants!$C$21,0,$B58-Constants!$C$21))</f>
        <v>1.1376440000000002E-2</v>
      </c>
      <c r="AL58" s="239">
        <f>$B58*AG58*($B58/(Constants!$C$23*1000000000)*IF(ISBLANK(Design!$B$32),Design!$B$31,Design!$B$32)*1000000/2+$B58/(Constants!$C$24*1000000000)*IF(ISBLANK(Design!$B$32),Design!$B$31,Design!$B$32)*1000000/2)</f>
        <v>6.1044124855324094E-2</v>
      </c>
      <c r="AM58" s="239">
        <f t="shared" ca="1" si="17"/>
        <v>0.11524624715291554</v>
      </c>
      <c r="AN58" s="239">
        <f>Constants!$D$22/1000000000*Constants!$C$21*IF(ISBLANK(Design!$B$32),Design!$B$31,Design!$B$32)*1000000</f>
        <v>1.2499999999999999E-2</v>
      </c>
      <c r="AO58" s="239">
        <f t="shared" ca="1" si="26"/>
        <v>0.20016681200823966</v>
      </c>
      <c r="AP58" s="239">
        <f t="shared" ca="1" si="23"/>
        <v>0.23131299166197852</v>
      </c>
      <c r="AQ58" s="240">
        <f ca="1">$A58+AP58*Design!$B$19</f>
        <v>98.184840524732778</v>
      </c>
      <c r="AR58" s="240">
        <f ca="1">AO58*Design!$C$12+$A58</f>
        <v>91.80567160828015</v>
      </c>
      <c r="AS58" s="240">
        <f ca="1">Constants!$D$19+Constants!$D$19*Constants!$C$20/100*(AR58-25)</f>
        <v>214.13344474394893</v>
      </c>
      <c r="AT58" s="239">
        <f ca="1">(1-Constants!$D$17/1000000000*Design!$B$32*1000000) * ($B58+AH58-AG58*AS58/1000) - (AH58+AG58*(1+($A58-25)*Constants!$C$29/100)*IF(ISBLANK(Design!$B$40),Constants!$C$6/1000,Design!$B$40/1000))</f>
        <v>8.3773680750686594</v>
      </c>
      <c r="AU58" s="342">
        <f ca="1">IF(AT58&gt;Design!$C$28,Design!$C$28,AT58)</f>
        <v>3.2940895522388054</v>
      </c>
    </row>
    <row r="59" spans="1:47" ht="12.75" customHeight="1" x14ac:dyDescent="0.25">
      <c r="A59" s="154">
        <f>Design!$D$13</f>
        <v>85</v>
      </c>
      <c r="B59" s="155">
        <f t="shared" si="14"/>
        <v>9.1800000000000015</v>
      </c>
      <c r="C59" s="156">
        <f>Design!$D$6</f>
        <v>3.5</v>
      </c>
      <c r="D59" s="156">
        <f ca="1">FORECAST(C59, OFFSET(Design!$C$15:$C$17,MATCH(C59,Design!$B$15:$B$17,1)-1,0,2), OFFSET(Design!$B$15:$B$17,MATCH(C59,Design!$B$15:$B$17,1)-1,0,2))+(M59-25)*Design!$B$18/1000</f>
        <v>0.39334172905813758</v>
      </c>
      <c r="E59" s="215">
        <f ca="1">IF(100*(Design!$C$28+D59+C59*IF(ISBLANK(Design!$B$40),Constants!$C$6,Design!$B$40)/1000*(1+Constants!$C$29/100*(N59-25)))/($B59+D59-C59*O59/1000)&gt;Design!$C$35,Design!$C$35,100*(Design!$C$28+D59+C59*IF(ISBLANK(Design!$B$40),Constants!$C$6,Design!$B$40)/1000*(1+Constants!$C$29/100*(N59-25)))/($B59+D59-C59*O59/1000))</f>
        <v>43.727120681912723</v>
      </c>
      <c r="F59" s="157">
        <f ca="1">IF(($B59-C59*IF(ISBLANK(Design!$B$40),Constants!$C$6,Design!$B$40)/1000*(1+Constants!$C$29/100*(N59-25))-Design!$C$28)/(IF(ISBLANK(Design!$B$39),Design!$B$38,Design!$B$39)/1000000)*E59/100/(IF(ISBLANK(Design!$B$32),Design!$B$31,Design!$B$32)*1000000)&lt;0,0,($B59-C59*IF(ISBLANK(Design!$B$40),Constants!$C$6,Design!$B$40)/1000*(1+Constants!$C$29/100*(N59-25))-Design!$C$28)/(IF(ISBLANK(Design!$B$39),Design!$B$38,Design!$B$39)/1000000)*E59/100/(IF(ISBLANK(Design!$B$32),Design!$B$31,Design!$B$32)*1000000))</f>
        <v>0.74394013232778011</v>
      </c>
      <c r="G59" s="207">
        <f>$B59*Constants!$C$18/1000+IF(ISBLANK(Design!$B$32),Design!$B$31,Design!$B$32)*1000000*Constants!$D$22/1000000000*(IF($B59&lt;Constants!$C$21,0,$B59-Constants!$C$21))</f>
        <v>1.0780480000000004E-2</v>
      </c>
      <c r="H59" s="207">
        <f>B59*C59*(B59/(Constants!$C$23*1000000000)*IF(ISBLANK(Design!$B$32),Design!$B$31,Design!$B$32)*1000000/2+B59/(Constants!$C$24*1000000000)*IF(ISBLANK(Design!$B$32),Design!$B$31,Design!$B$32)*1000000/2)</f>
        <v>0.17410443750000007</v>
      </c>
      <c r="I59" s="207">
        <f t="shared" ca="1" si="15"/>
        <v>1.3958120492180266</v>
      </c>
      <c r="J59" s="207">
        <f>Constants!$D$22/1000000000*Constants!$C$21*IF(ISBLANK(Design!$B$32),Design!$B$31,Design!$B$32)*1000000</f>
        <v>1.2499999999999999E-2</v>
      </c>
      <c r="K59" s="207">
        <f t="shared" ca="1" si="24"/>
        <v>1.5931969667180266</v>
      </c>
      <c r="L59" s="207">
        <f t="shared" ca="1" si="19"/>
        <v>0.77470650775197247</v>
      </c>
      <c r="M59" s="208">
        <f ca="1">$A59+L59*Design!$B$19</f>
        <v>129.15827094186244</v>
      </c>
      <c r="N59" s="208">
        <f ca="1">K59*Design!$C$12+A59</f>
        <v>139.16869686841289</v>
      </c>
      <c r="O59" s="208">
        <f ca="1">Constants!$D$19+Constants!$D$19*Constants!$C$20/100*(N59-25)</f>
        <v>259.60194899367639</v>
      </c>
      <c r="P59" s="207">
        <f ca="1">(1-Constants!$D$17/1000000000*Design!$B$32*1000000) * ($B59+D59-C59*O59/1000) - (D59+C59*(1+($A59-25)*Constants!$C$29/100)*IF(ISBLANK(Design!$B$40),Constants!$C$6/1000,Design!$B$40/1000))</f>
        <v>7.4917083859157128</v>
      </c>
      <c r="Q59" s="213">
        <f ca="1">IF(P59&gt;Design!$C$28,Design!$C$28,P59)</f>
        <v>3.2940895522388054</v>
      </c>
      <c r="R59" s="335">
        <f>2*Design!$D$6/3</f>
        <v>2.3333333333333335</v>
      </c>
      <c r="S59" s="158">
        <f ca="1">FORECAST(R59, OFFSET(Design!$C$15:$C$17,MATCH(R59,Design!$B$15:$B$17,1)-1,0,2), OFFSET(Design!$B$15:$B$17,MATCH(R59,Design!$B$15:$B$17,1)-1,0,2))+(AB59-25)*Design!$B$18/1000</f>
        <v>0.37880277933489509</v>
      </c>
      <c r="T59" s="224">
        <f ca="1">IF(100*(Design!$C$28+S59+R59*IF(ISBLANK(Design!$B$40),Constants!$C$6,Design!$B$40)/1000*(1+Constants!$C$29/100*(AC59-25)))/($B59+S59-R59*AD59/1000)&gt;Design!$C$35,Design!$C$35,100*(Design!$C$28+S59+R59*IF(ISBLANK(Design!$B$40),Constants!$C$6,Design!$B$40)/1000*(1+Constants!$C$29/100*(AC59-25)))/($B59+S59-R59*AD59/1000))</f>
        <v>41.385266238117062</v>
      </c>
      <c r="U59" s="159">
        <f ca="1">IF(($B59-R59*IF(ISBLANK(Design!$B$40),Constants!$C$6,Design!$B$40)/1000*(1+Constants!$C$29/100*(AC59-25))-Design!$C$28)/(IF(ISBLANK(Design!$B$39),Design!$B$38,Design!$B$39)/1000000)*T59/100/(IF(ISBLANK(Design!$B$32),Design!$B$31,Design!$B$32)*1000000)&lt;0,0,($B59-R59*IF(ISBLANK(Design!$B$40),Constants!$C$6,Design!$B$40)/1000*(1+Constants!$C$29/100*(AC59-25))-Design!$C$28)/(IF(ISBLANK(Design!$B$39),Design!$B$38,Design!$B$39)/1000000)*T59/100/(IF(ISBLANK(Design!$B$32),Design!$B$31,Design!$B$32)*1000000))</f>
        <v>0.70892070205999747</v>
      </c>
      <c r="V59" s="159">
        <f>$B59*Constants!$C$18/1000+IF(ISBLANK(Design!$B$32),Design!$B$31,Design!$B$32)*1000000*Constants!$D$22/1000000000*(IF($B59&lt;Constants!$C$21,0,$B59-Constants!$C$21))</f>
        <v>1.0780480000000004E-2</v>
      </c>
      <c r="W59" s="225">
        <f>$B59*R59*($B59/(Constants!$C$23*1000000000)*IF(ISBLANK(Design!$B$32),Design!$B$31,Design!$B$32)*1000000/2+$B59/(Constants!$C$24*1000000000)*IF(ISBLANK(Design!$B$32),Design!$B$31,Design!$B$32)*1000000/2)</f>
        <v>0.11606962500000007</v>
      </c>
      <c r="X59" s="225">
        <f t="shared" ca="1" si="16"/>
        <v>0.52024472921599152</v>
      </c>
      <c r="Y59" s="225">
        <f>Constants!$D$22/1000000000*Constants!$C$21*IF(ISBLANK(Design!$B$32),Design!$B$31,Design!$B$32)*1000000</f>
        <v>1.2499999999999999E-2</v>
      </c>
      <c r="Z59" s="225">
        <f t="shared" ca="1" si="25"/>
        <v>0.65959483421599152</v>
      </c>
      <c r="AA59" s="225">
        <f t="shared" ca="1" si="21"/>
        <v>0.51807989470944382</v>
      </c>
      <c r="AB59" s="226">
        <f ca="1">$A59+AA59*Design!$B$19</f>
        <v>114.53055399843829</v>
      </c>
      <c r="AC59" s="226">
        <f ca="1">Z59*Design!$C$12+$A59</f>
        <v>107.42622436334371</v>
      </c>
      <c r="AD59" s="226">
        <f ca="1">Constants!$D$19+Constants!$D$19*Constants!$C$20/100*(AC59-25)</f>
        <v>229.12917538880995</v>
      </c>
      <c r="AE59" s="225">
        <f ca="1">(1-Constants!$D$17/1000000000*Design!$B$32*1000000) * ($B59+S59-R59*AD59/1000) - (S59+R59*(1+($A59-25)*Constants!$C$29/100)*IF(ISBLANK(Design!$B$40),Constants!$C$6/1000,Design!$B$40/1000))</f>
        <v>7.8657611478185654</v>
      </c>
      <c r="AF59" s="339">
        <f ca="1">IF(AE59&gt;Design!$C$28,Design!$C$28,AE59)</f>
        <v>3.2940895522388054</v>
      </c>
      <c r="AG59" s="237">
        <f>Design!$D$6/3</f>
        <v>1.1666666666666667</v>
      </c>
      <c r="AH59" s="160">
        <f ca="1">FORECAST(AG59, OFFSET(Design!$C$15:$C$17,MATCH(AG59,Design!$B$15:$B$17,1)-1,0,2), OFFSET(Design!$B$15:$B$17,MATCH(AG59,Design!$B$15:$B$17,1)-1,0,2))+(AQ59-25)*Design!$B$18/1000</f>
        <v>0.32220147991669612</v>
      </c>
      <c r="AI59" s="238">
        <f ca="1">IF(100*(Design!$C$28+AH59+AG59*IF(ISBLANK(Design!$B$40),Constants!$C$6,Design!$B$40)/1000*(1+Constants!$C$29/100*(AR59-25)))/($B59+AH59-AG59*AS59/1000)&gt;Design!$C$35,Design!$C$35,100*(Design!$C$28+AH59+AG59*IF(ISBLANK(Design!$B$40),Constants!$C$6,Design!$B$40)/1000*(1+Constants!$C$29/100*(AR59-25)))/($B59+AH59-AG59*AS59/1000))</f>
        <v>39.403230457403517</v>
      </c>
      <c r="AJ59" s="161">
        <f ca="1">IF(($B59-AG59*IF(ISBLANK(Design!$B$40),Constants!$C$6,Design!$B$40)/1000*(1+Constants!$C$29/100*(AR59-25))-Design!$C$28)/(IF(ISBLANK(Design!$B$39),Design!$B$38,Design!$B$39)/1000000)*AI59/100/(IF(ISBLANK(Design!$B$32),Design!$B$31,Design!$B$32)*1000000)&lt;0,0,($B59-AG59*IF(ISBLANK(Design!$B$40),Constants!$C$6,Design!$B$40)/1000*(1+Constants!$C$29/100*(AR59-25))-Design!$C$28)/(IF(ISBLANK(Design!$B$39),Design!$B$38,Design!$B$39)/1000000)*AI59/100/(IF(ISBLANK(Design!$B$32),Design!$B$31,Design!$B$32)*1000000))</f>
        <v>0.67871525253089549</v>
      </c>
      <c r="AK59" s="161">
        <f>$B59*Constants!$C$18/1000+IF(ISBLANK(Design!$B$32),Design!$B$31,Design!$B$32)*1000000*Constants!$D$22/1000000000*(IF($B59&lt;Constants!$C$21,0,$B59-Constants!$C$21))</f>
        <v>1.0780480000000004E-2</v>
      </c>
      <c r="AL59" s="239">
        <f>$B59*AG59*($B59/(Constants!$C$23*1000000000)*IF(ISBLANK(Design!$B$32),Design!$B$31,Design!$B$32)*1000000/2+$B59/(Constants!$C$24*1000000000)*IF(ISBLANK(Design!$B$32),Design!$B$31,Design!$B$32)*1000000/2)</f>
        <v>5.8034812500000033E-2</v>
      </c>
      <c r="AM59" s="239">
        <f t="shared" ca="1" si="17"/>
        <v>0.1180693399153777</v>
      </c>
      <c r="AN59" s="239">
        <f>Constants!$D$22/1000000000*Constants!$C$21*IF(ISBLANK(Design!$B$32),Design!$B$31,Design!$B$32)*1000000</f>
        <v>1.2499999999999999E-2</v>
      </c>
      <c r="AO59" s="239">
        <f t="shared" ca="1" si="26"/>
        <v>0.19938463241537774</v>
      </c>
      <c r="AP59" s="239">
        <f t="shared" ca="1" si="23"/>
        <v>0.22778430295594829</v>
      </c>
      <c r="AQ59" s="240">
        <f ca="1">$A59+AP59*Design!$B$19</f>
        <v>97.983705268489047</v>
      </c>
      <c r="AR59" s="240">
        <f ca="1">AO59*Design!$C$12+$A59</f>
        <v>91.779077502122846</v>
      </c>
      <c r="AS59" s="240">
        <f ca="1">Constants!$D$19+Constants!$D$19*Constants!$C$20/100*(AR59-25)</f>
        <v>214.10791440203792</v>
      </c>
      <c r="AT59" s="239">
        <f ca="1">(1-Constants!$D$17/1000000000*Design!$B$32*1000000) * ($B59+AH59-AG59*AS59/1000) - (AH59+AG59*(1+($A59-25)*Constants!$C$29/100)*IF(ISBLANK(Design!$B$40),Constants!$C$6/1000,Design!$B$40/1000))</f>
        <v>8.1611793868151459</v>
      </c>
      <c r="AU59" s="342">
        <f ca="1">IF(AT59&gt;Design!$C$28,Design!$C$28,AT59)</f>
        <v>3.2940895522388054</v>
      </c>
    </row>
    <row r="60" spans="1:47" ht="12.75" customHeight="1" x14ac:dyDescent="0.25">
      <c r="A60" s="154">
        <f>Design!$D$13</f>
        <v>85</v>
      </c>
      <c r="B60" s="155">
        <f t="shared" si="14"/>
        <v>8.9450000000000021</v>
      </c>
      <c r="C60" s="156">
        <f>Design!$D$6</f>
        <v>3.5</v>
      </c>
      <c r="D60" s="156">
        <f ca="1">FORECAST(C60, OFFSET(Design!$C$15:$C$17,MATCH(C60,Design!$B$15:$B$17,1)-1,0,2), OFFSET(Design!$B$15:$B$17,MATCH(C60,Design!$B$15:$B$17,1)-1,0,2))+(M60-25)*Design!$B$18/1000</f>
        <v>0.39422667757074964</v>
      </c>
      <c r="E60" s="215">
        <f ca="1">IF(100*(Design!$C$28+D60+C60*IF(ISBLANK(Design!$B$40),Constants!$C$6,Design!$B$40)/1000*(1+Constants!$C$29/100*(N60-25)))/($B60+D60-C60*O60/1000)&gt;Design!$C$35,Design!$C$35,100*(Design!$C$28+D60+C60*IF(ISBLANK(Design!$B$40),Constants!$C$6,Design!$B$40)/1000*(1+Constants!$C$29/100*(N60-25)))/($B60+D60-C60*O60/1000))</f>
        <v>44.978638763426368</v>
      </c>
      <c r="F60" s="157">
        <f ca="1">IF(($B60-C60*IF(ISBLANK(Design!$B$40),Constants!$C$6,Design!$B$40)/1000*(1+Constants!$C$29/100*(N60-25))-Design!$C$28)/(IF(ISBLANK(Design!$B$39),Design!$B$38,Design!$B$39)/1000000)*E60/100/(IF(ISBLANK(Design!$B$32),Design!$B$31,Design!$B$32)*1000000)&lt;0,0,($B60-C60*IF(ISBLANK(Design!$B$40),Constants!$C$6,Design!$B$40)/1000*(1+Constants!$C$29/100*(N60-25))-Design!$C$28)/(IF(ISBLANK(Design!$B$39),Design!$B$38,Design!$B$39)/1000000)*E60/100/(IF(ISBLANK(Design!$B$32),Design!$B$31,Design!$B$32)*1000000))</f>
        <v>0.73409841705954137</v>
      </c>
      <c r="G60" s="207">
        <f>$B60*Constants!$C$18/1000+IF(ISBLANK(Design!$B$32),Design!$B$31,Design!$B$32)*1000000*Constants!$D$22/1000000000*(IF($B60&lt;Constants!$C$21,0,$B60-Constants!$C$21))</f>
        <v>1.0184520000000004E-2</v>
      </c>
      <c r="H60" s="207">
        <f>B60*C60*(B60/(Constants!$C$23*1000000000)*IF(ISBLANK(Design!$B$32),Design!$B$31,Design!$B$32)*1000000/2+B60/(Constants!$C$24*1000000000)*IF(ISBLANK(Design!$B$32),Design!$B$31,Design!$B$32)*1000000/2)</f>
        <v>0.16530468706597232</v>
      </c>
      <c r="I60" s="207">
        <f t="shared" ca="1" si="15"/>
        <v>1.4423187856467115</v>
      </c>
      <c r="J60" s="207">
        <f>Constants!$D$22/1000000000*Constants!$C$21*IF(ISBLANK(Design!$B$32),Design!$B$31,Design!$B$32)*1000000</f>
        <v>1.2499999999999999E-2</v>
      </c>
      <c r="K60" s="207">
        <f t="shared" ca="1" si="24"/>
        <v>1.6303079927126838</v>
      </c>
      <c r="L60" s="207">
        <f t="shared" ca="1" si="19"/>
        <v>0.7591810952500061</v>
      </c>
      <c r="M60" s="208">
        <f ca="1">$A60+L60*Design!$B$19</f>
        <v>128.27332242925036</v>
      </c>
      <c r="N60" s="208">
        <f ca="1">K60*Design!$C$12+A60</f>
        <v>140.43047175223126</v>
      </c>
      <c r="O60" s="208">
        <f ca="1">Constants!$D$19+Constants!$D$19*Constants!$C$20/100*(N60-25)</f>
        <v>260.81325288214202</v>
      </c>
      <c r="P60" s="207">
        <f ca="1">(1-Constants!$D$17/1000000000*Design!$B$32*1000000) * ($B60+D60-C60*O60/1000) - (D60+C60*(1+($A60-25)*Constants!$C$29/100)*IF(ISBLANK(Design!$B$40),Constants!$C$6/1000,Design!$B$40/1000))</f>
        <v>7.271537191513846</v>
      </c>
      <c r="Q60" s="213">
        <f ca="1">IF(P60&gt;Design!$C$28,Design!$C$28,P60)</f>
        <v>3.2940895522388054</v>
      </c>
      <c r="R60" s="335">
        <f>2*Design!$D$6/3</f>
        <v>2.3333333333333335</v>
      </c>
      <c r="S60" s="158">
        <f ca="1">FORECAST(R60, OFFSET(Design!$C$15:$C$17,MATCH(R60,Design!$B$15:$B$17,1)-1,0,2), OFFSET(Design!$B$15:$B$17,MATCH(R60,Design!$B$15:$B$17,1)-1,0,2))+(AB60-25)*Design!$B$18/1000</f>
        <v>0.37932390140180872</v>
      </c>
      <c r="T60" s="224">
        <f ca="1">IF(100*(Design!$C$28+S60+R60*IF(ISBLANK(Design!$B$40),Constants!$C$6,Design!$B$40)/1000*(1+Constants!$C$29/100*(AC60-25)))/($B60+S60-R60*AD60/1000)&gt;Design!$C$35,Design!$C$35,100*(Design!$C$28+S60+R60*IF(ISBLANK(Design!$B$40),Constants!$C$6,Design!$B$40)/1000*(1+Constants!$C$29/100*(AC60-25)))/($B60+S60-R60*AD60/1000))</f>
        <v>42.498738214418353</v>
      </c>
      <c r="U60" s="159">
        <f ca="1">IF(($B60-R60*IF(ISBLANK(Design!$B$40),Constants!$C$6,Design!$B$40)/1000*(1+Constants!$C$29/100*(AC60-25))-Design!$C$28)/(IF(ISBLANK(Design!$B$39),Design!$B$38,Design!$B$39)/1000000)*T60/100/(IF(ISBLANK(Design!$B$32),Design!$B$31,Design!$B$32)*1000000)&lt;0,0,($B60-R60*IF(ISBLANK(Design!$B$40),Constants!$C$6,Design!$B$40)/1000*(1+Constants!$C$29/100*(AC60-25))-Design!$C$28)/(IF(ISBLANK(Design!$B$39),Design!$B$38,Design!$B$39)/1000000)*T60/100/(IF(ISBLANK(Design!$B$32),Design!$B$31,Design!$B$32)*1000000))</f>
        <v>0.69861385233418838</v>
      </c>
      <c r="V60" s="159">
        <f>$B60*Constants!$C$18/1000+IF(ISBLANK(Design!$B$32),Design!$B$31,Design!$B$32)*1000000*Constants!$D$22/1000000000*(IF($B60&lt;Constants!$C$21,0,$B60-Constants!$C$21))</f>
        <v>1.0184520000000004E-2</v>
      </c>
      <c r="W60" s="225">
        <f>$B60*R60*($B60/(Constants!$C$23*1000000000)*IF(ISBLANK(Design!$B$32),Design!$B$31,Design!$B$32)*1000000/2+$B60/(Constants!$C$24*1000000000)*IF(ISBLANK(Design!$B$32),Design!$B$31,Design!$B$32)*1000000/2)</f>
        <v>0.11020312471064822</v>
      </c>
      <c r="X60" s="225">
        <f t="shared" ca="1" si="16"/>
        <v>0.53473502448516952</v>
      </c>
      <c r="Y60" s="225">
        <f>Constants!$D$22/1000000000*Constants!$C$21*IF(ISBLANK(Design!$B$32),Design!$B$31,Design!$B$32)*1000000</f>
        <v>1.2499999999999999E-2</v>
      </c>
      <c r="Z60" s="225">
        <f t="shared" ca="1" si="25"/>
        <v>0.6676226691958177</v>
      </c>
      <c r="AA60" s="225">
        <f t="shared" ca="1" si="21"/>
        <v>0.50893740230744988</v>
      </c>
      <c r="AB60" s="226">
        <f ca="1">$A60+AA60*Design!$B$19</f>
        <v>114.00943193152465</v>
      </c>
      <c r="AC60" s="226">
        <f ca="1">Z60*Design!$C$12+$A60</f>
        <v>107.69917075265781</v>
      </c>
      <c r="AD60" s="226">
        <f ca="1">Constants!$D$19+Constants!$D$19*Constants!$C$20/100*(AC60-25)</f>
        <v>229.39120392255148</v>
      </c>
      <c r="AE60" s="225">
        <f ca="1">(1-Constants!$D$17/1000000000*Design!$B$32*1000000) * ($B60+S60-R60*AD60/1000) - (S60+R60*(1+($A60-25)*Constants!$C$29/100)*IF(ISBLANK(Design!$B$40),Constants!$C$6/1000,Design!$B$40/1000))</f>
        <v>7.6489569701341145</v>
      </c>
      <c r="AF60" s="339">
        <f ca="1">IF(AE60&gt;Design!$C$28,Design!$C$28,AE60)</f>
        <v>3.2940895522388054</v>
      </c>
      <c r="AG60" s="237">
        <f>Design!$D$6/3</f>
        <v>1.1666666666666667</v>
      </c>
      <c r="AH60" s="160">
        <f ca="1">FORECAST(AG60, OFFSET(Design!$C$15:$C$17,MATCH(AG60,Design!$B$15:$B$17,1)-1,0,2), OFFSET(Design!$B$15:$B$17,MATCH(AG60,Design!$B$15:$B$17,1)-1,0,2))+(AQ60-25)*Design!$B$18/1000</f>
        <v>0.32241338363066402</v>
      </c>
      <c r="AI60" s="238">
        <f ca="1">IF(100*(Design!$C$28+AH60+AG60*IF(ISBLANK(Design!$B$40),Constants!$C$6,Design!$B$40)/1000*(1+Constants!$C$29/100*(AR60-25)))/($B60+AH60-AG60*AS60/1000)&gt;Design!$C$35,Design!$C$35,100*(Design!$C$28+AH60+AG60*IF(ISBLANK(Design!$B$40),Constants!$C$6,Design!$B$40)/1000*(1+Constants!$C$29/100*(AR60-25)))/($B60+AH60-AG60*AS60/1000))</f>
        <v>40.431391504079301</v>
      </c>
      <c r="AJ60" s="161">
        <f ca="1">IF(($B60-AG60*IF(ISBLANK(Design!$B$40),Constants!$C$6,Design!$B$40)/1000*(1+Constants!$C$29/100*(AR60-25))-Design!$C$28)/(IF(ISBLANK(Design!$B$39),Design!$B$38,Design!$B$39)/1000000)*AI60/100/(IF(ISBLANK(Design!$B$32),Design!$B$31,Design!$B$32)*1000000)&lt;0,0,($B60-AG60*IF(ISBLANK(Design!$B$40),Constants!$C$6,Design!$B$40)/1000*(1+Constants!$C$29/100*(AR60-25))-Design!$C$28)/(IF(ISBLANK(Design!$B$39),Design!$B$38,Design!$B$39)/1000000)*AI60/100/(IF(ISBLANK(Design!$B$32),Design!$B$31,Design!$B$32)*1000000))</f>
        <v>0.66848016632226925</v>
      </c>
      <c r="AK60" s="161">
        <f>$B60*Constants!$C$18/1000+IF(ISBLANK(Design!$B$32),Design!$B$31,Design!$B$32)*1000000*Constants!$D$22/1000000000*(IF($B60&lt;Constants!$C$21,0,$B60-Constants!$C$21))</f>
        <v>1.0184520000000004E-2</v>
      </c>
      <c r="AL60" s="239">
        <f>$B60*AG60*($B60/(Constants!$C$23*1000000000)*IF(ISBLANK(Design!$B$32),Design!$B$31,Design!$B$32)*1000000/2+$B60/(Constants!$C$24*1000000000)*IF(ISBLANK(Design!$B$32),Design!$B$31,Design!$B$32)*1000000/2)</f>
        <v>5.510156235532411E-2</v>
      </c>
      <c r="AM60" s="239">
        <f t="shared" ca="1" si="17"/>
        <v>0.12104039065042153</v>
      </c>
      <c r="AN60" s="239">
        <f>Constants!$D$22/1000000000*Constants!$C$21*IF(ISBLANK(Design!$B$32),Design!$B$31,Design!$B$32)*1000000</f>
        <v>1.2499999999999999E-2</v>
      </c>
      <c r="AO60" s="239">
        <f t="shared" ca="1" si="26"/>
        <v>0.19882647300574566</v>
      </c>
      <c r="AP60" s="239">
        <f t="shared" ca="1" si="23"/>
        <v>0.22406669393896797</v>
      </c>
      <c r="AQ60" s="240">
        <f ca="1">$A60+AP60*Design!$B$19</f>
        <v>97.771801554521176</v>
      </c>
      <c r="AR60" s="240">
        <f ca="1">AO60*Design!$C$12+$A60</f>
        <v>91.760100082195351</v>
      </c>
      <c r="AS60" s="240">
        <f ca="1">Constants!$D$19+Constants!$D$19*Constants!$C$20/100*(AR60-25)</f>
        <v>214.08969607890754</v>
      </c>
      <c r="AT60" s="239">
        <f ca="1">(1-Constants!$D$17/1000000000*Design!$B$32*1000000) * ($B60+AH60-AG60*AS60/1000) - (AH60+AG60*(1+($A60-25)*Constants!$C$29/100)*IF(ISBLANK(Design!$B$40),Constants!$C$6/1000,Design!$B$40/1000))</f>
        <v>7.9449819888515201</v>
      </c>
      <c r="AU60" s="342">
        <f ca="1">IF(AT60&gt;Design!$C$28,Design!$C$28,AT60)</f>
        <v>3.2940895522388054</v>
      </c>
    </row>
    <row r="61" spans="1:47" ht="12.75" customHeight="1" x14ac:dyDescent="0.25">
      <c r="A61" s="154">
        <f>Design!$D$13</f>
        <v>85</v>
      </c>
      <c r="B61" s="155">
        <f t="shared" si="14"/>
        <v>8.7100000000000026</v>
      </c>
      <c r="C61" s="156">
        <f>Design!$D$6</f>
        <v>3.5</v>
      </c>
      <c r="D61" s="156">
        <f ca="1">FORECAST(C61, OFFSET(Design!$C$15:$C$17,MATCH(C61,Design!$B$15:$B$17,1)-1,0,2), OFFSET(Design!$B$15:$B$17,MATCH(C61,Design!$B$15:$B$17,1)-1,0,2))+(M61-25)*Design!$B$18/1000</f>
        <v>0.39516978547536613</v>
      </c>
      <c r="E61" s="215">
        <f ca="1">IF(100*(Design!$C$28+D61+C61*IF(ISBLANK(Design!$B$40),Constants!$C$6,Design!$B$40)/1000*(1+Constants!$C$29/100*(N61-25)))/($B61+D61-C61*O61/1000)&gt;Design!$C$35,Design!$C$35,100*(Design!$C$28+D61+C61*IF(ISBLANK(Design!$B$40),Constants!$C$6,Design!$B$40)/1000*(1+Constants!$C$29/100*(N61-25)))/($B61+D61-C61*O61/1000))</f>
        <v>46.30623741032592</v>
      </c>
      <c r="F61" s="157">
        <f ca="1">IF(($B61-C61*IF(ISBLANK(Design!$B$40),Constants!$C$6,Design!$B$40)/1000*(1+Constants!$C$29/100*(N61-25))-Design!$C$28)/(IF(ISBLANK(Design!$B$39),Design!$B$38,Design!$B$39)/1000000)*E61/100/(IF(ISBLANK(Design!$B$32),Design!$B$31,Design!$B$32)*1000000)&lt;0,0,($B61-C61*IF(ISBLANK(Design!$B$40),Constants!$C$6,Design!$B$40)/1000*(1+Constants!$C$29/100*(N61-25))-Design!$C$28)/(IF(ISBLANK(Design!$B$39),Design!$B$38,Design!$B$39)/1000000)*E61/100/(IF(ISBLANK(Design!$B$32),Design!$B$31,Design!$B$32)*1000000))</f>
        <v>0.72370840752229582</v>
      </c>
      <c r="G61" s="207">
        <f>$B61*Constants!$C$18/1000+IF(ISBLANK(Design!$B$32),Design!$B$31,Design!$B$32)*1000000*Constants!$D$22/1000000000*(IF($B61&lt;Constants!$C$21,0,$B61-Constants!$C$21))</f>
        <v>9.5885600000000064E-3</v>
      </c>
      <c r="H61" s="207">
        <f>B61*C61*(B61/(Constants!$C$23*1000000000)*IF(ISBLANK(Design!$B$32),Design!$B$31,Design!$B$32)*1000000/2+B61/(Constants!$C$24*1000000000)*IF(ISBLANK(Design!$B$32),Design!$B$31,Design!$B$32)*1000000/2)</f>
        <v>0.156733123263889</v>
      </c>
      <c r="I61" s="207">
        <f t="shared" ca="1" si="15"/>
        <v>1.4923266921582863</v>
      </c>
      <c r="J61" s="207">
        <f>Constants!$D$22/1000000000*Constants!$C$21*IF(ISBLANK(Design!$B$32),Design!$B$31,Design!$B$32)*1000000</f>
        <v>1.2499999999999999E-2</v>
      </c>
      <c r="K61" s="207">
        <f t="shared" ca="1" si="24"/>
        <v>1.6711483754221752</v>
      </c>
      <c r="L61" s="207">
        <f t="shared" ca="1" si="19"/>
        <v>0.74263534253743624</v>
      </c>
      <c r="M61" s="208">
        <f ca="1">$A61+L61*Design!$B$19</f>
        <v>127.33021452463387</v>
      </c>
      <c r="N61" s="208">
        <f ca="1">K61*Design!$C$12+A61</f>
        <v>141.81904476435395</v>
      </c>
      <c r="O61" s="208">
        <f ca="1">Constants!$D$19+Constants!$D$19*Constants!$C$20/100*(N61-25)</f>
        <v>262.14628297377976</v>
      </c>
      <c r="P61" s="207">
        <f ca="1">(1-Constants!$D$17/1000000000*Design!$B$32*1000000) * ($B61+D61-C61*O61/1000) - (D61+C61*(1+($A61-25)*Constants!$C$29/100)*IF(ISBLANK(Design!$B$40),Constants!$C$6/1000,Design!$B$40/1000))</f>
        <v>7.0509693859864022</v>
      </c>
      <c r="Q61" s="213">
        <f ca="1">IF(P61&gt;Design!$C$28,Design!$C$28,P61)</f>
        <v>3.2940895522388054</v>
      </c>
      <c r="R61" s="335">
        <f>2*Design!$D$6/3</f>
        <v>2.3333333333333335</v>
      </c>
      <c r="S61" s="158">
        <f ca="1">FORECAST(R61, OFFSET(Design!$C$15:$C$17,MATCH(R61,Design!$B$15:$B$17,1)-1,0,2), OFFSET(Design!$B$15:$B$17,MATCH(R61,Design!$B$15:$B$17,1)-1,0,2))+(AB61-25)*Design!$B$18/1000</f>
        <v>0.37987554271699864</v>
      </c>
      <c r="T61" s="224">
        <f ca="1">IF(100*(Design!$C$28+S61+R61*IF(ISBLANK(Design!$B$40),Constants!$C$6,Design!$B$40)/1000*(1+Constants!$C$29/100*(AC61-25)))/($B61+S61-R61*AD61/1000)&gt;Design!$C$35,Design!$C$35,100*(Design!$C$28+S61+R61*IF(ISBLANK(Design!$B$40),Constants!$C$6,Design!$B$40)/1000*(1+Constants!$C$29/100*(AC61-25)))/($B61+S61-R61*AD61/1000))</f>
        <v>43.674091527876911</v>
      </c>
      <c r="U61" s="159">
        <f ca="1">IF(($B61-R61*IF(ISBLANK(Design!$B$40),Constants!$C$6,Design!$B$40)/1000*(1+Constants!$C$29/100*(AC61-25))-Design!$C$28)/(IF(ISBLANK(Design!$B$39),Design!$B$38,Design!$B$39)/1000000)*T61/100/(IF(ISBLANK(Design!$B$32),Design!$B$31,Design!$B$32)*1000000)&lt;0,0,($B61-R61*IF(ISBLANK(Design!$B$40),Constants!$C$6,Design!$B$40)/1000*(1+Constants!$C$29/100*(AC61-25))-Design!$C$28)/(IF(ISBLANK(Design!$B$39),Design!$B$38,Design!$B$39)/1000000)*T61/100/(IF(ISBLANK(Design!$B$32),Design!$B$31,Design!$B$32)*1000000))</f>
        <v>0.68774108993910721</v>
      </c>
      <c r="V61" s="159">
        <f>$B61*Constants!$C$18/1000+IF(ISBLANK(Design!$B$32),Design!$B$31,Design!$B$32)*1000000*Constants!$D$22/1000000000*(IF($B61&lt;Constants!$C$21,0,$B61-Constants!$C$21))</f>
        <v>9.5885600000000064E-3</v>
      </c>
      <c r="W61" s="225">
        <f>$B61*R61*($B61/(Constants!$C$23*1000000000)*IF(ISBLANK(Design!$B$32),Design!$B$31,Design!$B$32)*1000000/2+$B61/(Constants!$C$24*1000000000)*IF(ISBLANK(Design!$B$32),Design!$B$31,Design!$B$32)*1000000/2)</f>
        <v>0.10448874884259268</v>
      </c>
      <c r="X61" s="225">
        <f t="shared" ca="1" si="16"/>
        <v>0.5501062370811286</v>
      </c>
      <c r="Y61" s="225">
        <f>Constants!$D$22/1000000000*Constants!$C$21*IF(ISBLANK(Design!$B$32),Design!$B$31,Design!$B$32)*1000000</f>
        <v>1.2499999999999999E-2</v>
      </c>
      <c r="Z61" s="225">
        <f t="shared" ca="1" si="25"/>
        <v>0.67668354592372126</v>
      </c>
      <c r="AA61" s="225">
        <f t="shared" ca="1" si="21"/>
        <v>0.49925948449710089</v>
      </c>
      <c r="AB61" s="226">
        <f ca="1">$A61+AA61*Design!$B$19</f>
        <v>113.45779061633475</v>
      </c>
      <c r="AC61" s="226">
        <f ca="1">Z61*Design!$C$12+$A61</f>
        <v>108.00724056140652</v>
      </c>
      <c r="AD61" s="226">
        <f ca="1">Constants!$D$19+Constants!$D$19*Constants!$C$20/100*(AC61-25)</f>
        <v>229.68695093895025</v>
      </c>
      <c r="AE61" s="225">
        <f ca="1">(1-Constants!$D$17/1000000000*Design!$B$32*1000000) * ($B61+S61-R61*AD61/1000) - (S61+R61*(1+($A61-25)*Constants!$C$29/100)*IF(ISBLANK(Design!$B$40),Constants!$C$6/1000,Design!$B$40/1000))</f>
        <v>7.4320779685670297</v>
      </c>
      <c r="AF61" s="339">
        <f ca="1">IF(AE61&gt;Design!$C$28,Design!$C$28,AE61)</f>
        <v>3.2940895522388054</v>
      </c>
      <c r="AG61" s="237">
        <f>Design!$D$6/3</f>
        <v>1.1666666666666667</v>
      </c>
      <c r="AH61" s="160">
        <f ca="1">FORECAST(AG61, OFFSET(Design!$C$15:$C$17,MATCH(AG61,Design!$B$15:$B$17,1)-1,0,2), OFFSET(Design!$B$15:$B$17,MATCH(AG61,Design!$B$15:$B$17,1)-1,0,2))+(AQ61-25)*Design!$B$18/1000</f>
        <v>0.32263694396294584</v>
      </c>
      <c r="AI61" s="238">
        <f ca="1">IF(100*(Design!$C$28+AH61+AG61*IF(ISBLANK(Design!$B$40),Constants!$C$6,Design!$B$40)/1000*(1+Constants!$C$29/100*(AR61-25)))/($B61+AH61-AG61*AS61/1000)&gt;Design!$C$35,Design!$C$35,100*(Design!$C$28+AH61+AG61*IF(ISBLANK(Design!$B$40),Constants!$C$6,Design!$B$40)/1000*(1+Constants!$C$29/100*(AR61-25)))/($B61+AH61-AG61*AS61/1000))</f>
        <v>41.514646646580374</v>
      </c>
      <c r="AJ61" s="161">
        <f ca="1">IF(($B61-AG61*IF(ISBLANK(Design!$B$40),Constants!$C$6,Design!$B$40)/1000*(1+Constants!$C$29/100*(AR61-25))-Design!$C$28)/(IF(ISBLANK(Design!$B$39),Design!$B$38,Design!$B$39)/1000000)*AI61/100/(IF(ISBLANK(Design!$B$32),Design!$B$31,Design!$B$32)*1000000)&lt;0,0,($B61-AG61*IF(ISBLANK(Design!$B$40),Constants!$C$6,Design!$B$40)/1000*(1+Constants!$C$29/100*(AR61-25))-Design!$C$28)/(IF(ISBLANK(Design!$B$39),Design!$B$38,Design!$B$39)/1000000)*AI61/100/(IF(ISBLANK(Design!$B$32),Design!$B$31,Design!$B$32)*1000000))</f>
        <v>0.65769654870541572</v>
      </c>
      <c r="AK61" s="161">
        <f>$B61*Constants!$C$18/1000+IF(ISBLANK(Design!$B$32),Design!$B$31,Design!$B$32)*1000000*Constants!$D$22/1000000000*(IF($B61&lt;Constants!$C$21,0,$B61-Constants!$C$21))</f>
        <v>9.5885600000000064E-3</v>
      </c>
      <c r="AL61" s="239">
        <f>$B61*AG61*($B61/(Constants!$C$23*1000000000)*IF(ISBLANK(Design!$B$32),Design!$B$31,Design!$B$32)*1000000/2+$B61/(Constants!$C$24*1000000000)*IF(ISBLANK(Design!$B$32),Design!$B$31,Design!$B$32)*1000000/2)</f>
        <v>5.2244374421296341E-2</v>
      </c>
      <c r="AM61" s="239">
        <f t="shared" ca="1" si="17"/>
        <v>0.12417133571963521</v>
      </c>
      <c r="AN61" s="239">
        <f>Constants!$D$22/1000000000*Constants!$C$21*IF(ISBLANK(Design!$B$32),Design!$B$31,Design!$B$32)*1000000</f>
        <v>1.2499999999999999E-2</v>
      </c>
      <c r="AO61" s="239">
        <f t="shared" ca="1" si="26"/>
        <v>0.19850427014093158</v>
      </c>
      <c r="AP61" s="239">
        <f t="shared" ca="1" si="23"/>
        <v>0.22014458284630389</v>
      </c>
      <c r="AQ61" s="240">
        <f ca="1">$A61+AP61*Design!$B$19</f>
        <v>97.548241222239326</v>
      </c>
      <c r="AR61" s="240">
        <f ca="1">AO61*Design!$C$12+$A61</f>
        <v>91.749145184791672</v>
      </c>
      <c r="AS61" s="240">
        <f ca="1">Constants!$D$19+Constants!$D$19*Constants!$C$20/100*(AR61-25)</f>
        <v>214.07917937740001</v>
      </c>
      <c r="AT61" s="239">
        <f ca="1">(1-Constants!$D$17/1000000000*Design!$B$32*1000000) * ($B61+AH61-AG61*AS61/1000) - (AH61+AG61*(1+($A61-25)*Constants!$C$29/100)*IF(ISBLANK(Design!$B$40),Constants!$C$6/1000,Design!$B$40/1000))</f>
        <v>7.7287753919512259</v>
      </c>
      <c r="AU61" s="342">
        <f ca="1">IF(AT61&gt;Design!$C$28,Design!$C$28,AT61)</f>
        <v>3.2940895522388054</v>
      </c>
    </row>
    <row r="62" spans="1:47" ht="12.75" customHeight="1" x14ac:dyDescent="0.25">
      <c r="A62" s="154">
        <f>Design!$D$13</f>
        <v>85</v>
      </c>
      <c r="B62" s="155">
        <f t="shared" si="14"/>
        <v>8.4750000000000032</v>
      </c>
      <c r="C62" s="156">
        <f>Design!$D$6</f>
        <v>3.5</v>
      </c>
      <c r="D62" s="156">
        <f ca="1">FORECAST(C62, OFFSET(Design!$C$15:$C$17,MATCH(C62,Design!$B$15:$B$17,1)-1,0,2), OFFSET(Design!$B$15:$B$17,MATCH(C62,Design!$B$15:$B$17,1)-1,0,2))+(M62-25)*Design!$B$18/1000</f>
        <v>0.39617716526972568</v>
      </c>
      <c r="E62" s="215">
        <f ca="1">IF(100*(Design!$C$28+D62+C62*IF(ISBLANK(Design!$B$40),Constants!$C$6,Design!$B$40)/1000*(1+Constants!$C$29/100*(N62-25)))/($B62+D62-C62*O62/1000)&gt;Design!$C$35,Design!$C$35,100*(Design!$C$28+D62+C62*IF(ISBLANK(Design!$B$40),Constants!$C$6,Design!$B$40)/1000*(1+Constants!$C$29/100*(N62-25)))/($B62+D62-C62*O62/1000))</f>
        <v>47.717329059209426</v>
      </c>
      <c r="F62" s="157">
        <f ca="1">IF(($B62-C62*IF(ISBLANK(Design!$B$40),Constants!$C$6,Design!$B$40)/1000*(1+Constants!$C$29/100*(N62-25))-Design!$C$28)/(IF(ISBLANK(Design!$B$39),Design!$B$38,Design!$B$39)/1000000)*E62/100/(IF(ISBLANK(Design!$B$32),Design!$B$31,Design!$B$32)*1000000)&lt;0,0,($B62-C62*IF(ISBLANK(Design!$B$40),Constants!$C$6,Design!$B$40)/1000*(1+Constants!$C$29/100*(N62-25))-Design!$C$28)/(IF(ISBLANK(Design!$B$39),Design!$B$38,Design!$B$39)/1000000)*E62/100/(IF(ISBLANK(Design!$B$32),Design!$B$31,Design!$B$32)*1000000))</f>
        <v>0.71272185399748644</v>
      </c>
      <c r="G62" s="207">
        <f>$B62*Constants!$C$18/1000+IF(ISBLANK(Design!$B$32),Design!$B$31,Design!$B$32)*1000000*Constants!$D$22/1000000000*(IF($B62&lt;Constants!$C$21,0,$B62-Constants!$C$21))</f>
        <v>8.9926000000000086E-3</v>
      </c>
      <c r="H62" s="207">
        <f>B62*C62*(B62/(Constants!$C$23*1000000000)*IF(ISBLANK(Design!$B$32),Design!$B$31,Design!$B$32)*1000000/2+B62/(Constants!$C$24*1000000000)*IF(ISBLANK(Design!$B$32),Design!$B$31,Design!$B$32)*1000000/2)</f>
        <v>0.14838974609375014</v>
      </c>
      <c r="I62" s="207">
        <f t="shared" ca="1" si="15"/>
        <v>1.5462502396409721</v>
      </c>
      <c r="J62" s="207">
        <f>Constants!$D$22/1000000000*Constants!$C$21*IF(ISBLANK(Design!$B$32),Design!$B$31,Design!$B$32)*1000000</f>
        <v>1.2499999999999999E-2</v>
      </c>
      <c r="K62" s="207">
        <f t="shared" ca="1" si="24"/>
        <v>1.7161325857347223</v>
      </c>
      <c r="L62" s="207">
        <f t="shared" ca="1" si="19"/>
        <v>0.72496201281182959</v>
      </c>
      <c r="M62" s="208">
        <f ca="1">$A62+L62*Design!$B$19</f>
        <v>126.32283473027428</v>
      </c>
      <c r="N62" s="208">
        <f ca="1">K62*Design!$C$12+A62</f>
        <v>143.34850791498056</v>
      </c>
      <c r="O62" s="208">
        <f ca="1">Constants!$D$19+Constants!$D$19*Constants!$C$20/100*(N62-25)</f>
        <v>263.61456759838131</v>
      </c>
      <c r="P62" s="207">
        <f ca="1">(1-Constants!$D$17/1000000000*Design!$B$32*1000000) * ($B62+D62-C62*O62/1000) - (D62+C62*(1+($A62-25)*Constants!$C$29/100)*IF(ISBLANK(Design!$B$40),Constants!$C$6/1000,Design!$B$40/1000))</f>
        <v>6.8299609191116373</v>
      </c>
      <c r="Q62" s="213">
        <f ca="1">IF(P62&gt;Design!$C$28,Design!$C$28,P62)</f>
        <v>3.2940895522388054</v>
      </c>
      <c r="R62" s="335">
        <f>2*Design!$D$6/3</f>
        <v>2.3333333333333335</v>
      </c>
      <c r="S62" s="158">
        <f ca="1">FORECAST(R62, OFFSET(Design!$C$15:$C$17,MATCH(R62,Design!$B$15:$B$17,1)-1,0,2), OFFSET(Design!$B$15:$B$17,MATCH(R62,Design!$B$15:$B$17,1)-1,0,2))+(AB62-25)*Design!$B$18/1000</f>
        <v>0.38046047461717564</v>
      </c>
      <c r="T62" s="224">
        <f ca="1">IF(100*(Design!$C$28+S62+R62*IF(ISBLANK(Design!$B$40),Constants!$C$6,Design!$B$40)/1000*(1+Constants!$C$29/100*(AC62-25)))/($B62+S62-R62*AD62/1000)&gt;Design!$C$35,Design!$C$35,100*(Design!$C$28+S62+R62*IF(ISBLANK(Design!$B$40),Constants!$C$6,Design!$B$40)/1000*(1+Constants!$C$29/100*(AC62-25)))/($B62+S62-R62*AD62/1000))</f>
        <v>44.916652249416245</v>
      </c>
      <c r="U62" s="159">
        <f ca="1">IF(($B62-R62*IF(ISBLANK(Design!$B$40),Constants!$C$6,Design!$B$40)/1000*(1+Constants!$C$29/100*(AC62-25))-Design!$C$28)/(IF(ISBLANK(Design!$B$39),Design!$B$38,Design!$B$39)/1000000)*T62/100/(IF(ISBLANK(Design!$B$32),Design!$B$31,Design!$B$32)*1000000)&lt;0,0,($B62-R62*IF(ISBLANK(Design!$B$40),Constants!$C$6,Design!$B$40)/1000*(1+Constants!$C$29/100*(AC62-25))-Design!$C$28)/(IF(ISBLANK(Design!$B$39),Design!$B$38,Design!$B$39)/1000000)*T62/100/(IF(ISBLANK(Design!$B$32),Design!$B$31,Design!$B$32)*1000000))</f>
        <v>0.6762541249019407</v>
      </c>
      <c r="V62" s="159">
        <f>$B62*Constants!$C$18/1000+IF(ISBLANK(Design!$B$32),Design!$B$31,Design!$B$32)*1000000*Constants!$D$22/1000000000*(IF($B62&lt;Constants!$C$21,0,$B62-Constants!$C$21))</f>
        <v>8.9926000000000086E-3</v>
      </c>
      <c r="W62" s="225">
        <f>$B62*R62*($B62/(Constants!$C$23*1000000000)*IF(ISBLANK(Design!$B$32),Design!$B$31,Design!$B$32)*1000000/2+$B62/(Constants!$C$24*1000000000)*IF(ISBLANK(Design!$B$32),Design!$B$31,Design!$B$32)*1000000/2)</f>
        <v>9.8926497395833424E-2</v>
      </c>
      <c r="X62" s="225">
        <f t="shared" ca="1" si="16"/>
        <v>0.56644039746265784</v>
      </c>
      <c r="Y62" s="225">
        <f>Constants!$D$22/1000000000*Constants!$C$21*IF(ISBLANK(Design!$B$32),Design!$B$31,Design!$B$32)*1000000</f>
        <v>1.2499999999999999E-2</v>
      </c>
      <c r="Z62" s="225">
        <f t="shared" ca="1" si="25"/>
        <v>0.68685949485849118</v>
      </c>
      <c r="AA62" s="225">
        <f t="shared" ca="1" si="21"/>
        <v>0.48899752133610069</v>
      </c>
      <c r="AB62" s="226">
        <f ca="1">$A62+AA62*Design!$B$19</f>
        <v>112.87285871615774</v>
      </c>
      <c r="AC62" s="226">
        <f ca="1">Z62*Design!$C$12+$A62</f>
        <v>108.35322282518871</v>
      </c>
      <c r="AD62" s="226">
        <f ca="1">Constants!$D$19+Constants!$D$19*Constants!$C$20/100*(AC62-25)</f>
        <v>230.01909391218118</v>
      </c>
      <c r="AE62" s="225">
        <f ca="1">(1-Constants!$D$17/1000000000*Design!$B$32*1000000) * ($B62+S62-R62*AD62/1000) - (S62+R62*(1+($A62-25)*Constants!$C$29/100)*IF(ISBLANK(Design!$B$40),Constants!$C$6/1000,Design!$B$40/1000))</f>
        <v>7.2151181737658128</v>
      </c>
      <c r="AF62" s="339">
        <f ca="1">IF(AE62&gt;Design!$C$28,Design!$C$28,AE62)</f>
        <v>3.2940895522388054</v>
      </c>
      <c r="AG62" s="237">
        <f>Design!$D$6/3</f>
        <v>1.1666666666666667</v>
      </c>
      <c r="AH62" s="160">
        <f ca="1">FORECAST(AG62, OFFSET(Design!$C$15:$C$17,MATCH(AG62,Design!$B$15:$B$17,1)-1,0,2), OFFSET(Design!$B$15:$B$17,MATCH(AG62,Design!$B$15:$B$17,1)-1,0,2))+(AQ62-25)*Design!$B$18/1000</f>
        <v>0.3228731494621393</v>
      </c>
      <c r="AI62" s="238">
        <f ca="1">IF(100*(Design!$C$28+AH62+AG62*IF(ISBLANK(Design!$B$40),Constants!$C$6,Design!$B$40)/1000*(1+Constants!$C$29/100*(AR62-25)))/($B62+AH62-AG62*AS62/1000)&gt;Design!$C$35,Design!$C$35,100*(Design!$C$28+AH62+AG62*IF(ISBLANK(Design!$B$40),Constants!$C$6,Design!$B$40)/1000*(1+Constants!$C$29/100*(AR62-25)))/($B62+AH62-AG62*AS62/1000))</f>
        <v>42.657543793920254</v>
      </c>
      <c r="AJ62" s="161">
        <f ca="1">IF(($B62-AG62*IF(ISBLANK(Design!$B$40),Constants!$C$6,Design!$B$40)/1000*(1+Constants!$C$29/100*(AR62-25))-Design!$C$28)/(IF(ISBLANK(Design!$B$39),Design!$B$38,Design!$B$39)/1000000)*AI62/100/(IF(ISBLANK(Design!$B$32),Design!$B$31,Design!$B$32)*1000000)&lt;0,0,($B62-AG62*IF(ISBLANK(Design!$B$40),Constants!$C$6,Design!$B$40)/1000*(1+Constants!$C$29/100*(AR62-25))-Design!$C$28)/(IF(ISBLANK(Design!$B$39),Design!$B$38,Design!$B$39)/1000000)*AI62/100/(IF(ISBLANK(Design!$B$32),Design!$B$31,Design!$B$32)*1000000))</f>
        <v>0.64631905564596304</v>
      </c>
      <c r="AK62" s="161">
        <f>$B62*Constants!$C$18/1000+IF(ISBLANK(Design!$B$32),Design!$B$31,Design!$B$32)*1000000*Constants!$D$22/1000000000*(IF($B62&lt;Constants!$C$21,0,$B62-Constants!$C$21))</f>
        <v>8.9926000000000086E-3</v>
      </c>
      <c r="AL62" s="239">
        <f>$B62*AG62*($B62/(Constants!$C$23*1000000000)*IF(ISBLANK(Design!$B$32),Design!$B$31,Design!$B$32)*1000000/2+$B62/(Constants!$C$24*1000000000)*IF(ISBLANK(Design!$B$32),Design!$B$31,Design!$B$32)*1000000/2)</f>
        <v>4.9463248697916712E-2</v>
      </c>
      <c r="AM62" s="239">
        <f t="shared" ca="1" si="17"/>
        <v>0.12747544464148999</v>
      </c>
      <c r="AN62" s="239">
        <f>Constants!$D$22/1000000000*Constants!$C$21*IF(ISBLANK(Design!$B$32),Design!$B$31,Design!$B$32)*1000000</f>
        <v>1.2499999999999999E-2</v>
      </c>
      <c r="AO62" s="239">
        <f t="shared" ca="1" si="26"/>
        <v>0.19843129333940673</v>
      </c>
      <c r="AP62" s="239">
        <f t="shared" ca="1" si="23"/>
        <v>0.21600062672010387</v>
      </c>
      <c r="AQ62" s="240">
        <f ca="1">$A62+AP62*Design!$B$19</f>
        <v>97.312035723045923</v>
      </c>
      <c r="AR62" s="240">
        <f ca="1">AO62*Design!$C$12+$A62</f>
        <v>91.746663973539825</v>
      </c>
      <c r="AS62" s="240">
        <f ca="1">Constants!$D$19+Constants!$D$19*Constants!$C$20/100*(AR62-25)</f>
        <v>214.07679741459822</v>
      </c>
      <c r="AT62" s="239">
        <f ca="1">(1-Constants!$D$17/1000000000*Design!$B$32*1000000) * ($B62+AH62-AG62*AS62/1000) - (AH62+AG62*(1+($A62-25)*Constants!$C$29/100)*IF(ISBLANK(Design!$B$40),Constants!$C$6/1000,Design!$B$40/1000))</f>
        <v>7.5125590521513637</v>
      </c>
      <c r="AU62" s="342">
        <f ca="1">IF(AT62&gt;Design!$C$28,Design!$C$28,AT62)</f>
        <v>3.2940895522388054</v>
      </c>
    </row>
    <row r="63" spans="1:47" ht="12.75" customHeight="1" x14ac:dyDescent="0.25">
      <c r="A63" s="154">
        <f>Design!$D$13</f>
        <v>85</v>
      </c>
      <c r="B63" s="155">
        <f t="shared" si="14"/>
        <v>8.2400000000000038</v>
      </c>
      <c r="C63" s="156">
        <f>Design!$D$6</f>
        <v>3.5</v>
      </c>
      <c r="D63" s="156">
        <f ca="1">FORECAST(C63, OFFSET(Design!$C$15:$C$17,MATCH(C63,Design!$B$15:$B$17,1)-1,0,2), OFFSET(Design!$B$15:$B$17,MATCH(C63,Design!$B$15:$B$17,1)-1,0,2))+(M63-25)*Design!$B$18/1000</f>
        <v>0.39725584972589734</v>
      </c>
      <c r="E63" s="215">
        <f ca="1">IF(100*(Design!$C$28+D63+C63*IF(ISBLANK(Design!$B$40),Constants!$C$6,Design!$B$40)/1000*(1+Constants!$C$29/100*(N63-25)))/($B63+D63-C63*O63/1000)&gt;Design!$C$35,Design!$C$35,100*(Design!$C$28+D63+C63*IF(ISBLANK(Design!$B$40),Constants!$C$6,Design!$B$40)/1000*(1+Constants!$C$29/100*(N63-25)))/($B63+D63-C63*O63/1000))</f>
        <v>49.220366630276636</v>
      </c>
      <c r="F63" s="157">
        <f ca="1">IF(($B63-C63*IF(ISBLANK(Design!$B$40),Constants!$C$6,Design!$B$40)/1000*(1+Constants!$C$29/100*(N63-25))-Design!$C$28)/(IF(ISBLANK(Design!$B$39),Design!$B$38,Design!$B$39)/1000000)*E63/100/(IF(ISBLANK(Design!$B$32),Design!$B$31,Design!$B$32)*1000000)&lt;0,0,($B63-C63*IF(ISBLANK(Design!$B$40),Constants!$C$6,Design!$B$40)/1000*(1+Constants!$C$29/100*(N63-25))-Design!$C$28)/(IF(ISBLANK(Design!$B$39),Design!$B$38,Design!$B$39)/1000000)*E63/100/(IF(ISBLANK(Design!$B$32),Design!$B$31,Design!$B$32)*1000000))</f>
        <v>0.70108458454582423</v>
      </c>
      <c r="G63" s="207">
        <f>$B63*Constants!$C$18/1000+IF(ISBLANK(Design!$B$32),Design!$B$31,Design!$B$32)*1000000*Constants!$D$22/1000000000*(IF($B63&lt;Constants!$C$21,0,$B63-Constants!$C$21))</f>
        <v>8.3966400000000108E-3</v>
      </c>
      <c r="H63" s="207">
        <f>B63*C63*(B63/(Constants!$C$23*1000000000)*IF(ISBLANK(Design!$B$32),Design!$B$31,Design!$B$32)*1000000/2+B63/(Constants!$C$24*1000000000)*IF(ISBLANK(Design!$B$32),Design!$B$31,Design!$B$32)*1000000/2)</f>
        <v>0.14027455555555571</v>
      </c>
      <c r="I63" s="207">
        <f t="shared" ca="1" si="15"/>
        <v>1.604573847345848</v>
      </c>
      <c r="J63" s="207">
        <f>Constants!$D$22/1000000000*Constants!$C$21*IF(ISBLANK(Design!$B$32),Design!$B$31,Design!$B$32)*1000000</f>
        <v>1.2499999999999999E-2</v>
      </c>
      <c r="K63" s="207">
        <f t="shared" ca="1" si="24"/>
        <v>1.7657450429014037</v>
      </c>
      <c r="L63" s="207">
        <f t="shared" ca="1" si="19"/>
        <v>0.70603772410706456</v>
      </c>
      <c r="M63" s="208">
        <f ca="1">$A63+L63*Design!$B$19</f>
        <v>125.24415027410268</v>
      </c>
      <c r="N63" s="208">
        <f ca="1">K63*Design!$C$12+A63</f>
        <v>145.03533145864773</v>
      </c>
      <c r="O63" s="208">
        <f ca="1">Constants!$D$19+Constants!$D$19*Constants!$C$20/100*(N63-25)</f>
        <v>265.23391820030179</v>
      </c>
      <c r="P63" s="207">
        <f ca="1">(1-Constants!$D$17/1000000000*Design!$B$32*1000000) * ($B63+D63-C63*O63/1000) - (D63+C63*(1+($A63-25)*Constants!$C$29/100)*IF(ISBLANK(Design!$B$40),Constants!$C$6/1000,Design!$B$40/1000))</f>
        <v>6.608460315416961</v>
      </c>
      <c r="Q63" s="213">
        <f ca="1">IF(P63&gt;Design!$C$28,Design!$C$28,P63)</f>
        <v>3.2940895522388054</v>
      </c>
      <c r="R63" s="335">
        <f>2*Design!$D$6/3</f>
        <v>2.3333333333333335</v>
      </c>
      <c r="S63" s="158">
        <f ca="1">FORECAST(R63, OFFSET(Design!$C$15:$C$17,MATCH(R63,Design!$B$15:$B$17,1)-1,0,2), OFFSET(Design!$B$15:$B$17,MATCH(R63,Design!$B$15:$B$17,1)-1,0,2))+(AB63-25)*Design!$B$18/1000</f>
        <v>0.38108181582662293</v>
      </c>
      <c r="T63" s="224">
        <f ca="1">IF(100*(Design!$C$28+S63+R63*IF(ISBLANK(Design!$B$40),Constants!$C$6,Design!$B$40)/1000*(1+Constants!$C$29/100*(AC63-25)))/($B63+S63-R63*AD63/1000)&gt;Design!$C$35,Design!$C$35,100*(Design!$C$28+S63+R63*IF(ISBLANK(Design!$B$40),Constants!$C$6,Design!$B$40)/1000*(1+Constants!$C$29/100*(AC63-25)))/($B63+S63-R63*AD63/1000))</f>
        <v>46.23237862306604</v>
      </c>
      <c r="U63" s="159">
        <f ca="1">IF(($B63-R63*IF(ISBLANK(Design!$B$40),Constants!$C$6,Design!$B$40)/1000*(1+Constants!$C$29/100*(AC63-25))-Design!$C$28)/(IF(ISBLANK(Design!$B$39),Design!$B$38,Design!$B$39)/1000000)*T63/100/(IF(ISBLANK(Design!$B$32),Design!$B$31,Design!$B$32)*1000000)&lt;0,0,($B63-R63*IF(ISBLANK(Design!$B$40),Constants!$C$6,Design!$B$40)/1000*(1+Constants!$C$29/100*(AC63-25))-Design!$C$28)/(IF(ISBLANK(Design!$B$39),Design!$B$38,Design!$B$39)/1000000)*T63/100/(IF(ISBLANK(Design!$B$32),Design!$B$31,Design!$B$32)*1000000))</f>
        <v>0.66409899473788492</v>
      </c>
      <c r="V63" s="159">
        <f>$B63*Constants!$C$18/1000+IF(ISBLANK(Design!$B$32),Design!$B$31,Design!$B$32)*1000000*Constants!$D$22/1000000000*(IF($B63&lt;Constants!$C$21,0,$B63-Constants!$C$21))</f>
        <v>8.3966400000000108E-3</v>
      </c>
      <c r="W63" s="225">
        <f>$B63*R63*($B63/(Constants!$C$23*1000000000)*IF(ISBLANK(Design!$B$32),Design!$B$31,Design!$B$32)*1000000/2+$B63/(Constants!$C$24*1000000000)*IF(ISBLANK(Design!$B$32),Design!$B$31,Design!$B$32)*1000000/2)</f>
        <v>9.3516370370370472E-2</v>
      </c>
      <c r="X63" s="225">
        <f t="shared" ca="1" si="16"/>
        <v>0.58383010932685719</v>
      </c>
      <c r="Y63" s="225">
        <f>Constants!$D$22/1000000000*Constants!$C$21*IF(ISBLANK(Design!$B$32),Design!$B$31,Design!$B$32)*1000000</f>
        <v>1.2499999999999999E-2</v>
      </c>
      <c r="Z63" s="225">
        <f t="shared" ca="1" si="25"/>
        <v>0.69824311969722763</v>
      </c>
      <c r="AA63" s="225">
        <f t="shared" ca="1" si="21"/>
        <v>0.47809679836334135</v>
      </c>
      <c r="AB63" s="226">
        <f ca="1">$A63+AA63*Design!$B$19</f>
        <v>112.25151750671046</v>
      </c>
      <c r="AC63" s="226">
        <f ca="1">Z63*Design!$C$12+$A63</f>
        <v>108.74026606970574</v>
      </c>
      <c r="AD63" s="226">
        <f ca="1">Constants!$D$19+Constants!$D$19*Constants!$C$20/100*(AC63-25)</f>
        <v>230.3906554269175</v>
      </c>
      <c r="AE63" s="225">
        <f ca="1">(1-Constants!$D$17/1000000000*Design!$B$32*1000000) * ($B63+S63-R63*AD63/1000) - (S63+R63*(1+($A63-25)*Constants!$C$29/100)*IF(ISBLANK(Design!$B$40),Constants!$C$6/1000,Design!$B$40/1000))</f>
        <v>6.9980708477507578</v>
      </c>
      <c r="AF63" s="339">
        <f ca="1">IF(AE63&gt;Design!$C$28,Design!$C$28,AE63)</f>
        <v>3.2940895522388054</v>
      </c>
      <c r="AG63" s="237">
        <f>Design!$D$6/3</f>
        <v>1.1666666666666667</v>
      </c>
      <c r="AH63" s="160">
        <f ca="1">FORECAST(AG63, OFFSET(Design!$C$15:$C$17,MATCH(AG63,Design!$B$15:$B$17,1)-1,0,2), OFFSET(Design!$B$15:$B$17,MATCH(AG63,Design!$B$15:$B$17,1)-1,0,2))+(AQ63-25)*Design!$B$18/1000</f>
        <v>0.32312310365386554</v>
      </c>
      <c r="AI63" s="238">
        <f ca="1">IF(100*(Design!$C$28+AH63+AG63*IF(ISBLANK(Design!$B$40),Constants!$C$6,Design!$B$40)/1000*(1+Constants!$C$29/100*(AR63-25)))/($B63+AH63-AG63*AS63/1000)&gt;Design!$C$35,Design!$C$35,100*(Design!$C$28+AH63+AG63*IF(ISBLANK(Design!$B$40),Constants!$C$6,Design!$B$40)/1000*(1+Constants!$C$29/100*(AR63-25)))/($B63+AH63-AG63*AS63/1000))</f>
        <v>43.865145317556724</v>
      </c>
      <c r="AJ63" s="161">
        <f ca="1">IF(($B63-AG63*IF(ISBLANK(Design!$B$40),Constants!$C$6,Design!$B$40)/1000*(1+Constants!$C$29/100*(AR63-25))-Design!$C$28)/(IF(ISBLANK(Design!$B$39),Design!$B$38,Design!$B$39)/1000000)*AI63/100/(IF(ISBLANK(Design!$B$32),Design!$B$31,Design!$B$32)*1000000)&lt;0,0,($B63-AG63*IF(ISBLANK(Design!$B$40),Constants!$C$6,Design!$B$40)/1000*(1+Constants!$C$29/100*(AR63-25))-Design!$C$28)/(IF(ISBLANK(Design!$B$39),Design!$B$38,Design!$B$39)/1000000)*AI63/100/(IF(ISBLANK(Design!$B$32),Design!$B$31,Design!$B$32)*1000000))</f>
        <v>0.6342972067483339</v>
      </c>
      <c r="AK63" s="161">
        <f>$B63*Constants!$C$18/1000+IF(ISBLANK(Design!$B$32),Design!$B$31,Design!$B$32)*1000000*Constants!$D$22/1000000000*(IF($B63&lt;Constants!$C$21,0,$B63-Constants!$C$21))</f>
        <v>8.3966400000000108E-3</v>
      </c>
      <c r="AL63" s="239">
        <f>$B63*AG63*($B63/(Constants!$C$23*1000000000)*IF(ISBLANK(Design!$B$32),Design!$B$31,Design!$B$32)*1000000/2+$B63/(Constants!$C$24*1000000000)*IF(ISBLANK(Design!$B$32),Design!$B$31,Design!$B$32)*1000000/2)</f>
        <v>4.6758185185185236E-2</v>
      </c>
      <c r="AM63" s="239">
        <f t="shared" ca="1" si="17"/>
        <v>0.13096751366459083</v>
      </c>
      <c r="AN63" s="239">
        <f>Constants!$D$22/1000000000*Constants!$C$21*IF(ISBLANK(Design!$B$32),Design!$B$31,Design!$B$32)*1000000</f>
        <v>1.2499999999999999E-2</v>
      </c>
      <c r="AO63" s="239">
        <f t="shared" ca="1" si="26"/>
        <v>0.19862233884977609</v>
      </c>
      <c r="AP63" s="239">
        <f t="shared" ca="1" si="23"/>
        <v>0.21161546546174767</v>
      </c>
      <c r="AQ63" s="240">
        <f ca="1">$A63+AP63*Design!$B$19</f>
        <v>97.06208153131962</v>
      </c>
      <c r="AR63" s="240">
        <f ca="1">AO63*Design!$C$12+$A63</f>
        <v>91.753159520892382</v>
      </c>
      <c r="AS63" s="240">
        <f ca="1">Constants!$D$19+Constants!$D$19*Constants!$C$20/100*(AR63-25)</f>
        <v>214.08303314005667</v>
      </c>
      <c r="AT63" s="239">
        <f ca="1">(1-Constants!$D$17/1000000000*Design!$B$32*1000000) * ($B63+AH63-AG63*AS63/1000) - (AH63+AG63*(1+($A63-25)*Constants!$C$29/100)*IF(ISBLANK(Design!$B$40),Constants!$C$6/1000,Design!$B$40/1000))</f>
        <v>7.2963323628040326</v>
      </c>
      <c r="AU63" s="342">
        <f ca="1">IF(AT63&gt;Design!$C$28,Design!$C$28,AT63)</f>
        <v>3.2940895522388054</v>
      </c>
    </row>
    <row r="64" spans="1:47" ht="12.75" customHeight="1" x14ac:dyDescent="0.25">
      <c r="A64" s="154">
        <f>Design!$D$13</f>
        <v>85</v>
      </c>
      <c r="B64" s="155">
        <f t="shared" si="14"/>
        <v>8.0050000000000043</v>
      </c>
      <c r="C64" s="156">
        <f>Design!$D$6</f>
        <v>3.5</v>
      </c>
      <c r="D64" s="156">
        <f ca="1">FORECAST(C64, OFFSET(Design!$C$15:$C$17,MATCH(C64,Design!$B$15:$B$17,1)-1,0,2), OFFSET(Design!$B$15:$B$17,MATCH(C64,Design!$B$15:$B$17,1)-1,0,2))+(M64-25)*Design!$B$18/1000</f>
        <v>0.39841397930838729</v>
      </c>
      <c r="E64" s="215">
        <f ca="1">IF(100*(Design!$C$28+D64+C64*IF(ISBLANK(Design!$B$40),Constants!$C$6,Design!$B$40)/1000*(1+Constants!$C$29/100*(N64-25)))/($B64+D64-C64*O64/1000)&gt;Design!$C$35,Design!$C$35,100*(Design!$C$28+D64+C64*IF(ISBLANK(Design!$B$40),Constants!$C$6,Design!$B$40)/1000*(1+Constants!$C$29/100*(N64-25)))/($B64+D64-C64*O64/1000))</f>
        <v>50.825042947487987</v>
      </c>
      <c r="F64" s="157">
        <f ca="1">IF(($B64-C64*IF(ISBLANK(Design!$B$40),Constants!$C$6,Design!$B$40)/1000*(1+Constants!$C$29/100*(N64-25))-Design!$C$28)/(IF(ISBLANK(Design!$B$39),Design!$B$38,Design!$B$39)/1000000)*E64/100/(IF(ISBLANK(Design!$B$32),Design!$B$31,Design!$B$32)*1000000)&lt;0,0,($B64-C64*IF(ISBLANK(Design!$B$40),Constants!$C$6,Design!$B$40)/1000*(1+Constants!$C$29/100*(N64-25))-Design!$C$28)/(IF(ISBLANK(Design!$B$39),Design!$B$38,Design!$B$39)/1000000)*E64/100/(IF(ISBLANK(Design!$B$32),Design!$B$31,Design!$B$32)*1000000))</f>
        <v>0.68873554739374609</v>
      </c>
      <c r="G64" s="207">
        <f>$B64*Constants!$C$18/1000+IF(ISBLANK(Design!$B$32),Design!$B$31,Design!$B$32)*1000000*Constants!$D$22/1000000000*(IF($B64&lt;Constants!$C$21,0,$B64-Constants!$C$21))</f>
        <v>7.8006800000000112E-3</v>
      </c>
      <c r="H64" s="207">
        <f>B64*C64*(B64/(Constants!$C$23*1000000000)*IF(ISBLANK(Design!$B$32),Design!$B$31,Design!$B$32)*1000000/2+B64/(Constants!$C$24*1000000000)*IF(ISBLANK(Design!$B$32),Design!$B$31,Design!$B$32)*1000000/2)</f>
        <v>0.13238755164930571</v>
      </c>
      <c r="I64" s="207">
        <f t="shared" ca="1" si="15"/>
        <v>1.6678677132221327</v>
      </c>
      <c r="J64" s="207">
        <f>Constants!$D$22/1000000000*Constants!$C$21*IF(ISBLANK(Design!$B$32),Design!$B$31,Design!$B$32)*1000000</f>
        <v>1.2499999999999999E-2</v>
      </c>
      <c r="K64" s="207">
        <f t="shared" ca="1" si="24"/>
        <v>1.8205559448714383</v>
      </c>
      <c r="L64" s="207">
        <f t="shared" ca="1" si="19"/>
        <v>0.68571966125636241</v>
      </c>
      <c r="M64" s="208">
        <f ca="1">$A64+L64*Design!$B$19</f>
        <v>124.08602069161266</v>
      </c>
      <c r="N64" s="208">
        <f ca="1">K64*Design!$C$12+A64</f>
        <v>146.89890212562889</v>
      </c>
      <c r="O64" s="208">
        <f ca="1">Constants!$D$19+Constants!$D$19*Constants!$C$20/100*(N64-25)</f>
        <v>267.02294604060376</v>
      </c>
      <c r="P64" s="207">
        <f ca="1">(1-Constants!$D$17/1000000000*Design!$B$32*1000000) * ($B64+D64-C64*O64/1000) - (D64+C64*(1+($A64-25)*Constants!$C$29/100)*IF(ISBLANK(Design!$B$40),Constants!$C$6/1000,Design!$B$40/1000))</f>
        <v>6.386406995404589</v>
      </c>
      <c r="Q64" s="213">
        <f ca="1">IF(P64&gt;Design!$C$28,Design!$C$28,P64)</f>
        <v>3.2940895522388054</v>
      </c>
      <c r="R64" s="335">
        <f>2*Design!$D$6/3</f>
        <v>2.3333333333333335</v>
      </c>
      <c r="S64" s="158">
        <f ca="1">FORECAST(R64, OFFSET(Design!$C$15:$C$17,MATCH(R64,Design!$B$15:$B$17,1)-1,0,2), OFFSET(Design!$B$15:$B$17,MATCH(R64,Design!$B$15:$B$17,1)-1,0,2))+(AB64-25)*Design!$B$18/1000</f>
        <v>0.38174308889692488</v>
      </c>
      <c r="T64" s="224">
        <f ca="1">IF(100*(Design!$C$28+S64+R64*IF(ISBLANK(Design!$B$40),Constants!$C$6,Design!$B$40)/1000*(1+Constants!$C$29/100*(AC64-25)))/($B64+S64-R64*AD64/1000)&gt;Design!$C$35,Design!$C$35,100*(Design!$C$28+S64+R64*IF(ISBLANK(Design!$B$40),Constants!$C$6,Design!$B$40)/1000*(1+Constants!$C$29/100*(AC64-25)))/($B64+S64-R64*AD64/1000))</f>
        <v>47.627958249221756</v>
      </c>
      <c r="U64" s="159">
        <f ca="1">IF(($B64-R64*IF(ISBLANK(Design!$B$40),Constants!$C$6,Design!$B$40)/1000*(1+Constants!$C$29/100*(AC64-25))-Design!$C$28)/(IF(ISBLANK(Design!$B$39),Design!$B$38,Design!$B$39)/1000000)*T64/100/(IF(ISBLANK(Design!$B$32),Design!$B$31,Design!$B$32)*1000000)&lt;0,0,($B64-R64*IF(ISBLANK(Design!$B$40),Constants!$C$6,Design!$B$40)/1000*(1+Constants!$C$29/100*(AC64-25))-Design!$C$28)/(IF(ISBLANK(Design!$B$39),Design!$B$38,Design!$B$39)/1000000)*T64/100/(IF(ISBLANK(Design!$B$32),Design!$B$31,Design!$B$32)*1000000))</f>
        <v>0.65121520270339606</v>
      </c>
      <c r="V64" s="159">
        <f>$B64*Constants!$C$18/1000+IF(ISBLANK(Design!$B$32),Design!$B$31,Design!$B$32)*1000000*Constants!$D$22/1000000000*(IF($B64&lt;Constants!$C$21,0,$B64-Constants!$C$21))</f>
        <v>7.8006800000000112E-3</v>
      </c>
      <c r="W64" s="225">
        <f>$B64*R64*($B64/(Constants!$C$23*1000000000)*IF(ISBLANK(Design!$B$32),Design!$B$31,Design!$B$32)*1000000/2+$B64/(Constants!$C$24*1000000000)*IF(ISBLANK(Design!$B$32),Design!$B$31,Design!$B$32)*1000000/2)</f>
        <v>8.8258367766203813E-2</v>
      </c>
      <c r="X64" s="225">
        <f t="shared" ca="1" si="16"/>
        <v>0.60238032051000545</v>
      </c>
      <c r="Y64" s="225">
        <f>Constants!$D$22/1000000000*Constants!$C$21*IF(ISBLANK(Design!$B$32),Design!$B$31,Design!$B$32)*1000000</f>
        <v>1.2499999999999999E-2</v>
      </c>
      <c r="Z64" s="225">
        <f t="shared" ca="1" si="25"/>
        <v>0.71093936827620929</v>
      </c>
      <c r="AA64" s="225">
        <f t="shared" ca="1" si="21"/>
        <v>0.46649551642821868</v>
      </c>
      <c r="AB64" s="226">
        <f ca="1">$A64+AA64*Design!$B$19</f>
        <v>111.59024443640847</v>
      </c>
      <c r="AC64" s="226">
        <f ca="1">Z64*Design!$C$12+$A64</f>
        <v>109.17193852139111</v>
      </c>
      <c r="AD64" s="226">
        <f ca="1">Constants!$D$19+Constants!$D$19*Constants!$C$20/100*(AC64-25)</f>
        <v>230.80506098053547</v>
      </c>
      <c r="AE64" s="225">
        <f ca="1">(1-Constants!$D$17/1000000000*Design!$B$32*1000000) * ($B64+S64-R64*AD64/1000) - (S64+R64*(1+($A64-25)*Constants!$C$29/100)*IF(ISBLANK(Design!$B$40),Constants!$C$6/1000,Design!$B$40/1000))</f>
        <v>6.7809283553167017</v>
      </c>
      <c r="AF64" s="339">
        <f ca="1">IF(AE64&gt;Design!$C$28,Design!$C$28,AE64)</f>
        <v>3.2940895522388054</v>
      </c>
      <c r="AG64" s="237">
        <f>Design!$D$6/3</f>
        <v>1.1666666666666667</v>
      </c>
      <c r="AH64" s="160">
        <f ca="1">FORECAST(AG64, OFFSET(Design!$C$15:$C$17,MATCH(AG64,Design!$B$15:$B$17,1)-1,0,2), OFFSET(Design!$B$15:$B$17,MATCH(AG64,Design!$B$15:$B$17,1)-1,0,2))+(AQ64-25)*Design!$B$18/1000</f>
        <v>0.32338804224885503</v>
      </c>
      <c r="AI64" s="238">
        <f ca="1">IF(100*(Design!$C$28+AH64+AG64*IF(ISBLANK(Design!$B$40),Constants!$C$6,Design!$B$40)/1000*(1+Constants!$C$29/100*(AR64-25)))/($B64+AH64-AG64*AS64/1000)&gt;Design!$C$35,Design!$C$35,100*(Design!$C$28+AH64+AG64*IF(ISBLANK(Design!$B$40),Constants!$C$6,Design!$B$40)/1000*(1+Constants!$C$29/100*(AR64-25)))/($B64+AH64-AG64*AS64/1000))</f>
        <v>45.14310287249706</v>
      </c>
      <c r="AJ64" s="161">
        <f ca="1">IF(($B64-AG64*IF(ISBLANK(Design!$B$40),Constants!$C$6,Design!$B$40)/1000*(1+Constants!$C$29/100*(AR64-25))-Design!$C$28)/(IF(ISBLANK(Design!$B$39),Design!$B$38,Design!$B$39)/1000000)*AI64/100/(IF(ISBLANK(Design!$B$32),Design!$B$31,Design!$B$32)*1000000)&lt;0,0,($B64-AG64*IF(ISBLANK(Design!$B$40),Constants!$C$6,Design!$B$40)/1000*(1+Constants!$C$29/100*(AR64-25))-Design!$C$28)/(IF(ISBLANK(Design!$B$39),Design!$B$38,Design!$B$39)/1000000)*AI64/100/(IF(ISBLANK(Design!$B$32),Design!$B$31,Design!$B$32)*1000000))</f>
        <v>0.62157463716747929</v>
      </c>
      <c r="AK64" s="161">
        <f>$B64*Constants!$C$18/1000+IF(ISBLANK(Design!$B$32),Design!$B$31,Design!$B$32)*1000000*Constants!$D$22/1000000000*(IF($B64&lt;Constants!$C$21,0,$B64-Constants!$C$21))</f>
        <v>7.8006800000000112E-3</v>
      </c>
      <c r="AL64" s="239">
        <f>$B64*AG64*($B64/(Constants!$C$23*1000000000)*IF(ISBLANK(Design!$B$32),Design!$B$31,Design!$B$32)*1000000/2+$B64/(Constants!$C$24*1000000000)*IF(ISBLANK(Design!$B$32),Design!$B$31,Design!$B$32)*1000000/2)</f>
        <v>4.4129183883101906E-2</v>
      </c>
      <c r="AM64" s="239">
        <f t="shared" ca="1" si="17"/>
        <v>0.13466409446757907</v>
      </c>
      <c r="AN64" s="239">
        <f>Constants!$D$22/1000000000*Constants!$C$21*IF(ISBLANK(Design!$B$32),Design!$B$31,Design!$B$32)*1000000</f>
        <v>1.2499999999999999E-2</v>
      </c>
      <c r="AO64" s="239">
        <f t="shared" ca="1" si="26"/>
        <v>0.199093958350681</v>
      </c>
      <c r="AP64" s="239">
        <f t="shared" ca="1" si="23"/>
        <v>0.20696741993561688</v>
      </c>
      <c r="AQ64" s="240">
        <f ca="1">$A64+AP64*Design!$B$19</f>
        <v>96.797142936330161</v>
      </c>
      <c r="AR64" s="240">
        <f ca="1">AO64*Design!$C$12+$A64</f>
        <v>91.769194583923152</v>
      </c>
      <c r="AS64" s="240">
        <f ca="1">Constants!$D$19+Constants!$D$19*Constants!$C$20/100*(AR64-25)</f>
        <v>214.09842680056624</v>
      </c>
      <c r="AT64" s="239">
        <f ca="1">(1-Constants!$D$17/1000000000*Design!$B$32*1000000) * ($B64+AH64-AG64*AS64/1000) - (AH64+AG64*(1+($A64-25)*Constants!$C$29/100)*IF(ISBLANK(Design!$B$40),Constants!$C$6/1000,Design!$B$40/1000))</f>
        <v>7.0800946451874891</v>
      </c>
      <c r="AU64" s="342">
        <f ca="1">IF(AT64&gt;Design!$C$28,Design!$C$28,AT64)</f>
        <v>3.2940895522388054</v>
      </c>
    </row>
    <row r="65" spans="1:47" ht="12.75" customHeight="1" x14ac:dyDescent="0.25">
      <c r="A65" s="154">
        <f>Design!$D$13</f>
        <v>85</v>
      </c>
      <c r="B65" s="155">
        <f t="shared" si="14"/>
        <v>7.7700000000000049</v>
      </c>
      <c r="C65" s="156">
        <f>Design!$D$6</f>
        <v>3.5</v>
      </c>
      <c r="D65" s="156">
        <f ca="1">FORECAST(C65, OFFSET(Design!$C$15:$C$17,MATCH(C65,Design!$B$15:$B$17,1)-1,0,2), OFFSET(Design!$B$15:$B$17,MATCH(C65,Design!$B$15:$B$17,1)-1,0,2))+(M65-25)*Design!$B$18/1000</f>
        <v>0.39966103947322251</v>
      </c>
      <c r="E65" s="215">
        <f ca="1">IF(100*(Design!$C$28+D65+C65*IF(ISBLANK(Design!$B$40),Constants!$C$6,Design!$B$40)/1000*(1+Constants!$C$29/100*(N65-25)))/($B65+D65-C65*O65/1000)&gt;Design!$C$35,Design!$C$35,100*(Design!$C$28+D65+C65*IF(ISBLANK(Design!$B$40),Constants!$C$6,Design!$B$40)/1000*(1+Constants!$C$29/100*(N65-25)))/($B65+D65-C65*O65/1000))</f>
        <v>52.542540718614589</v>
      </c>
      <c r="F65" s="157">
        <f ca="1">IF(($B65-C65*IF(ISBLANK(Design!$B$40),Constants!$C$6,Design!$B$40)/1000*(1+Constants!$C$29/100*(N65-25))-Design!$C$28)/(IF(ISBLANK(Design!$B$39),Design!$B$38,Design!$B$39)/1000000)*E65/100/(IF(ISBLANK(Design!$B$32),Design!$B$31,Design!$B$32)*1000000)&lt;0,0,($B65-C65*IF(ISBLANK(Design!$B$40),Constants!$C$6,Design!$B$40)/1000*(1+Constants!$C$29/100*(N65-25))-Design!$C$28)/(IF(ISBLANK(Design!$B$39),Design!$B$38,Design!$B$39)/1000000)*E65/100/(IF(ISBLANK(Design!$B$32),Design!$B$31,Design!$B$32)*1000000))</f>
        <v>0.67560565601879874</v>
      </c>
      <c r="G65" s="207">
        <f>$B65*Constants!$C$18/1000+IF(ISBLANK(Design!$B$32),Design!$B$31,Design!$B$32)*1000000*Constants!$D$22/1000000000*(IF($B65&lt;Constants!$C$21,0,$B65-Constants!$C$21))</f>
        <v>7.2047200000000125E-3</v>
      </c>
      <c r="H65" s="207">
        <f>B65*C65*(B65/(Constants!$C$23*1000000000)*IF(ISBLANK(Design!$B$32),Design!$B$31,Design!$B$32)*1000000/2+B65/(Constants!$C$24*1000000000)*IF(ISBLANK(Design!$B$32),Design!$B$31,Design!$B$32)*1000000/2)</f>
        <v>0.12472873437500016</v>
      </c>
      <c r="I65" s="207">
        <f t="shared" ca="1" si="15"/>
        <v>1.736808271453288</v>
      </c>
      <c r="J65" s="207">
        <f>Constants!$D$22/1000000000*Constants!$C$21*IF(ISBLANK(Design!$B$32),Design!$B$31,Design!$B$32)*1000000</f>
        <v>1.2499999999999999E-2</v>
      </c>
      <c r="K65" s="207">
        <f t="shared" ca="1" si="24"/>
        <v>1.8812417258282881</v>
      </c>
      <c r="L65" s="207">
        <f t="shared" ca="1" si="19"/>
        <v>0.66384141275048181</v>
      </c>
      <c r="M65" s="208">
        <f ca="1">$A65+L65*Design!$B$19</f>
        <v>122.83896052677747</v>
      </c>
      <c r="N65" s="208">
        <f ca="1">K65*Design!$C$12+A65</f>
        <v>148.9622186781618</v>
      </c>
      <c r="O65" s="208">
        <f ca="1">Constants!$D$19+Constants!$D$19*Constants!$C$20/100*(N65-25)</f>
        <v>269.00372993103531</v>
      </c>
      <c r="P65" s="207">
        <f ca="1">(1-Constants!$D$17/1000000000*Design!$B$32*1000000) * ($B65+D65-C65*O65/1000) - (D65+C65*(1+($A65-25)*Constants!$C$29/100)*IF(ISBLANK(Design!$B$40),Constants!$C$6/1000,Design!$B$40/1000))</f>
        <v>6.1637291064642126</v>
      </c>
      <c r="Q65" s="213">
        <f ca="1">IF(P65&gt;Design!$C$28,Design!$C$28,P65)</f>
        <v>3.2940895522388054</v>
      </c>
      <c r="R65" s="335">
        <f>2*Design!$D$6/3</f>
        <v>2.3333333333333335</v>
      </c>
      <c r="S65" s="158">
        <f ca="1">FORECAST(R65, OFFSET(Design!$C$15:$C$17,MATCH(R65,Design!$B$15:$B$17,1)-1,0,2), OFFSET(Design!$B$15:$B$17,MATCH(R65,Design!$B$15:$B$17,1)-1,0,2))+(AB65-25)*Design!$B$18/1000</f>
        <v>0.38244828807545561</v>
      </c>
      <c r="T65" s="224">
        <f ca="1">IF(100*(Design!$C$28+S65+R65*IF(ISBLANK(Design!$B$40),Constants!$C$6,Design!$B$40)/1000*(1+Constants!$C$29/100*(AC65-25)))/($B65+S65-R65*AD65/1000)&gt;Design!$C$35,Design!$C$35,100*(Design!$C$28+S65+R65*IF(ISBLANK(Design!$B$40),Constants!$C$6,Design!$B$40)/1000*(1+Constants!$C$29/100*(AC65-25)))/($B65+S65-R65*AD65/1000))</f>
        <v>49.110923880832615</v>
      </c>
      <c r="U65" s="159">
        <f ca="1">IF(($B65-R65*IF(ISBLANK(Design!$B$40),Constants!$C$6,Design!$B$40)/1000*(1+Constants!$C$29/100*(AC65-25))-Design!$C$28)/(IF(ISBLANK(Design!$B$39),Design!$B$38,Design!$B$39)/1000000)*T65/100/(IF(ISBLANK(Design!$B$32),Design!$B$31,Design!$B$32)*1000000)&lt;0,0,($B65-R65*IF(ISBLANK(Design!$B$40),Constants!$C$6,Design!$B$40)/1000*(1+Constants!$C$29/100*(AC65-25))-Design!$C$28)/(IF(ISBLANK(Design!$B$39),Design!$B$38,Design!$B$39)/1000000)*T65/100/(IF(ISBLANK(Design!$B$32),Design!$B$31,Design!$B$32)*1000000))</f>
        <v>0.63753469322524892</v>
      </c>
      <c r="V65" s="159">
        <f>$B65*Constants!$C$18/1000+IF(ISBLANK(Design!$B$32),Design!$B$31,Design!$B$32)*1000000*Constants!$D$22/1000000000*(IF($B65&lt;Constants!$C$21,0,$B65-Constants!$C$21))</f>
        <v>7.2047200000000125E-3</v>
      </c>
      <c r="W65" s="225">
        <f>$B65*R65*($B65/(Constants!$C$23*1000000000)*IF(ISBLANK(Design!$B$32),Design!$B$31,Design!$B$32)*1000000/2+$B65/(Constants!$C$24*1000000000)*IF(ISBLANK(Design!$B$32),Design!$B$31,Design!$B$32)*1000000/2)</f>
        <v>8.3152489583333447E-2</v>
      </c>
      <c r="X65" s="225">
        <f t="shared" ca="1" si="16"/>
        <v>0.6222104644347487</v>
      </c>
      <c r="Y65" s="225">
        <f>Constants!$D$22/1000000000*Constants!$C$21*IF(ISBLANK(Design!$B$32),Design!$B$31,Design!$B$32)*1000000</f>
        <v>1.2499999999999999E-2</v>
      </c>
      <c r="Z65" s="225">
        <f t="shared" ca="1" si="25"/>
        <v>0.72506767401808214</v>
      </c>
      <c r="AA65" s="225">
        <f t="shared" ca="1" si="21"/>
        <v>0.45412360101539945</v>
      </c>
      <c r="AB65" s="226">
        <f ca="1">$A65+AA65*Design!$B$19</f>
        <v>110.88504525787776</v>
      </c>
      <c r="AC65" s="226">
        <f ca="1">Z65*Design!$C$12+$A65</f>
        <v>109.65230091661479</v>
      </c>
      <c r="AD65" s="226">
        <f ca="1">Constants!$D$19+Constants!$D$19*Constants!$C$20/100*(AC65-25)</f>
        <v>231.2662088799502</v>
      </c>
      <c r="AE65" s="225">
        <f ca="1">(1-Constants!$D$17/1000000000*Design!$B$32*1000000) * ($B65+S65-R65*AD65/1000) - (S65+R65*(1+($A65-25)*Constants!$C$29/100)*IF(ISBLANK(Design!$B$40),Constants!$C$6/1000,Design!$B$40/1000))</f>
        <v>6.5636820085583416</v>
      </c>
      <c r="AF65" s="339">
        <f ca="1">IF(AE65&gt;Design!$C$28,Design!$C$28,AE65)</f>
        <v>3.2940895522388054</v>
      </c>
      <c r="AG65" s="237">
        <f>Design!$D$6/3</f>
        <v>1.1666666666666667</v>
      </c>
      <c r="AH65" s="160">
        <f ca="1">FORECAST(AG65, OFFSET(Design!$C$15:$C$17,MATCH(AG65,Design!$B$15:$B$17,1)-1,0,2), OFFSET(Design!$B$15:$B$17,MATCH(AG65,Design!$B$15:$B$17,1)-1,0,2))+(AQ65-25)*Design!$B$18/1000</f>
        <v>0.32366935353527981</v>
      </c>
      <c r="AI65" s="238">
        <f ca="1">IF(100*(Design!$C$28+AH65+AG65*IF(ISBLANK(Design!$B$40),Constants!$C$6,Design!$B$40)/1000*(1+Constants!$C$29/100*(AR65-25)))/($B65+AH65-AG65*AS65/1000)&gt;Design!$C$35,Design!$C$35,100*(Design!$C$28+AH65+AG65*IF(ISBLANK(Design!$B$40),Constants!$C$6,Design!$B$40)/1000*(1+Constants!$C$29/100*(AR65-25)))/($B65+AH65-AG65*AS65/1000))</f>
        <v>46.497745659574527</v>
      </c>
      <c r="AJ65" s="161">
        <f ca="1">IF(($B65-AG65*IF(ISBLANK(Design!$B$40),Constants!$C$6,Design!$B$40)/1000*(1+Constants!$C$29/100*(AR65-25))-Design!$C$28)/(IF(ISBLANK(Design!$B$39),Design!$B$38,Design!$B$39)/1000000)*AI65/100/(IF(ISBLANK(Design!$B$32),Design!$B$31,Design!$B$32)*1000000)&lt;0,0,($B65-AG65*IF(ISBLANK(Design!$B$40),Constants!$C$6,Design!$B$40)/1000*(1+Constants!$C$29/100*(AR65-25))-Design!$C$28)/(IF(ISBLANK(Design!$B$39),Design!$B$38,Design!$B$39)/1000000)*AI65/100/(IF(ISBLANK(Design!$B$32),Design!$B$31,Design!$B$32)*1000000))</f>
        <v>0.60808821492797793</v>
      </c>
      <c r="AK65" s="161">
        <f>$B65*Constants!$C$18/1000+IF(ISBLANK(Design!$B$32),Design!$B$31,Design!$B$32)*1000000*Constants!$D$22/1000000000*(IF($B65&lt;Constants!$C$21,0,$B65-Constants!$C$21))</f>
        <v>7.2047200000000125E-3</v>
      </c>
      <c r="AL65" s="239">
        <f>$B65*AG65*($B65/(Constants!$C$23*1000000000)*IF(ISBLANK(Design!$B$32),Design!$B$31,Design!$B$32)*1000000/2+$B65/(Constants!$C$24*1000000000)*IF(ISBLANK(Design!$B$32),Design!$B$31,Design!$B$32)*1000000/2)</f>
        <v>4.1576244791666724E-2</v>
      </c>
      <c r="AM65" s="239">
        <f t="shared" ca="1" si="17"/>
        <v>0.13858376573905995</v>
      </c>
      <c r="AN65" s="239">
        <f>Constants!$D$22/1000000000*Constants!$C$21*IF(ISBLANK(Design!$B$32),Design!$B$31,Design!$B$32)*1000000</f>
        <v>1.2499999999999999E-2</v>
      </c>
      <c r="AO65" s="239">
        <f t="shared" ca="1" si="26"/>
        <v>0.1998647305307267</v>
      </c>
      <c r="AP65" s="239">
        <f t="shared" ca="1" si="23"/>
        <v>0.20203213420886576</v>
      </c>
      <c r="AQ65" s="240">
        <f ca="1">$A65+AP65*Design!$B$19</f>
        <v>96.515831649905351</v>
      </c>
      <c r="AR65" s="240">
        <f ca="1">AO65*Design!$C$12+$A65</f>
        <v>91.795400838044714</v>
      </c>
      <c r="AS65" s="240">
        <f ca="1">Constants!$D$19+Constants!$D$19*Constants!$C$20/100*(AR65-25)</f>
        <v>214.12358480452292</v>
      </c>
      <c r="AT65" s="239">
        <f ca="1">(1-Constants!$D$17/1000000000*Design!$B$32*1000000) * ($B65+AH65-AG65*AS65/1000) - (AH65+AG65*(1+($A65-25)*Constants!$C$29/100)*IF(ISBLANK(Design!$B$40),Constants!$C$6/1000,Design!$B$40/1000))</f>
        <v>6.863845137360328</v>
      </c>
      <c r="AU65" s="342">
        <f ca="1">IF(AT65&gt;Design!$C$28,Design!$C$28,AT65)</f>
        <v>3.2940895522388054</v>
      </c>
    </row>
    <row r="66" spans="1:47" ht="12.75" customHeight="1" x14ac:dyDescent="0.25">
      <c r="A66" s="154">
        <f>Design!$D$13</f>
        <v>85</v>
      </c>
      <c r="B66" s="155">
        <f t="shared" si="14"/>
        <v>7.5350000000000046</v>
      </c>
      <c r="C66" s="156">
        <f>Design!$D$6</f>
        <v>3.5</v>
      </c>
      <c r="D66" s="156">
        <f ca="1">FORECAST(C66, OFFSET(Design!$C$15:$C$17,MATCH(C66,Design!$B$15:$B$17,1)-1,0,2), OFFSET(Design!$B$15:$B$17,MATCH(C66,Design!$B$15:$B$17,1)-1,0,2))+(M66-25)*Design!$B$18/1000</f>
        <v>0.40100816480133183</v>
      </c>
      <c r="E66" s="215">
        <f ca="1">IF(100*(Design!$C$28+D66+C66*IF(ISBLANK(Design!$B$40),Constants!$C$6,Design!$B$40)/1000*(1+Constants!$C$29/100*(N66-25)))/($B66+D66-C66*O66/1000)&gt;Design!$C$35,Design!$C$35,100*(Design!$C$28+D66+C66*IF(ISBLANK(Design!$B$40),Constants!$C$6,Design!$B$40)/1000*(1+Constants!$C$29/100*(N66-25)))/($B66+D66-C66*O66/1000))</f>
        <v>54.385849661723313</v>
      </c>
      <c r="F66" s="157">
        <f ca="1">IF(($B66-C66*IF(ISBLANK(Design!$B$40),Constants!$C$6,Design!$B$40)/1000*(1+Constants!$C$29/100*(N66-25))-Design!$C$28)/(IF(ISBLANK(Design!$B$39),Design!$B$38,Design!$B$39)/1000000)*E66/100/(IF(ISBLANK(Design!$B$32),Design!$B$31,Design!$B$32)*1000000)&lt;0,0,($B66-C66*IF(ISBLANK(Design!$B$40),Constants!$C$6,Design!$B$40)/1000*(1+Constants!$C$29/100*(N66-25))-Design!$C$28)/(IF(ISBLANK(Design!$B$39),Design!$B$38,Design!$B$39)/1000000)*E66/100/(IF(ISBLANK(Design!$B$32),Design!$B$31,Design!$B$32)*1000000))</f>
        <v>0.66161638615327267</v>
      </c>
      <c r="G66" s="207">
        <f>$B66*Constants!$C$18/1000+IF(ISBLANK(Design!$B$32),Design!$B$31,Design!$B$32)*1000000*Constants!$D$22/1000000000*(IF($B66&lt;Constants!$C$21,0,$B66-Constants!$C$21))</f>
        <v>6.6087600000000121E-3</v>
      </c>
      <c r="H66" s="207">
        <f>B66*C66*(B66/(Constants!$C$23*1000000000)*IF(ISBLANK(Design!$B$32),Design!$B$31,Design!$B$32)*1000000/2+B66/(Constants!$C$24*1000000000)*IF(ISBLANK(Design!$B$32),Design!$B$31,Design!$B$32)*1000000/2)</f>
        <v>0.11729810373263905</v>
      </c>
      <c r="I66" s="207">
        <f t="shared" ca="1" si="15"/>
        <v>1.8122049810052492</v>
      </c>
      <c r="J66" s="207">
        <f>Constants!$D$22/1000000000*Constants!$C$21*IF(ISBLANK(Design!$B$32),Design!$B$31,Design!$B$32)*1000000</f>
        <v>1.2499999999999999E-2</v>
      </c>
      <c r="K66" s="207">
        <f t="shared" ca="1" si="24"/>
        <v>1.9486118447378882</v>
      </c>
      <c r="L66" s="207">
        <f t="shared" ca="1" si="19"/>
        <v>0.64020763506435341</v>
      </c>
      <c r="M66" s="208">
        <f ca="1">$A66+L66*Design!$B$19</f>
        <v>121.49183519866814</v>
      </c>
      <c r="N66" s="208">
        <f ca="1">K66*Design!$C$12+A66</f>
        <v>151.25280272108819</v>
      </c>
      <c r="O66" s="208">
        <f ca="1">Constants!$D$19+Constants!$D$19*Constants!$C$20/100*(N66-25)</f>
        <v>271.20269061224462</v>
      </c>
      <c r="P66" s="207">
        <f ca="1">(1-Constants!$D$17/1000000000*Design!$B$32*1000000) * ($B66+D66-C66*O66/1000) - (D66+C66*(1+($A66-25)*Constants!$C$29/100)*IF(ISBLANK(Design!$B$40),Constants!$C$6/1000,Design!$B$40/1000))</f>
        <v>5.9403406830444707</v>
      </c>
      <c r="Q66" s="213">
        <f ca="1">IF(P66&gt;Design!$C$28,Design!$C$28,P66)</f>
        <v>3.2940895522388054</v>
      </c>
      <c r="R66" s="335">
        <f>2*Design!$D$6/3</f>
        <v>2.3333333333333335</v>
      </c>
      <c r="S66" s="158">
        <f ca="1">FORECAST(R66, OFFSET(Design!$C$15:$C$17,MATCH(R66,Design!$B$15:$B$17,1)-1,0,2), OFFSET(Design!$B$15:$B$17,MATCH(R66,Design!$B$15:$B$17,1)-1,0,2))+(AB66-25)*Design!$B$18/1000</f>
        <v>0.38320196141204738</v>
      </c>
      <c r="T66" s="224">
        <f ca="1">IF(100*(Design!$C$28+S66+R66*IF(ISBLANK(Design!$B$40),Constants!$C$6,Design!$B$40)/1000*(1+Constants!$C$29/100*(AC66-25)))/($B66+S66-R66*AD66/1000)&gt;Design!$C$35,Design!$C$35,100*(Design!$C$28+S66+R66*IF(ISBLANK(Design!$B$40),Constants!$C$6,Design!$B$40)/1000*(1+Constants!$C$29/100*(AC66-25)))/($B66+S66-R66*AD66/1000))</f>
        <v>50.689792160142339</v>
      </c>
      <c r="U66" s="159">
        <f ca="1">IF(($B66-R66*IF(ISBLANK(Design!$B$40),Constants!$C$6,Design!$B$40)/1000*(1+Constants!$C$29/100*(AC66-25))-Design!$C$28)/(IF(ISBLANK(Design!$B$39),Design!$B$38,Design!$B$39)/1000000)*T66/100/(IF(ISBLANK(Design!$B$32),Design!$B$31,Design!$B$32)*1000000)&lt;0,0,($B66-R66*IF(ISBLANK(Design!$B$40),Constants!$C$6,Design!$B$40)/1000*(1+Constants!$C$29/100*(AC66-25))-Design!$C$28)/(IF(ISBLANK(Design!$B$39),Design!$B$38,Design!$B$39)/1000000)*T66/100/(IF(ISBLANK(Design!$B$32),Design!$B$31,Design!$B$32)*1000000))</f>
        <v>0.62298062722824232</v>
      </c>
      <c r="V66" s="159">
        <f>$B66*Constants!$C$18/1000+IF(ISBLANK(Design!$B$32),Design!$B$31,Design!$B$32)*1000000*Constants!$D$22/1000000000*(IF($B66&lt;Constants!$C$21,0,$B66-Constants!$C$21))</f>
        <v>6.6087600000000121E-3</v>
      </c>
      <c r="W66" s="225">
        <f>$B66*R66*($B66/(Constants!$C$23*1000000000)*IF(ISBLANK(Design!$B$32),Design!$B$31,Design!$B$32)*1000000/2+$B66/(Constants!$C$24*1000000000)*IF(ISBLANK(Design!$B$32),Design!$B$31,Design!$B$32)*1000000/2)</f>
        <v>7.8198735821759374E-2</v>
      </c>
      <c r="X66" s="225">
        <f t="shared" ca="1" si="16"/>
        <v>0.64345706642175782</v>
      </c>
      <c r="Y66" s="225">
        <f>Constants!$D$22/1000000000*Constants!$C$21*IF(ISBLANK(Design!$B$32),Design!$B$31,Design!$B$32)*1000000</f>
        <v>1.2499999999999999E-2</v>
      </c>
      <c r="Z66" s="225">
        <f t="shared" ca="1" si="25"/>
        <v>0.74076456224351717</v>
      </c>
      <c r="AA66" s="225">
        <f t="shared" ca="1" si="21"/>
        <v>0.44090126177694733</v>
      </c>
      <c r="AB66" s="226">
        <f ca="1">$A66+AA66*Design!$B$19</f>
        <v>110.13137192128599</v>
      </c>
      <c r="AC66" s="226">
        <f ca="1">Z66*Design!$C$12+$A66</f>
        <v>110.18599511627959</v>
      </c>
      <c r="AD66" s="226">
        <f ca="1">Constants!$D$19+Constants!$D$19*Constants!$C$20/100*(AC66-25)</f>
        <v>231.77855531162839</v>
      </c>
      <c r="AE66" s="225">
        <f ca="1">(1-Constants!$D$17/1000000000*Design!$B$32*1000000) * ($B66+S66-R66*AD66/1000) - (S66+R66*(1+($A66-25)*Constants!$C$29/100)*IF(ISBLANK(Design!$B$40),Constants!$C$6/1000,Design!$B$40/1000))</f>
        <v>6.346321877684745</v>
      </c>
      <c r="AF66" s="339">
        <f ca="1">IF(AE66&gt;Design!$C$28,Design!$C$28,AE66)</f>
        <v>3.2940895522388054</v>
      </c>
      <c r="AG66" s="237">
        <f>Design!$D$6/3</f>
        <v>1.1666666666666667</v>
      </c>
      <c r="AH66" s="160">
        <f ca="1">FORECAST(AG66, OFFSET(Design!$C$15:$C$17,MATCH(AG66,Design!$B$15:$B$17,1)-1,0,2), OFFSET(Design!$B$15:$B$17,MATCH(AG66,Design!$B$15:$B$17,1)-1,0,2))+(AQ66-25)*Design!$B$18/1000</f>
        <v>0.32396860266425809</v>
      </c>
      <c r="AI66" s="238">
        <f ca="1">IF(100*(Design!$C$28+AH66+AG66*IF(ISBLANK(Design!$B$40),Constants!$C$6,Design!$B$40)/1000*(1+Constants!$C$29/100*(AR66-25)))/($B66+AH66-AG66*AS66/1000)&gt;Design!$C$35,Design!$C$35,100*(Design!$C$28+AH66+AG66*IF(ISBLANK(Design!$B$40),Constants!$C$6,Design!$B$40)/1000*(1+Constants!$C$29/100*(AR66-25)))/($B66+AH66-AG66*AS66/1000))</f>
        <v>47.936185031075944</v>
      </c>
      <c r="AJ66" s="161">
        <f ca="1">IF(($B66-AG66*IF(ISBLANK(Design!$B$40),Constants!$C$6,Design!$B$40)/1000*(1+Constants!$C$29/100*(AR66-25))-Design!$C$28)/(IF(ISBLANK(Design!$B$39),Design!$B$38,Design!$B$39)/1000000)*AI66/100/(IF(ISBLANK(Design!$B$32),Design!$B$31,Design!$B$32)*1000000)&lt;0,0,($B66-AG66*IF(ISBLANK(Design!$B$40),Constants!$C$6,Design!$B$40)/1000*(1+Constants!$C$29/100*(AR66-25))-Design!$C$28)/(IF(ISBLANK(Design!$B$39),Design!$B$38,Design!$B$39)/1000000)*AI66/100/(IF(ISBLANK(Design!$B$32),Design!$B$31,Design!$B$32)*1000000))</f>
        <v>0.5937669945442382</v>
      </c>
      <c r="AK66" s="161">
        <f>$B66*Constants!$C$18/1000+IF(ISBLANK(Design!$B$32),Design!$B$31,Design!$B$32)*1000000*Constants!$D$22/1000000000*(IF($B66&lt;Constants!$C$21,0,$B66-Constants!$C$21))</f>
        <v>6.6087600000000121E-3</v>
      </c>
      <c r="AL66" s="239">
        <f>$B66*AG66*($B66/(Constants!$C$23*1000000000)*IF(ISBLANK(Design!$B$32),Design!$B$31,Design!$B$32)*1000000/2+$B66/(Constants!$C$24*1000000000)*IF(ISBLANK(Design!$B$32),Design!$B$31,Design!$B$32)*1000000/2)</f>
        <v>3.9099367910879687E-2</v>
      </c>
      <c r="AM66" s="239">
        <f t="shared" ca="1" si="17"/>
        <v>0.14274745743165373</v>
      </c>
      <c r="AN66" s="239">
        <f>Constants!$D$22/1000000000*Constants!$C$21*IF(ISBLANK(Design!$B$32),Design!$B$31,Design!$B$32)*1000000</f>
        <v>1.2499999999999999E-2</v>
      </c>
      <c r="AO66" s="239">
        <f t="shared" ca="1" si="26"/>
        <v>0.20095558534253344</v>
      </c>
      <c r="AP66" s="239">
        <f t="shared" ca="1" si="23"/>
        <v>0.19678214948994943</v>
      </c>
      <c r="AQ66" s="240">
        <f ca="1">$A66+AP66*Design!$B$19</f>
        <v>96.216582520927119</v>
      </c>
      <c r="AR66" s="240">
        <f ca="1">AO66*Design!$C$12+$A66</f>
        <v>91.832489901646142</v>
      </c>
      <c r="AS66" s="240">
        <f ca="1">Constants!$D$19+Constants!$D$19*Constants!$C$20/100*(AR66-25)</f>
        <v>214.1591903055803</v>
      </c>
      <c r="AT66" s="239">
        <f ca="1">(1-Constants!$D$17/1000000000*Design!$B$32*1000000) * ($B66+AH66-AG66*AS66/1000) - (AH66+AG66*(1+($A66-25)*Constants!$C$29/100)*IF(ISBLANK(Design!$B$40),Constants!$C$6/1000,Design!$B$40/1000))</f>
        <v>6.6475829808588749</v>
      </c>
      <c r="AU66" s="342">
        <f ca="1">IF(AT66&gt;Design!$C$28,Design!$C$28,AT66)</f>
        <v>3.2940895522388054</v>
      </c>
    </row>
    <row r="67" spans="1:47" ht="12.75" customHeight="1" x14ac:dyDescent="0.25">
      <c r="A67" s="154">
        <f>Design!$D$13</f>
        <v>85</v>
      </c>
      <c r="B67" s="155">
        <f t="shared" si="14"/>
        <v>7.3000000000000043</v>
      </c>
      <c r="C67" s="156">
        <f>Design!$D$6</f>
        <v>3.5</v>
      </c>
      <c r="D67" s="156">
        <f ca="1">FORECAST(C67, OFFSET(Design!$C$15:$C$17,MATCH(C67,Design!$B$15:$B$17,1)-1,0,2), OFFSET(Design!$B$15:$B$17,MATCH(C67,Design!$B$15:$B$17,1)-1,0,2))+(M67-25)*Design!$B$18/1000</f>
        <v>0.40246853415434197</v>
      </c>
      <c r="E67" s="215">
        <f ca="1">IF(100*(Design!$C$28+D67+C67*IF(ISBLANK(Design!$B$40),Constants!$C$6,Design!$B$40)/1000*(1+Constants!$C$29/100*(N67-25)))/($B67+D67-C67*O67/1000)&gt;Design!$C$35,Design!$C$35,100*(Design!$C$28+D67+C67*IF(ISBLANK(Design!$B$40),Constants!$C$6,Design!$B$40)/1000*(1+Constants!$C$29/100*(N67-25)))/($B67+D67-C67*O67/1000))</f>
        <v>56.370174280252691</v>
      </c>
      <c r="F67" s="157">
        <f ca="1">IF(($B67-C67*IF(ISBLANK(Design!$B$40),Constants!$C$6,Design!$B$40)/1000*(1+Constants!$C$29/100*(N67-25))-Design!$C$28)/(IF(ISBLANK(Design!$B$39),Design!$B$38,Design!$B$39)/1000000)*E67/100/(IF(ISBLANK(Design!$B$32),Design!$B$31,Design!$B$32)*1000000)&lt;0,0,($B67-C67*IF(ISBLANK(Design!$B$40),Constants!$C$6,Design!$B$40)/1000*(1+Constants!$C$29/100*(N67-25))-Design!$C$28)/(IF(ISBLANK(Design!$B$39),Design!$B$38,Design!$B$39)/1000000)*E67/100/(IF(ISBLANK(Design!$B$32),Design!$B$31,Design!$B$32)*1000000))</f>
        <v>0.64667805779617893</v>
      </c>
      <c r="G67" s="207">
        <f>$B67*Constants!$C$18/1000+IF(ISBLANK(Design!$B$32),Design!$B$31,Design!$B$32)*1000000*Constants!$D$22/1000000000*(IF($B67&lt;Constants!$C$21,0,$B67-Constants!$C$21))</f>
        <v>6.0128000000000117E-3</v>
      </c>
      <c r="H67" s="207">
        <f>B67*C67*(B67/(Constants!$C$23*1000000000)*IF(ISBLANK(Design!$B$32),Design!$B$31,Design!$B$32)*1000000/2+B67/(Constants!$C$24*1000000000)*IF(ISBLANK(Design!$B$32),Design!$B$31,Design!$B$32)*1000000/2)</f>
        <v>0.11009565972222236</v>
      </c>
      <c r="I67" s="207">
        <f t="shared" ca="1" si="15"/>
        <v>1.8950359257617189</v>
      </c>
      <c r="J67" s="207">
        <f>Constants!$D$22/1000000000*Constants!$C$21*IF(ISBLANK(Design!$B$32),Design!$B$31,Design!$B$32)*1000000</f>
        <v>1.2499999999999999E-2</v>
      </c>
      <c r="K67" s="207">
        <f t="shared" ca="1" si="24"/>
        <v>2.0236443854839412</v>
      </c>
      <c r="L67" s="207">
        <f t="shared" ca="1" si="19"/>
        <v>0.61458712009926375</v>
      </c>
      <c r="M67" s="208">
        <f ca="1">$A67+L67*Design!$B$19</f>
        <v>120.03146584565803</v>
      </c>
      <c r="N67" s="208">
        <f ca="1">K67*Design!$C$12+A67</f>
        <v>153.803909106454</v>
      </c>
      <c r="O67" s="208">
        <f ca="1">Constants!$D$19+Constants!$D$19*Constants!$C$20/100*(N67-25)</f>
        <v>273.65175274219587</v>
      </c>
      <c r="P67" s="207">
        <f ca="1">(1-Constants!$D$17/1000000000*Design!$B$32*1000000) * ($B67+D67-C67*O67/1000) - (D67+C67*(1+($A67-25)*Constants!$C$29/100)*IF(ISBLANK(Design!$B$40),Constants!$C$6/1000,Design!$B$40/1000))</f>
        <v>5.7161378734377859</v>
      </c>
      <c r="Q67" s="213">
        <f ca="1">IF(P67&gt;Design!$C$28,Design!$C$28,P67)</f>
        <v>3.2940895522388054</v>
      </c>
      <c r="R67" s="335">
        <f>2*Design!$D$6/3</f>
        <v>2.3333333333333335</v>
      </c>
      <c r="S67" s="158">
        <f ca="1">FORECAST(R67, OFFSET(Design!$C$15:$C$17,MATCH(R67,Design!$B$15:$B$17,1)-1,0,2), OFFSET(Design!$B$15:$B$17,MATCH(R67,Design!$B$15:$B$17,1)-1,0,2))+(AB67-25)*Design!$B$18/1000</f>
        <v>0.38400931073617028</v>
      </c>
      <c r="T67" s="224">
        <f ca="1">IF(100*(Design!$C$28+S67+R67*IF(ISBLANK(Design!$B$40),Constants!$C$6,Design!$B$40)/1000*(1+Constants!$C$29/100*(AC67-25)))/($B67+S67-R67*AD67/1000)&gt;Design!$C$35,Design!$C$35,100*(Design!$C$28+S67+R67*IF(ISBLANK(Design!$B$40),Constants!$C$6,Design!$B$40)/1000*(1+Constants!$C$29/100*(AC67-25)))/($B67+S67-R67*AD67/1000))</f>
        <v>52.374230823208912</v>
      </c>
      <c r="U67" s="159">
        <f ca="1">IF(($B67-R67*IF(ISBLANK(Design!$B$40),Constants!$C$6,Design!$B$40)/1000*(1+Constants!$C$29/100*(AC67-25))-Design!$C$28)/(IF(ISBLANK(Design!$B$39),Design!$B$38,Design!$B$39)/1000000)*T67/100/(IF(ISBLANK(Design!$B$32),Design!$B$31,Design!$B$32)*1000000)&lt;0,0,($B67-R67*IF(ISBLANK(Design!$B$40),Constants!$C$6,Design!$B$40)/1000*(1+Constants!$C$29/100*(AC67-25))-Design!$C$28)/(IF(ISBLANK(Design!$B$39),Design!$B$38,Design!$B$39)/1000000)*T67/100/(IF(ISBLANK(Design!$B$32),Design!$B$31,Design!$B$32)*1000000))</f>
        <v>0.6074659099311569</v>
      </c>
      <c r="V67" s="159">
        <f>$B67*Constants!$C$18/1000+IF(ISBLANK(Design!$B$32),Design!$B$31,Design!$B$32)*1000000*Constants!$D$22/1000000000*(IF($B67&lt;Constants!$C$21,0,$B67-Constants!$C$21))</f>
        <v>6.0128000000000117E-3</v>
      </c>
      <c r="W67" s="225">
        <f>$B67*R67*($B67/(Constants!$C$23*1000000000)*IF(ISBLANK(Design!$B$32),Design!$B$31,Design!$B$32)*1000000/2+$B67/(Constants!$C$24*1000000000)*IF(ISBLANK(Design!$B$32),Design!$B$31,Design!$B$32)*1000000/2)</f>
        <v>7.339710648148158E-2</v>
      </c>
      <c r="X67" s="225">
        <f t="shared" ca="1" si="16"/>
        <v>0.66627693784038733</v>
      </c>
      <c r="Y67" s="225">
        <f>Constants!$D$22/1000000000*Constants!$C$21*IF(ISBLANK(Design!$B$32),Design!$B$31,Design!$B$32)*1000000</f>
        <v>1.2499999999999999E-2</v>
      </c>
      <c r="Z67" s="225">
        <f t="shared" ca="1" si="25"/>
        <v>0.75818684432186889</v>
      </c>
      <c r="AA67" s="225">
        <f t="shared" ca="1" si="21"/>
        <v>0.42673723854672146</v>
      </c>
      <c r="AB67" s="226">
        <f ca="1">$A67+AA67*Design!$B$19</f>
        <v>109.32402259716312</v>
      </c>
      <c r="AC67" s="226">
        <f ca="1">Z67*Design!$C$12+$A67</f>
        <v>110.77835270694354</v>
      </c>
      <c r="AD67" s="226">
        <f ca="1">Constants!$D$19+Constants!$D$19*Constants!$C$20/100*(AC67-25)</f>
        <v>232.34721859866579</v>
      </c>
      <c r="AE67" s="225">
        <f ca="1">(1-Constants!$D$17/1000000000*Design!$B$32*1000000) * ($B67+S67-R67*AD67/1000) - (S67+R67*(1+($A67-25)*Constants!$C$29/100)*IF(ISBLANK(Design!$B$40),Constants!$C$6/1000,Design!$B$40/1000))</f>
        <v>6.1288365592159746</v>
      </c>
      <c r="AF67" s="339">
        <f ca="1">IF(AE67&gt;Design!$C$28,Design!$C$28,AE67)</f>
        <v>3.2940895522388054</v>
      </c>
      <c r="AG67" s="237">
        <f>Design!$D$6/3</f>
        <v>1.1666666666666667</v>
      </c>
      <c r="AH67" s="160">
        <f ca="1">FORECAST(AG67, OFFSET(Design!$C$15:$C$17,MATCH(AG67,Design!$B$15:$B$17,1)-1,0,2), OFFSET(Design!$B$15:$B$17,MATCH(AG67,Design!$B$15:$B$17,1)-1,0,2))+(AQ67-25)*Design!$B$18/1000</f>
        <v>0.32428756072365306</v>
      </c>
      <c r="AI67" s="238">
        <f ca="1">IF(100*(Design!$C$28+AH67+AG67*IF(ISBLANK(Design!$B$40),Constants!$C$6,Design!$B$40)/1000*(1+Constants!$C$29/100*(AR67-25)))/($B67+AH67-AG67*AS67/1000)&gt;Design!$C$35,Design!$C$35,100*(Design!$C$28+AH67+AG67*IF(ISBLANK(Design!$B$40),Constants!$C$6,Design!$B$40)/1000*(1+Constants!$C$29/100*(AR67-25)))/($B67+AH67-AG67*AS67/1000))</f>
        <v>49.466439080355961</v>
      </c>
      <c r="AJ67" s="161">
        <f ca="1">IF(($B67-AG67*IF(ISBLANK(Design!$B$40),Constants!$C$6,Design!$B$40)/1000*(1+Constants!$C$29/100*(AR67-25))-Design!$C$28)/(IF(ISBLANK(Design!$B$39),Design!$B$38,Design!$B$39)/1000000)*AI67/100/(IF(ISBLANK(Design!$B$32),Design!$B$31,Design!$B$32)*1000000)&lt;0,0,($B67-AG67*IF(ISBLANK(Design!$B$40),Constants!$C$6,Design!$B$40)/1000*(1+Constants!$C$29/100*(AR67-25))-Design!$C$28)/(IF(ISBLANK(Design!$B$39),Design!$B$38,Design!$B$39)/1000000)*AI67/100/(IF(ISBLANK(Design!$B$32),Design!$B$31,Design!$B$32)*1000000))</f>
        <v>0.57853097041769852</v>
      </c>
      <c r="AK67" s="161">
        <f>$B67*Constants!$C$18/1000+IF(ISBLANK(Design!$B$32),Design!$B$31,Design!$B$32)*1000000*Constants!$D$22/1000000000*(IF($B67&lt;Constants!$C$21,0,$B67-Constants!$C$21))</f>
        <v>6.0128000000000117E-3</v>
      </c>
      <c r="AL67" s="239">
        <f>$B67*AG67*($B67/(Constants!$C$23*1000000000)*IF(ISBLANK(Design!$B$32),Design!$B$31,Design!$B$32)*1000000/2+$B67/(Constants!$C$24*1000000000)*IF(ISBLANK(Design!$B$32),Design!$B$31,Design!$B$32)*1000000/2)</f>
        <v>3.669855324074079E-2</v>
      </c>
      <c r="AM67" s="239">
        <f t="shared" ca="1" si="17"/>
        <v>0.14717884015579086</v>
      </c>
      <c r="AN67" s="239">
        <f>Constants!$D$22/1000000000*Constants!$C$21*IF(ISBLANK(Design!$B$32),Design!$B$31,Design!$B$32)*1000000</f>
        <v>1.2499999999999999E-2</v>
      </c>
      <c r="AO67" s="239">
        <f t="shared" ca="1" si="26"/>
        <v>0.20239019339653166</v>
      </c>
      <c r="AP67" s="239">
        <f t="shared" ca="1" si="23"/>
        <v>0.19118639406196736</v>
      </c>
      <c r="AQ67" s="240">
        <f ca="1">$A67+AP67*Design!$B$19</f>
        <v>95.897624461532132</v>
      </c>
      <c r="AR67" s="240">
        <f ca="1">AO67*Design!$C$12+$A67</f>
        <v>91.881266575482073</v>
      </c>
      <c r="AS67" s="240">
        <f ca="1">Constants!$D$19+Constants!$D$19*Constants!$C$20/100*(AR67-25)</f>
        <v>214.20601591246279</v>
      </c>
      <c r="AT67" s="239">
        <f ca="1">(1-Constants!$D$17/1000000000*Design!$B$32*1000000) * ($B67+AH67-AG67*AS67/1000) - (AH67+AG67*(1+($A67-25)*Constants!$C$29/100)*IF(ISBLANK(Design!$B$40),Constants!$C$6/1000,Design!$B$40/1000))</f>
        <v>6.4313072047294026</v>
      </c>
      <c r="AU67" s="342">
        <f ca="1">IF(AT67&gt;Design!$C$28,Design!$C$28,AT67)</f>
        <v>3.2940895522388054</v>
      </c>
    </row>
    <row r="68" spans="1:47" ht="12.75" customHeight="1" x14ac:dyDescent="0.25">
      <c r="A68" s="154">
        <f>Design!$D$13</f>
        <v>85</v>
      </c>
      <c r="B68" s="155">
        <f t="shared" si="14"/>
        <v>7.0650000000000039</v>
      </c>
      <c r="C68" s="156">
        <f>Design!$D$6</f>
        <v>3.5</v>
      </c>
      <c r="D68" s="156">
        <f ca="1">FORECAST(C68, OFFSET(Design!$C$15:$C$17,MATCH(C68,Design!$B$15:$B$17,1)-1,0,2), OFFSET(Design!$B$15:$B$17,MATCH(C68,Design!$B$15:$B$17,1)-1,0,2))+(M68-25)*Design!$B$18/1000</f>
        <v>0.40405789210208864</v>
      </c>
      <c r="E68" s="215">
        <f ca="1">IF(100*(Design!$C$28+D68+C68*IF(ISBLANK(Design!$B$40),Constants!$C$6,Design!$B$40)/1000*(1+Constants!$C$29/100*(N68-25)))/($B68+D68-C68*O68/1000)&gt;Design!$C$35,Design!$C$35,100*(Design!$C$28+D68+C68*IF(ISBLANK(Design!$B$40),Constants!$C$6,Design!$B$40)/1000*(1+Constants!$C$29/100*(N68-25)))/($B68+D68-C68*O68/1000))</f>
        <v>58.51346631264115</v>
      </c>
      <c r="F68" s="157">
        <f ca="1">IF(($B68-C68*IF(ISBLANK(Design!$B$40),Constants!$C$6,Design!$B$40)/1000*(1+Constants!$C$29/100*(N68-25))-Design!$C$28)/(IF(ISBLANK(Design!$B$39),Design!$B$38,Design!$B$39)/1000000)*E68/100/(IF(ISBLANK(Design!$B$32),Design!$B$31,Design!$B$32)*1000000)&lt;0,0,($B68-C68*IF(ISBLANK(Design!$B$40),Constants!$C$6,Design!$B$40)/1000*(1+Constants!$C$29/100*(N68-25))-Design!$C$28)/(IF(ISBLANK(Design!$B$39),Design!$B$38,Design!$B$39)/1000000)*E68/100/(IF(ISBLANK(Design!$B$32),Design!$B$31,Design!$B$32)*1000000))</f>
        <v>0.63068771292596448</v>
      </c>
      <c r="G68" s="207">
        <f>$B68*Constants!$C$18/1000+IF(ISBLANK(Design!$B$32),Design!$B$31,Design!$B$32)*1000000*Constants!$D$22/1000000000*(IF($B68&lt;Constants!$C$21,0,$B68-Constants!$C$21))</f>
        <v>5.4168400000000104E-3</v>
      </c>
      <c r="H68" s="207">
        <f>B68*C68*(B68/(Constants!$C$23*1000000000)*IF(ISBLANK(Design!$B$32),Design!$B$31,Design!$B$32)*1000000/2+B68/(Constants!$C$24*1000000000)*IF(ISBLANK(Design!$B$32),Design!$B$31,Design!$B$32)*1000000/2)</f>
        <v>0.10312140234375011</v>
      </c>
      <c r="I68" s="207">
        <f t="shared" ca="1" si="15"/>
        <v>1.9864959167653005</v>
      </c>
      <c r="J68" s="207">
        <f>Constants!$D$22/1000000000*Constants!$C$21*IF(ISBLANK(Design!$B$32),Design!$B$31,Design!$B$32)*1000000</f>
        <v>1.2499999999999999E-2</v>
      </c>
      <c r="K68" s="207">
        <f t="shared" ca="1" si="24"/>
        <v>2.1075341591090506</v>
      </c>
      <c r="L68" s="207">
        <f t="shared" ca="1" si="19"/>
        <v>0.58670364733177782</v>
      </c>
      <c r="M68" s="208">
        <f ca="1">$A68+L68*Design!$B$19</f>
        <v>118.44210789791134</v>
      </c>
      <c r="N68" s="208">
        <f ca="1">K68*Design!$C$12+A68</f>
        <v>156.65616140970772</v>
      </c>
      <c r="O68" s="208">
        <f ca="1">Constants!$D$19+Constants!$D$19*Constants!$C$20/100*(N68-25)</f>
        <v>276.38991495331942</v>
      </c>
      <c r="P68" s="207">
        <f ca="1">(1-Constants!$D$17/1000000000*Design!$B$32*1000000) * ($B68+D68-C68*O68/1000) - (D68+C68*(1+($A68-25)*Constants!$C$29/100)*IF(ISBLANK(Design!$B$40),Constants!$C$6/1000,Design!$B$40/1000))</f>
        <v>5.4909938424821485</v>
      </c>
      <c r="Q68" s="213">
        <f ca="1">IF(P68&gt;Design!$C$28,Design!$C$28,P68)</f>
        <v>3.2940895522388054</v>
      </c>
      <c r="R68" s="335">
        <f>2*Design!$D$6/3</f>
        <v>2.3333333333333335</v>
      </c>
      <c r="S68" s="158">
        <f ca="1">FORECAST(R68, OFFSET(Design!$C$15:$C$17,MATCH(R68,Design!$B$15:$B$17,1)-1,0,2), OFFSET(Design!$B$15:$B$17,MATCH(R68,Design!$B$15:$B$17,1)-1,0,2))+(AB68-25)*Design!$B$18/1000</f>
        <v>0.38487631424320534</v>
      </c>
      <c r="T68" s="224">
        <f ca="1">IF(100*(Design!$C$28+S68+R68*IF(ISBLANK(Design!$B$40),Constants!$C$6,Design!$B$40)/1000*(1+Constants!$C$29/100*(AC68-25)))/($B68+S68-R68*AD68/1000)&gt;Design!$C$35,Design!$C$35,100*(Design!$C$28+S68+R68*IF(ISBLANK(Design!$B$40),Constants!$C$6,Design!$B$40)/1000*(1+Constants!$C$29/100*(AC68-25)))/($B68+S68-R68*AD68/1000))</f>
        <v>54.175261490375739</v>
      </c>
      <c r="U68" s="159">
        <f ca="1">IF(($B68-R68*IF(ISBLANK(Design!$B$40),Constants!$C$6,Design!$B$40)/1000*(1+Constants!$C$29/100*(AC68-25))-Design!$C$28)/(IF(ISBLANK(Design!$B$39),Design!$B$38,Design!$B$39)/1000000)*T68/100/(IF(ISBLANK(Design!$B$32),Design!$B$31,Design!$B$32)*1000000)&lt;0,0,($B68-R68*IF(ISBLANK(Design!$B$40),Constants!$C$6,Design!$B$40)/1000*(1+Constants!$C$29/100*(AC68-25))-Design!$C$28)/(IF(ISBLANK(Design!$B$39),Design!$B$38,Design!$B$39)/1000000)*T68/100/(IF(ISBLANK(Design!$B$32),Design!$B$31,Design!$B$32)*1000000))</f>
        <v>0.59089141028017333</v>
      </c>
      <c r="V68" s="159">
        <f>$B68*Constants!$C$18/1000+IF(ISBLANK(Design!$B$32),Design!$B$31,Design!$B$32)*1000000*Constants!$D$22/1000000000*(IF($B68&lt;Constants!$C$21,0,$B68-Constants!$C$21))</f>
        <v>5.4168400000000104E-3</v>
      </c>
      <c r="W68" s="225">
        <f>$B68*R68*($B68/(Constants!$C$23*1000000000)*IF(ISBLANK(Design!$B$32),Design!$B$31,Design!$B$32)*1000000/2+$B68/(Constants!$C$24*1000000000)*IF(ISBLANK(Design!$B$32),Design!$B$31,Design!$B$32)*1000000/2)</f>
        <v>6.874760156250008E-2</v>
      </c>
      <c r="X68" s="225">
        <f t="shared" ca="1" si="16"/>
        <v>0.69085111997774151</v>
      </c>
      <c r="Y68" s="225">
        <f>Constants!$D$22/1000000000*Constants!$C$21*IF(ISBLANK(Design!$B$32),Design!$B$31,Design!$B$32)*1000000</f>
        <v>1.2499999999999999E-2</v>
      </c>
      <c r="Z68" s="225">
        <f t="shared" ca="1" si="25"/>
        <v>0.7775155615402416</v>
      </c>
      <c r="AA68" s="225">
        <f t="shared" ca="1" si="21"/>
        <v>0.41152665070400013</v>
      </c>
      <c r="AB68" s="226">
        <f ca="1">$A68+AA68*Design!$B$19</f>
        <v>108.457019090128</v>
      </c>
      <c r="AC68" s="226">
        <f ca="1">Z68*Design!$C$12+$A68</f>
        <v>111.43552909236821</v>
      </c>
      <c r="AD68" s="226">
        <f ca="1">Constants!$D$19+Constants!$D$19*Constants!$C$20/100*(AC68-25)</f>
        <v>232.97810792867347</v>
      </c>
      <c r="AE68" s="225">
        <f ca="1">(1-Constants!$D$17/1000000000*Design!$B$32*1000000) * ($B68+S68-R68*AD68/1000) - (S68+R68*(1+($A68-25)*Constants!$C$29/100)*IF(ISBLANK(Design!$B$40),Constants!$C$6/1000,Design!$B$40/1000))</f>
        <v>5.9112128898403284</v>
      </c>
      <c r="AF68" s="339">
        <f ca="1">IF(AE68&gt;Design!$C$28,Design!$C$28,AE68)</f>
        <v>3.2940895522388054</v>
      </c>
      <c r="AG68" s="237">
        <f>Design!$D$6/3</f>
        <v>1.1666666666666667</v>
      </c>
      <c r="AH68" s="160">
        <f ca="1">FORECAST(AG68, OFFSET(Design!$C$15:$C$17,MATCH(AG68,Design!$B$15:$B$17,1)-1,0,2), OFFSET(Design!$B$15:$B$17,MATCH(AG68,Design!$B$15:$B$17,1)-1,0,2))+(AQ68-25)*Design!$B$18/1000</f>
        <v>0.32462823973835125</v>
      </c>
      <c r="AI68" s="238">
        <f ca="1">IF(100*(Design!$C$28+AH68+AG68*IF(ISBLANK(Design!$B$40),Constants!$C$6,Design!$B$40)/1000*(1+Constants!$C$29/100*(AR68-25)))/($B68+AH68-AG68*AS68/1000)&gt;Design!$C$35,Design!$C$35,100*(Design!$C$28+AH68+AG68*IF(ISBLANK(Design!$B$40),Constants!$C$6,Design!$B$40)/1000*(1+Constants!$C$29/100*(AR68-25)))/($B68+AH68-AG68*AS68/1000))</f>
        <v>51.097581812710224</v>
      </c>
      <c r="AJ68" s="161">
        <f ca="1">IF(($B68-AG68*IF(ISBLANK(Design!$B$40),Constants!$C$6,Design!$B$40)/1000*(1+Constants!$C$29/100*(AR68-25))-Design!$C$28)/(IF(ISBLANK(Design!$B$39),Design!$B$38,Design!$B$39)/1000000)*AI68/100/(IF(ISBLANK(Design!$B$32),Design!$B$31,Design!$B$32)*1000000)&lt;0,0,($B68-AG68*IF(ISBLANK(Design!$B$40),Constants!$C$6,Design!$B$40)/1000*(1+Constants!$C$29/100*(AR68-25))-Design!$C$28)/(IF(ISBLANK(Design!$B$39),Design!$B$38,Design!$B$39)/1000000)*AI68/100/(IF(ISBLANK(Design!$B$32),Design!$B$31,Design!$B$32)*1000000))</f>
        <v>0.56228958387388694</v>
      </c>
      <c r="AK68" s="161">
        <f>$B68*Constants!$C$18/1000+IF(ISBLANK(Design!$B$32),Design!$B$31,Design!$B$32)*1000000*Constants!$D$22/1000000000*(IF($B68&lt;Constants!$C$21,0,$B68-Constants!$C$21))</f>
        <v>5.4168400000000104E-3</v>
      </c>
      <c r="AL68" s="239">
        <f>$B68*AG68*($B68/(Constants!$C$23*1000000000)*IF(ISBLANK(Design!$B$32),Design!$B$31,Design!$B$32)*1000000/2+$B68/(Constants!$C$24*1000000000)*IF(ISBLANK(Design!$B$32),Design!$B$31,Design!$B$32)*1000000/2)</f>
        <v>3.437380078125004E-2</v>
      </c>
      <c r="AM68" s="239">
        <f t="shared" ca="1" si="17"/>
        <v>0.15190479570739499</v>
      </c>
      <c r="AN68" s="239">
        <f>Constants!$D$22/1000000000*Constants!$C$21*IF(ISBLANK(Design!$B$32),Design!$B$31,Design!$B$32)*1000000</f>
        <v>1.2499999999999999E-2</v>
      </c>
      <c r="AO68" s="239">
        <f t="shared" ca="1" si="26"/>
        <v>0.20419543648864505</v>
      </c>
      <c r="AP68" s="239">
        <f t="shared" ca="1" si="23"/>
        <v>0.18520956924270049</v>
      </c>
      <c r="AQ68" s="240">
        <f ca="1">$A68+AP68*Design!$B$19</f>
        <v>95.556945446833936</v>
      </c>
      <c r="AR68" s="240">
        <f ca="1">AO68*Design!$C$12+$A68</f>
        <v>91.942644840613937</v>
      </c>
      <c r="AS68" s="240">
        <f ca="1">Constants!$D$19+Constants!$D$19*Constants!$C$20/100*(AR68-25)</f>
        <v>214.26493904698938</v>
      </c>
      <c r="AT68" s="239">
        <f ca="1">(1-Constants!$D$17/1000000000*Design!$B$32*1000000) * ($B68+AH68-AG68*AS68/1000) - (AH68+AG68*(1+($A68-25)*Constants!$C$29/100)*IF(ISBLANK(Design!$B$40),Constants!$C$6/1000,Design!$B$40/1000))</f>
        <v>6.2150167062438335</v>
      </c>
      <c r="AU68" s="342">
        <f ca="1">IF(AT68&gt;Design!$C$28,Design!$C$28,AT68)</f>
        <v>3.2940895522388054</v>
      </c>
    </row>
    <row r="69" spans="1:47" ht="12.75" customHeight="1" x14ac:dyDescent="0.25">
      <c r="A69" s="154">
        <f>Design!$D$13</f>
        <v>85</v>
      </c>
      <c r="B69" s="155">
        <f t="shared" si="14"/>
        <v>6.8300000000000036</v>
      </c>
      <c r="C69" s="156">
        <f>Design!$D$6</f>
        <v>3.5</v>
      </c>
      <c r="D69" s="156">
        <f ca="1">FORECAST(C69, OFFSET(Design!$C$15:$C$17,MATCH(C69,Design!$B$15:$B$17,1)-1,0,2), OFFSET(Design!$B$15:$B$17,MATCH(C69,Design!$B$15:$B$17,1)-1,0,2))+(M69-25)*Design!$B$18/1000</f>
        <v>0.40579524924188948</v>
      </c>
      <c r="E69" s="215">
        <f ca="1">IF(100*(Design!$C$28+D69+C69*IF(ISBLANK(Design!$B$40),Constants!$C$6,Design!$B$40)/1000*(1+Constants!$C$29/100*(N69-25)))/($B69+D69-C69*O69/1000)&gt;Design!$C$35,Design!$C$35,100*(Design!$C$28+D69+C69*IF(ISBLANK(Design!$B$40),Constants!$C$6,Design!$B$40)/1000*(1+Constants!$C$29/100*(N69-25)))/($B69+D69-C69*O69/1000))</f>
        <v>60.837132339885841</v>
      </c>
      <c r="F69" s="157">
        <f ca="1">IF(($B69-C69*IF(ISBLANK(Design!$B$40),Constants!$C$6,Design!$B$40)/1000*(1+Constants!$C$29/100*(N69-25))-Design!$C$28)/(IF(ISBLANK(Design!$B$39),Design!$B$38,Design!$B$39)/1000000)*E69/100/(IF(ISBLANK(Design!$B$32),Design!$B$31,Design!$B$32)*1000000)&lt;0,0,($B69-C69*IF(ISBLANK(Design!$B$40),Constants!$C$6,Design!$B$40)/1000*(1+Constants!$C$29/100*(N69-25))-Design!$C$28)/(IF(ISBLANK(Design!$B$39),Design!$B$38,Design!$B$39)/1000000)*E69/100/(IF(ISBLANK(Design!$B$32),Design!$B$31,Design!$B$32)*1000000))</f>
        <v>0.61352646798364274</v>
      </c>
      <c r="G69" s="207">
        <f>$B69*Constants!$C$18/1000+IF(ISBLANK(Design!$B$32),Design!$B$31,Design!$B$32)*1000000*Constants!$D$22/1000000000*(IF($B69&lt;Constants!$C$21,0,$B69-Constants!$C$21))</f>
        <v>4.8208800000000092E-3</v>
      </c>
      <c r="H69" s="207">
        <f>B69*C69*(B69/(Constants!$C$23*1000000000)*IF(ISBLANK(Design!$B$32),Design!$B$31,Design!$B$32)*1000000/2+B69/(Constants!$C$24*1000000000)*IF(ISBLANK(Design!$B$32),Design!$B$31,Design!$B$32)*1000000/2)</f>
        <v>9.6375331597222322E-2</v>
      </c>
      <c r="I69" s="207">
        <f t="shared" ca="1" si="15"/>
        <v>2.0880627232991547</v>
      </c>
      <c r="J69" s="207">
        <f>Constants!$D$22/1000000000*Constants!$C$21*IF(ISBLANK(Design!$B$32),Design!$B$31,Design!$B$32)*1000000</f>
        <v>1.2499999999999999E-2</v>
      </c>
      <c r="K69" s="207">
        <f t="shared" ca="1" si="24"/>
        <v>2.2017589348963771</v>
      </c>
      <c r="L69" s="207">
        <f t="shared" ca="1" si="19"/>
        <v>0.55622369751071055</v>
      </c>
      <c r="M69" s="208">
        <f ca="1">$A69+L69*Design!$B$19</f>
        <v>116.70475075811049</v>
      </c>
      <c r="N69" s="208">
        <f ca="1">K69*Design!$C$12+A69</f>
        <v>159.85980378647682</v>
      </c>
      <c r="O69" s="208">
        <f ca="1">Constants!$D$19+Constants!$D$19*Constants!$C$20/100*(N69-25)</f>
        <v>279.46541163501774</v>
      </c>
      <c r="P69" s="207">
        <f ca="1">(1-Constants!$D$17/1000000000*Design!$B$32*1000000) * ($B69+D69-C69*O69/1000) - (D69+C69*(1+($A69-25)*Constants!$C$29/100)*IF(ISBLANK(Design!$B$40),Constants!$C$6/1000,Design!$B$40/1000))</f>
        <v>5.2647517545958955</v>
      </c>
      <c r="Q69" s="213">
        <f ca="1">IF(P69&gt;Design!$C$28,Design!$C$28,P69)</f>
        <v>3.2940895522388054</v>
      </c>
      <c r="R69" s="335">
        <f>2*Design!$D$6/3</f>
        <v>2.3333333333333335</v>
      </c>
      <c r="S69" s="158">
        <f ca="1">FORECAST(R69, OFFSET(Design!$C$15:$C$17,MATCH(R69,Design!$B$15:$B$17,1)-1,0,2), OFFSET(Design!$B$15:$B$17,MATCH(R69,Design!$B$15:$B$17,1)-1,0,2))+(AB69-25)*Design!$B$18/1000</f>
        <v>0.38580987793153226</v>
      </c>
      <c r="T69" s="224">
        <f ca="1">IF(100*(Design!$C$28+S69+R69*IF(ISBLANK(Design!$B$40),Constants!$C$6,Design!$B$40)/1000*(1+Constants!$C$29/100*(AC69-25)))/($B69+S69-R69*AD69/1000)&gt;Design!$C$35,Design!$C$35,100*(Design!$C$28+S69+R69*IF(ISBLANK(Design!$B$40),Constants!$C$6,Design!$B$40)/1000*(1+Constants!$C$29/100*(AC69-25)))/($B69+S69-R69*AD69/1000))</f>
        <v>56.105507292013876</v>
      </c>
      <c r="U69" s="159">
        <f ca="1">IF(($B69-R69*IF(ISBLANK(Design!$B$40),Constants!$C$6,Design!$B$40)/1000*(1+Constants!$C$29/100*(AC69-25))-Design!$C$28)/(IF(ISBLANK(Design!$B$39),Design!$B$38,Design!$B$39)/1000000)*T69/100/(IF(ISBLANK(Design!$B$32),Design!$B$31,Design!$B$32)*1000000)&lt;0,0,($B69-R69*IF(ISBLANK(Design!$B$40),Constants!$C$6,Design!$B$40)/1000*(1+Constants!$C$29/100*(AC69-25))-Design!$C$28)/(IF(ISBLANK(Design!$B$39),Design!$B$38,Design!$B$39)/1000000)*T69/100/(IF(ISBLANK(Design!$B$32),Design!$B$31,Design!$B$32)*1000000))</f>
        <v>0.57314379333338961</v>
      </c>
      <c r="V69" s="159">
        <f>$B69*Constants!$C$18/1000+IF(ISBLANK(Design!$B$32),Design!$B$31,Design!$B$32)*1000000*Constants!$D$22/1000000000*(IF($B69&lt;Constants!$C$21,0,$B69-Constants!$C$21))</f>
        <v>4.8208800000000092E-3</v>
      </c>
      <c r="W69" s="225">
        <f>$B69*R69*($B69/(Constants!$C$23*1000000000)*IF(ISBLANK(Design!$B$32),Design!$B$31,Design!$B$32)*1000000/2+$B69/(Constants!$C$24*1000000000)*IF(ISBLANK(Design!$B$32),Design!$B$31,Design!$B$32)*1000000/2)</f>
        <v>6.4250221064814886E-2</v>
      </c>
      <c r="X69" s="225">
        <f t="shared" ca="1" si="16"/>
        <v>0.7173897929282379</v>
      </c>
      <c r="Y69" s="225">
        <f>Constants!$D$22/1000000000*Constants!$C$21*IF(ISBLANK(Design!$B$32),Design!$B$31,Design!$B$32)*1000000</f>
        <v>1.2499999999999999E-2</v>
      </c>
      <c r="Z69" s="225">
        <f t="shared" ca="1" si="25"/>
        <v>0.79896089399305281</v>
      </c>
      <c r="AA69" s="225">
        <f t="shared" ca="1" si="21"/>
        <v>0.39514834038247543</v>
      </c>
      <c r="AB69" s="226">
        <f ca="1">$A69+AA69*Design!$B$19</f>
        <v>107.5234554018011</v>
      </c>
      <c r="AC69" s="226">
        <f ca="1">Z69*Design!$C$12+$A69</f>
        <v>112.16467039576379</v>
      </c>
      <c r="AD69" s="226">
        <f ca="1">Constants!$D$19+Constants!$D$19*Constants!$C$20/100*(AC69-25)</f>
        <v>233.67808357993323</v>
      </c>
      <c r="AE69" s="225">
        <f ca="1">(1-Constants!$D$17/1000000000*Design!$B$32*1000000) * ($B69+S69-R69*AD69/1000) - (S69+R69*(1+($A69-25)*Constants!$C$29/100)*IF(ISBLANK(Design!$B$40),Constants!$C$6/1000,Design!$B$40/1000))</f>
        <v>5.6934355903472245</v>
      </c>
      <c r="AF69" s="339">
        <f ca="1">IF(AE69&gt;Design!$C$28,Design!$C$28,AE69)</f>
        <v>3.2940895522388054</v>
      </c>
      <c r="AG69" s="237">
        <f>Design!$D$6/3</f>
        <v>1.1666666666666667</v>
      </c>
      <c r="AH69" s="160">
        <f ca="1">FORECAST(AG69, OFFSET(Design!$C$15:$C$17,MATCH(AG69,Design!$B$15:$B$17,1)-1,0,2), OFFSET(Design!$B$15:$B$17,MATCH(AG69,Design!$B$15:$B$17,1)-1,0,2))+(AQ69-25)*Design!$B$18/1000</f>
        <v>0.32499293505507421</v>
      </c>
      <c r="AI69" s="238">
        <f ca="1">IF(100*(Design!$C$28+AH69+AG69*IF(ISBLANK(Design!$B$40),Constants!$C$6,Design!$B$40)/1000*(1+Constants!$C$29/100*(AR69-25)))/($B69+AH69-AG69*AS69/1000)&gt;Design!$C$35,Design!$C$35,100*(Design!$C$28+AH69+AG69*IF(ISBLANK(Design!$B$40),Constants!$C$6,Design!$B$40)/1000*(1+Constants!$C$29/100*(AR69-25)))/($B69+AH69-AG69*AS69/1000))</f>
        <v>52.839922743607715</v>
      </c>
      <c r="AJ69" s="161">
        <f ca="1">IF(($B69-AG69*IF(ISBLANK(Design!$B$40),Constants!$C$6,Design!$B$40)/1000*(1+Constants!$C$29/100*(AR69-25))-Design!$C$28)/(IF(ISBLANK(Design!$B$39),Design!$B$38,Design!$B$39)/1000000)*AI69/100/(IF(ISBLANK(Design!$B$32),Design!$B$31,Design!$B$32)*1000000)&lt;0,0,($B69-AG69*IF(ISBLANK(Design!$B$40),Constants!$C$6,Design!$B$40)/1000*(1+Constants!$C$29/100*(AR69-25))-Design!$C$28)/(IF(ISBLANK(Design!$B$39),Design!$B$38,Design!$B$39)/1000000)*AI69/100/(IF(ISBLANK(Design!$B$32),Design!$B$31,Design!$B$32)*1000000))</f>
        <v>0.54493992514821477</v>
      </c>
      <c r="AK69" s="161">
        <f>$B69*Constants!$C$18/1000+IF(ISBLANK(Design!$B$32),Design!$B$31,Design!$B$32)*1000000*Constants!$D$22/1000000000*(IF($B69&lt;Constants!$C$21,0,$B69-Constants!$C$21))</f>
        <v>4.8208800000000092E-3</v>
      </c>
      <c r="AL69" s="239">
        <f>$B69*AG69*($B69/(Constants!$C$23*1000000000)*IF(ISBLANK(Design!$B$32),Design!$B$31,Design!$B$32)*1000000/2+$B69/(Constants!$C$24*1000000000)*IF(ISBLANK(Design!$B$32),Design!$B$31,Design!$B$32)*1000000/2)</f>
        <v>3.2125110532407443E-2</v>
      </c>
      <c r="AM69" s="239">
        <f t="shared" ca="1" si="17"/>
        <v>0.15695598942852901</v>
      </c>
      <c r="AN69" s="239">
        <f>Constants!$D$22/1000000000*Constants!$C$21*IF(ISBLANK(Design!$B$32),Design!$B$31,Design!$B$32)*1000000</f>
        <v>1.2499999999999999E-2</v>
      </c>
      <c r="AO69" s="239">
        <f t="shared" ca="1" si="26"/>
        <v>0.20640197996093645</v>
      </c>
      <c r="AP69" s="239">
        <f t="shared" ca="1" si="23"/>
        <v>0.17881140579142146</v>
      </c>
      <c r="AQ69" s="240">
        <f ca="1">$A69+AP69*Design!$B$19</f>
        <v>95.19225013011102</v>
      </c>
      <c r="AR69" s="240">
        <f ca="1">AO69*Design!$C$12+$A69</f>
        <v>92.01766731867184</v>
      </c>
      <c r="AS69" s="240">
        <f ca="1">Constants!$D$19+Constants!$D$19*Constants!$C$20/100*(AR69-25)</f>
        <v>214.33696062592497</v>
      </c>
      <c r="AT69" s="239">
        <f ca="1">(1-Constants!$D$17/1000000000*Design!$B$32*1000000) * ($B69+AH69-AG69*AS69/1000) - (AH69+AG69*(1+($A69-25)*Constants!$C$29/100)*IF(ISBLANK(Design!$B$40),Constants!$C$6/1000,Design!$B$40/1000))</f>
        <v>5.9987102274571047</v>
      </c>
      <c r="AU69" s="342">
        <f ca="1">IF(AT69&gt;Design!$C$28,Design!$C$28,AT69)</f>
        <v>3.2940895522388054</v>
      </c>
    </row>
    <row r="70" spans="1:47" ht="12.75" customHeight="1" x14ac:dyDescent="0.25">
      <c r="A70" s="154">
        <f>Design!$D$13</f>
        <v>85</v>
      </c>
      <c r="B70" s="155">
        <f t="shared" si="14"/>
        <v>6.5950000000000033</v>
      </c>
      <c r="C70" s="156">
        <f>Design!$D$6</f>
        <v>3.5</v>
      </c>
      <c r="D70" s="156">
        <f ca="1">FORECAST(C70, OFFSET(Design!$C$15:$C$17,MATCH(C70,Design!$B$15:$B$17,1)-1,0,2), OFFSET(Design!$B$15:$B$17,MATCH(C70,Design!$B$15:$B$17,1)-1,0,2))+(M70-25)*Design!$B$18/1000</f>
        <v>0.40770384215636735</v>
      </c>
      <c r="E70" s="215">
        <f ca="1">IF(100*(Design!$C$28+D70+C70*IF(ISBLANK(Design!$B$40),Constants!$C$6,Design!$B$40)/1000*(1+Constants!$C$29/100*(N70-25)))/($B70+D70-C70*O70/1000)&gt;Design!$C$35,Design!$C$35,100*(Design!$C$28+D70+C70*IF(ISBLANK(Design!$B$40),Constants!$C$6,Design!$B$40)/1000*(1+Constants!$C$29/100*(N70-25)))/($B70+D70-C70*O70/1000))</f>
        <v>63.366993584152176</v>
      </c>
      <c r="F70" s="157">
        <f ca="1">IF(($B70-C70*IF(ISBLANK(Design!$B$40),Constants!$C$6,Design!$B$40)/1000*(1+Constants!$C$29/100*(N70-25))-Design!$C$28)/(IF(ISBLANK(Design!$B$39),Design!$B$38,Design!$B$39)/1000000)*E70/100/(IF(ISBLANK(Design!$B$32),Design!$B$31,Design!$B$32)*1000000)&lt;0,0,($B70-C70*IF(ISBLANK(Design!$B$40),Constants!$C$6,Design!$B$40)/1000*(1+Constants!$C$29/100*(N70-25))-Design!$C$28)/(IF(ISBLANK(Design!$B$39),Design!$B$38,Design!$B$39)/1000000)*E70/100/(IF(ISBLANK(Design!$B$32),Design!$B$31,Design!$B$32)*1000000))</f>
        <v>0.59505617471768135</v>
      </c>
      <c r="G70" s="207">
        <f>$B70*Constants!$C$18/1000+IF(ISBLANK(Design!$B$32),Design!$B$31,Design!$B$32)*1000000*Constants!$D$22/1000000000*(IF($B70&lt;Constants!$C$21,0,$B70-Constants!$C$21))</f>
        <v>4.2249200000000087E-3</v>
      </c>
      <c r="H70" s="207">
        <f>B70*C70*(B70/(Constants!$C$23*1000000000)*IF(ISBLANK(Design!$B$32),Design!$B$31,Design!$B$32)*1000000/2+B70/(Constants!$C$24*1000000000)*IF(ISBLANK(Design!$B$32),Design!$B$31,Design!$B$32)*1000000/2)</f>
        <v>8.9857447482638964E-2</v>
      </c>
      <c r="I70" s="207">
        <f t="shared" ca="1" si="15"/>
        <v>2.2015902545334258</v>
      </c>
      <c r="J70" s="207">
        <f>Constants!$D$22/1000000000*Constants!$C$21*IF(ISBLANK(Design!$B$32),Design!$B$31,Design!$B$32)*1000000</f>
        <v>1.2499999999999999E-2</v>
      </c>
      <c r="K70" s="207">
        <f t="shared" ca="1" si="24"/>
        <v>2.3081726220160648</v>
      </c>
      <c r="L70" s="207">
        <f t="shared" ca="1" si="19"/>
        <v>0.52273961129180047</v>
      </c>
      <c r="M70" s="208">
        <f ca="1">$A70+L70*Design!$B$19</f>
        <v>114.79615784363263</v>
      </c>
      <c r="N70" s="208">
        <f ca="1">K70*Design!$C$12+A70</f>
        <v>163.4778691485462</v>
      </c>
      <c r="O70" s="208">
        <f ca="1">Constants!$D$19+Constants!$D$19*Constants!$C$20/100*(N70-25)</f>
        <v>282.93875438260432</v>
      </c>
      <c r="P70" s="207">
        <f ca="1">(1-Constants!$D$17/1000000000*Design!$B$32*1000000) * ($B70+D70-C70*O70/1000) - (D70+C70*(1+($A70-25)*Constants!$C$29/100)*IF(ISBLANK(Design!$B$40),Constants!$C$6/1000,Design!$B$40/1000))</f>
        <v>5.0372149035155083</v>
      </c>
      <c r="Q70" s="213">
        <f ca="1">IF(P70&gt;Design!$C$28,Design!$C$28,P70)</f>
        <v>3.2940895522388054</v>
      </c>
      <c r="R70" s="335">
        <f>2*Design!$D$6/3</f>
        <v>2.3333333333333335</v>
      </c>
      <c r="S70" s="158">
        <f ca="1">FORECAST(R70, OFFSET(Design!$C$15:$C$17,MATCH(R70,Design!$B$15:$B$17,1)-1,0,2), OFFSET(Design!$B$15:$B$17,MATCH(R70,Design!$B$15:$B$17,1)-1,0,2))+(AB70-25)*Design!$B$18/1000</f>
        <v>0.38681802419826283</v>
      </c>
      <c r="T70" s="224">
        <f ca="1">IF(100*(Design!$C$28+S70+R70*IF(ISBLANK(Design!$B$40),Constants!$C$6,Design!$B$40)/1000*(1+Constants!$C$29/100*(AC70-25)))/($B70+S70-R70*AD70/1000)&gt;Design!$C$35,Design!$C$35,100*(Design!$C$28+S70+R70*IF(ISBLANK(Design!$B$40),Constants!$C$6,Design!$B$40)/1000*(1+Constants!$C$29/100*(AC70-25)))/($B70+S70-R70*AD70/1000))</f>
        <v>58.179497464638033</v>
      </c>
      <c r="U70" s="159">
        <f ca="1">IF(($B70-R70*IF(ISBLANK(Design!$B$40),Constants!$C$6,Design!$B$40)/1000*(1+Constants!$C$29/100*(AC70-25))-Design!$C$28)/(IF(ISBLANK(Design!$B$39),Design!$B$38,Design!$B$39)/1000000)*T70/100/(IF(ISBLANK(Design!$B$32),Design!$B$31,Design!$B$32)*1000000)&lt;0,0,($B70-R70*IF(ISBLANK(Design!$B$40),Constants!$C$6,Design!$B$40)/1000*(1+Constants!$C$29/100*(AC70-25))-Design!$C$28)/(IF(ISBLANK(Design!$B$39),Design!$B$38,Design!$B$39)/1000000)*T70/100/(IF(ISBLANK(Design!$B$32),Design!$B$31,Design!$B$32)*1000000))</f>
        <v>0.55409286287212001</v>
      </c>
      <c r="V70" s="159">
        <f>$B70*Constants!$C$18/1000+IF(ISBLANK(Design!$B$32),Design!$B$31,Design!$B$32)*1000000*Constants!$D$22/1000000000*(IF($B70&lt;Constants!$C$21,0,$B70-Constants!$C$21))</f>
        <v>4.2249200000000087E-3</v>
      </c>
      <c r="W70" s="225">
        <f>$B70*R70*($B70/(Constants!$C$23*1000000000)*IF(ISBLANK(Design!$B$32),Design!$B$31,Design!$B$32)*1000000/2+$B70/(Constants!$C$24*1000000000)*IF(ISBLANK(Design!$B$32),Design!$B$31,Design!$B$32)*1000000/2)</f>
        <v>5.9904964988425992E-2</v>
      </c>
      <c r="X70" s="225">
        <f t="shared" ca="1" si="16"/>
        <v>0.74613843907081612</v>
      </c>
      <c r="Y70" s="225">
        <f>Constants!$D$22/1000000000*Constants!$C$21*IF(ISBLANK(Design!$B$32),Design!$B$31,Design!$B$32)*1000000</f>
        <v>1.2499999999999999E-2</v>
      </c>
      <c r="Z70" s="225">
        <f t="shared" ca="1" si="25"/>
        <v>0.82276832405924205</v>
      </c>
      <c r="AA70" s="225">
        <f t="shared" ca="1" si="21"/>
        <v>0.37746156377316703</v>
      </c>
      <c r="AB70" s="226">
        <f ca="1">$A70+AA70*Design!$B$19</f>
        <v>106.51530913507052</v>
      </c>
      <c r="AC70" s="226">
        <f ca="1">Z70*Design!$C$12+$A70</f>
        <v>112.97412301801423</v>
      </c>
      <c r="AD70" s="226">
        <f ca="1">Constants!$D$19+Constants!$D$19*Constants!$C$20/100*(AC70-25)</f>
        <v>234.45515809729363</v>
      </c>
      <c r="AE70" s="225">
        <f ca="1">(1-Constants!$D$17/1000000000*Design!$B$32*1000000) * ($B70+S70-R70*AD70/1000) - (S70+R70*(1+($A70-25)*Constants!$C$29/100)*IF(ISBLANK(Design!$B$40),Constants!$C$6/1000,Design!$B$40/1000))</f>
        <v>5.4754868186819516</v>
      </c>
      <c r="AF70" s="339">
        <f ca="1">IF(AE70&gt;Design!$C$28,Design!$C$28,AE70)</f>
        <v>3.2940895522388054</v>
      </c>
      <c r="AG70" s="237">
        <f>Design!$D$6/3</f>
        <v>1.1666666666666667</v>
      </c>
      <c r="AH70" s="160">
        <f ca="1">FORECAST(AG70, OFFSET(Design!$C$15:$C$17,MATCH(AG70,Design!$B$15:$B$17,1)-1,0,2), OFFSET(Design!$B$15:$B$17,MATCH(AG70,Design!$B$15:$B$17,1)-1,0,2))+(AQ70-25)*Design!$B$18/1000</f>
        <v>0.32538427699440575</v>
      </c>
      <c r="AI70" s="238">
        <f ca="1">IF(100*(Design!$C$28+AH70+AG70*IF(ISBLANK(Design!$B$40),Constants!$C$6,Design!$B$40)/1000*(1+Constants!$C$29/100*(AR70-25)))/($B70+AH70-AG70*AS70/1000)&gt;Design!$C$35,Design!$C$35,100*(Design!$C$28+AH70+AG70*IF(ISBLANK(Design!$B$40),Constants!$C$6,Design!$B$40)/1000*(1+Constants!$C$29/100*(AR70-25)))/($B70+AH70-AG70*AS70/1000))</f>
        <v>54.705224413972701</v>
      </c>
      <c r="AJ70" s="161">
        <f ca="1">IF(($B70-AG70*IF(ISBLANK(Design!$B$40),Constants!$C$6,Design!$B$40)/1000*(1+Constants!$C$29/100*(AR70-25))-Design!$C$28)/(IF(ISBLANK(Design!$B$39),Design!$B$38,Design!$B$39)/1000000)*AI70/100/(IF(ISBLANK(Design!$B$32),Design!$B$31,Design!$B$32)*1000000)&lt;0,0,($B70-AG70*IF(ISBLANK(Design!$B$40),Constants!$C$6,Design!$B$40)/1000*(1+Constants!$C$29/100*(AR70-25))-Design!$C$28)/(IF(ISBLANK(Design!$B$39),Design!$B$38,Design!$B$39)/1000000)*AI70/100/(IF(ISBLANK(Design!$B$32),Design!$B$31,Design!$B$32)*1000000))</f>
        <v>0.52636455510037217</v>
      </c>
      <c r="AK70" s="161">
        <f>$B70*Constants!$C$18/1000+IF(ISBLANK(Design!$B$32),Design!$B$31,Design!$B$32)*1000000*Constants!$D$22/1000000000*(IF($B70&lt;Constants!$C$21,0,$B70-Constants!$C$21))</f>
        <v>4.2249200000000087E-3</v>
      </c>
      <c r="AL70" s="239">
        <f>$B70*AG70*($B70/(Constants!$C$23*1000000000)*IF(ISBLANK(Design!$B$32),Design!$B$31,Design!$B$32)*1000000/2+$B70/(Constants!$C$24*1000000000)*IF(ISBLANK(Design!$B$32),Design!$B$31,Design!$B$32)*1000000/2)</f>
        <v>2.9952482494212996E-2</v>
      </c>
      <c r="AM70" s="239">
        <f t="shared" ca="1" si="17"/>
        <v>0.16236757143773403</v>
      </c>
      <c r="AN70" s="239">
        <f>Constants!$D$22/1000000000*Constants!$C$21*IF(ISBLANK(Design!$B$32),Design!$B$31,Design!$B$32)*1000000</f>
        <v>1.2499999999999999E-2</v>
      </c>
      <c r="AO70" s="239">
        <f t="shared" ca="1" si="26"/>
        <v>0.20904497393194704</v>
      </c>
      <c r="AP70" s="239">
        <f t="shared" ca="1" si="23"/>
        <v>0.17194575773297249</v>
      </c>
      <c r="AQ70" s="240">
        <f ca="1">$A70+AP70*Design!$B$19</f>
        <v>94.800908190779438</v>
      </c>
      <c r="AR70" s="240">
        <f ca="1">AO70*Design!$C$12+$A70</f>
        <v>92.107529113686198</v>
      </c>
      <c r="AS70" s="240">
        <f ca="1">Constants!$D$19+Constants!$D$19*Constants!$C$20/100*(AR70-25)</f>
        <v>214.42322794913875</v>
      </c>
      <c r="AT70" s="239">
        <f ca="1">(1-Constants!$D$17/1000000000*Design!$B$32*1000000) * ($B70+AH70-AG70*AS70/1000) - (AH70+AG70*(1+($A70-25)*Constants!$C$29/100)*IF(ISBLANK(Design!$B$40),Constants!$C$6/1000,Design!$B$40/1000))</f>
        <v>5.7823863265083748</v>
      </c>
      <c r="AU70" s="342">
        <f ca="1">IF(AT70&gt;Design!$C$28,Design!$C$28,AT70)</f>
        <v>3.2940895522388054</v>
      </c>
    </row>
    <row r="71" spans="1:47" ht="12.75" customHeight="1" x14ac:dyDescent="0.25">
      <c r="A71" s="154">
        <f>Design!$D$13</f>
        <v>85</v>
      </c>
      <c r="B71" s="155">
        <f t="shared" si="14"/>
        <v>6.360000000000003</v>
      </c>
      <c r="C71" s="156">
        <f>Design!$D$6</f>
        <v>3.5</v>
      </c>
      <c r="D71" s="156">
        <f ca="1">FORECAST(C71, OFFSET(Design!$C$15:$C$17,MATCH(C71,Design!$B$15:$B$17,1)-1,0,2), OFFSET(Design!$B$15:$B$17,MATCH(C71,Design!$B$15:$B$17,1)-1,0,2))+(M71-25)*Design!$B$18/1000</f>
        <v>0.40981248093246492</v>
      </c>
      <c r="E71" s="215">
        <f ca="1">IF(100*(Design!$C$28+D71+C71*IF(ISBLANK(Design!$B$40),Constants!$C$6,Design!$B$40)/1000*(1+Constants!$C$29/100*(N71-25)))/($B71+D71-C71*O71/1000)&gt;Design!$C$35,Design!$C$35,100*(Design!$C$28+D71+C71*IF(ISBLANK(Design!$B$40),Constants!$C$6,Design!$B$40)/1000*(1+Constants!$C$29/100*(N71-25)))/($B71+D71-C71*O71/1000))</f>
        <v>66.134619323033746</v>
      </c>
      <c r="F71" s="157">
        <f ca="1">IF(($B71-C71*IF(ISBLANK(Design!$B$40),Constants!$C$6,Design!$B$40)/1000*(1+Constants!$C$29/100*(N71-25))-Design!$C$28)/(IF(ISBLANK(Design!$B$39),Design!$B$38,Design!$B$39)/1000000)*E71/100/(IF(ISBLANK(Design!$B$32),Design!$B$31,Design!$B$32)*1000000)&lt;0,0,($B71-C71*IF(ISBLANK(Design!$B$40),Constants!$C$6,Design!$B$40)/1000*(1+Constants!$C$29/100*(N71-25))-Design!$C$28)/(IF(ISBLANK(Design!$B$39),Design!$B$38,Design!$B$39)/1000000)*E71/100/(IF(ISBLANK(Design!$B$32),Design!$B$31,Design!$B$32)*1000000))</f>
        <v>0.57511515622454801</v>
      </c>
      <c r="G71" s="207">
        <f>$B71*Constants!$C$18/1000+IF(ISBLANK(Design!$B$32),Design!$B$31,Design!$B$32)*1000000*Constants!$D$22/1000000000*(IF($B71&lt;Constants!$C$21,0,$B71-Constants!$C$21))</f>
        <v>3.6289600000000079E-3</v>
      </c>
      <c r="H71" s="207">
        <f>B71*C71*(B71/(Constants!$C$23*1000000000)*IF(ISBLANK(Design!$B$32),Design!$B$31,Design!$B$32)*1000000/2+B71/(Constants!$C$24*1000000000)*IF(ISBLANK(Design!$B$32),Design!$B$31,Design!$B$32)*1000000/2)</f>
        <v>8.3567750000000093E-2</v>
      </c>
      <c r="I71" s="207">
        <f t="shared" ca="1" si="15"/>
        <v>2.3294429747505432</v>
      </c>
      <c r="J71" s="207">
        <f>Constants!$D$22/1000000000*Constants!$C$21*IF(ISBLANK(Design!$B$32),Design!$B$31,Design!$B$32)*1000000</f>
        <v>1.2499999999999999E-2</v>
      </c>
      <c r="K71" s="207">
        <f t="shared" ca="1" si="24"/>
        <v>2.4291396847505435</v>
      </c>
      <c r="L71" s="207">
        <f t="shared" ca="1" si="19"/>
        <v>0.48574594855324638</v>
      </c>
      <c r="M71" s="208">
        <f ca="1">$A71+L71*Design!$B$19</f>
        <v>112.68751906753505</v>
      </c>
      <c r="N71" s="208">
        <f ca="1">K71*Design!$C$12+A71</f>
        <v>167.59074928151847</v>
      </c>
      <c r="O71" s="208">
        <f ca="1">Constants!$D$19+Constants!$D$19*Constants!$C$20/100*(N71-25)</f>
        <v>286.88711931025773</v>
      </c>
      <c r="P71" s="207">
        <f ca="1">(1-Constants!$D$17/1000000000*Design!$B$32*1000000) * ($B71+D71-C71*O71/1000) - (D71+C71*(1+($A71-25)*Constants!$C$29/100)*IF(ISBLANK(Design!$B$40),Constants!$C$6/1000,Design!$B$40/1000))</f>
        <v>4.8081324773463754</v>
      </c>
      <c r="Q71" s="213">
        <f ca="1">IF(P71&gt;Design!$C$28,Design!$C$28,P71)</f>
        <v>3.2940895522388054</v>
      </c>
      <c r="R71" s="335">
        <f>2*Design!$D$6/3</f>
        <v>2.3333333333333335</v>
      </c>
      <c r="S71" s="158">
        <f ca="1">FORECAST(R71, OFFSET(Design!$C$15:$C$17,MATCH(R71,Design!$B$15:$B$17,1)-1,0,2), OFFSET(Design!$B$15:$B$17,MATCH(R71,Design!$B$15:$B$17,1)-1,0,2))+(AB71-25)*Design!$B$18/1000</f>
        <v>0.38791012877713787</v>
      </c>
      <c r="T71" s="224">
        <f ca="1">IF(100*(Design!$C$28+S71+R71*IF(ISBLANK(Design!$B$40),Constants!$C$6,Design!$B$40)/1000*(1+Constants!$C$29/100*(AC71-25)))/($B71+S71-R71*AD71/1000)&gt;Design!$C$35,Design!$C$35,100*(Design!$C$28+S71+R71*IF(ISBLANK(Design!$B$40),Constants!$C$6,Design!$B$40)/1000*(1+Constants!$C$29/100*(AC71-25)))/($B71+S71-R71*AD71/1000))</f>
        <v>60.414045006240812</v>
      </c>
      <c r="U71" s="159">
        <f ca="1">IF(($B71-R71*IF(ISBLANK(Design!$B$40),Constants!$C$6,Design!$B$40)/1000*(1+Constants!$C$29/100*(AC71-25))-Design!$C$28)/(IF(ISBLANK(Design!$B$39),Design!$B$38,Design!$B$39)/1000000)*T71/100/(IF(ISBLANK(Design!$B$32),Design!$B$31,Design!$B$32)*1000000)&lt;0,0,($B71-R71*IF(ISBLANK(Design!$B$40),Constants!$C$6,Design!$B$40)/1000*(1+Constants!$C$29/100*(AC71-25))-Design!$C$28)/(IF(ISBLANK(Design!$B$39),Design!$B$38,Design!$B$39)/1000000)*T71/100/(IF(ISBLANK(Design!$B$32),Design!$B$31,Design!$B$32)*1000000))</f>
        <v>0.53358827879117254</v>
      </c>
      <c r="V71" s="159">
        <f>$B71*Constants!$C$18/1000+IF(ISBLANK(Design!$B$32),Design!$B$31,Design!$B$32)*1000000*Constants!$D$22/1000000000*(IF($B71&lt;Constants!$C$21,0,$B71-Constants!$C$21))</f>
        <v>3.6289600000000079E-3</v>
      </c>
      <c r="W71" s="225">
        <f>$B71*R71*($B71/(Constants!$C$23*1000000000)*IF(ISBLANK(Design!$B$32),Design!$B$31,Design!$B$32)*1000000/2+$B71/(Constants!$C$24*1000000000)*IF(ISBLANK(Design!$B$32),Design!$B$31,Design!$B$32)*1000000/2)</f>
        <v>5.5711833333333398E-2</v>
      </c>
      <c r="X71" s="225">
        <f t="shared" ca="1" si="16"/>
        <v>0.77738565532477233</v>
      </c>
      <c r="Y71" s="225">
        <f>Constants!$D$22/1000000000*Constants!$C$21*IF(ISBLANK(Design!$B$32),Design!$B$31,Design!$B$32)*1000000</f>
        <v>1.2499999999999999E-2</v>
      </c>
      <c r="Z71" s="225">
        <f t="shared" ca="1" si="25"/>
        <v>0.8492264486581057</v>
      </c>
      <c r="AA71" s="225">
        <f t="shared" ca="1" si="21"/>
        <v>0.35830183431921925</v>
      </c>
      <c r="AB71" s="226">
        <f ca="1">$A71+AA71*Design!$B$19</f>
        <v>105.4232045561955</v>
      </c>
      <c r="AC71" s="226">
        <f ca="1">Z71*Design!$C$12+$A71</f>
        <v>113.87369925437559</v>
      </c>
      <c r="AD71" s="226">
        <f ca="1">Constants!$D$19+Constants!$D$19*Constants!$C$20/100*(AC71-25)</f>
        <v>235.31875128420057</v>
      </c>
      <c r="AE71" s="225">
        <f ca="1">(1-Constants!$D$17/1000000000*Design!$B$32*1000000) * ($B71+S71-R71*AD71/1000) - (S71+R71*(1+($A71-25)*Constants!$C$29/100)*IF(ISBLANK(Design!$B$40),Constants!$C$6/1000,Design!$B$40/1000))</f>
        <v>5.2573456036077477</v>
      </c>
      <c r="AF71" s="339">
        <f ca="1">IF(AE71&gt;Design!$C$28,Design!$C$28,AE71)</f>
        <v>3.2940895522388054</v>
      </c>
      <c r="AG71" s="237">
        <f>Design!$D$6/3</f>
        <v>1.1666666666666667</v>
      </c>
      <c r="AH71" s="160">
        <f ca="1">FORECAST(AG71, OFFSET(Design!$C$15:$C$17,MATCH(AG71,Design!$B$15:$B$17,1)-1,0,2), OFFSET(Design!$B$15:$B$17,MATCH(AG71,Design!$B$15:$B$17,1)-1,0,2))+(AQ71-25)*Design!$B$18/1000</f>
        <v>0.32580529422163163</v>
      </c>
      <c r="AI71" s="238">
        <f ca="1">IF(100*(Design!$C$28+AH71+AG71*IF(ISBLANK(Design!$B$40),Constants!$C$6,Design!$B$40)/1000*(1+Constants!$C$29/100*(AR71-25)))/($B71+AH71-AG71*AS71/1000)&gt;Design!$C$35,Design!$C$35,100*(Design!$C$28+AH71+AG71*IF(ISBLANK(Design!$B$40),Constants!$C$6,Design!$B$40)/1000*(1+Constants!$C$29/100*(AR71-25)))/($B71+AH71-AG71*AS71/1000))</f>
        <v>56.706967494154711</v>
      </c>
      <c r="AJ71" s="161">
        <f ca="1">IF(($B71-AG71*IF(ISBLANK(Design!$B$40),Constants!$C$6,Design!$B$40)/1000*(1+Constants!$C$29/100*(AR71-25))-Design!$C$28)/(IF(ISBLANK(Design!$B$39),Design!$B$38,Design!$B$39)/1000000)*AI71/100/(IF(ISBLANK(Design!$B$32),Design!$B$31,Design!$B$32)*1000000)&lt;0,0,($B71-AG71*IF(ISBLANK(Design!$B$40),Constants!$C$6,Design!$B$40)/1000*(1+Constants!$C$29/100*(AR71-25))-Design!$C$28)/(IF(ISBLANK(Design!$B$39),Design!$B$38,Design!$B$39)/1000000)*AI71/100/(IF(ISBLANK(Design!$B$32),Design!$B$31,Design!$B$32)*1000000))</f>
        <v>0.50642884948489619</v>
      </c>
      <c r="AK71" s="161">
        <f>$B71*Constants!$C$18/1000+IF(ISBLANK(Design!$B$32),Design!$B$31,Design!$B$32)*1000000*Constants!$D$22/1000000000*(IF($B71&lt;Constants!$C$21,0,$B71-Constants!$C$21))</f>
        <v>3.6289600000000079E-3</v>
      </c>
      <c r="AL71" s="239">
        <f>$B71*AG71*($B71/(Constants!$C$23*1000000000)*IF(ISBLANK(Design!$B$32),Design!$B$31,Design!$B$32)*1000000/2+$B71/(Constants!$C$24*1000000000)*IF(ISBLANK(Design!$B$32),Design!$B$31,Design!$B$32)*1000000/2)</f>
        <v>2.7855916666666699E-2</v>
      </c>
      <c r="AM71" s="239">
        <f t="shared" ca="1" si="17"/>
        <v>0.16818004239739268</v>
      </c>
      <c r="AN71" s="239">
        <f>Constants!$D$22/1000000000*Constants!$C$21*IF(ISBLANK(Design!$B$32),Design!$B$31,Design!$B$32)*1000000</f>
        <v>1.2499999999999999E-2</v>
      </c>
      <c r="AO71" s="239">
        <f t="shared" ca="1" si="26"/>
        <v>0.2121649190640594</v>
      </c>
      <c r="AP71" s="239">
        <f t="shared" ca="1" si="23"/>
        <v>0.16455949058865851</v>
      </c>
      <c r="AQ71" s="240">
        <f ca="1">$A71+AP71*Design!$B$19</f>
        <v>94.379890963553535</v>
      </c>
      <c r="AR71" s="240">
        <f ca="1">AO71*Design!$C$12+$A71</f>
        <v>92.213607248178022</v>
      </c>
      <c r="AS71" s="240">
        <f ca="1">Constants!$D$19+Constants!$D$19*Constants!$C$20/100*(AR71-25)</f>
        <v>214.52506295825089</v>
      </c>
      <c r="AT71" s="239">
        <f ca="1">(1-Constants!$D$17/1000000000*Design!$B$32*1000000) * ($B71+AH71-AG71*AS71/1000) - (AH71+AG71*(1+($A71-25)*Constants!$C$29/100)*IF(ISBLANK(Design!$B$40),Constants!$C$6/1000,Design!$B$40/1000))</f>
        <v>5.566043342220417</v>
      </c>
      <c r="AU71" s="342">
        <f ca="1">IF(AT71&gt;Design!$C$28,Design!$C$28,AT71)</f>
        <v>3.2940895522388054</v>
      </c>
    </row>
    <row r="72" spans="1:47" ht="12.75" customHeight="1" x14ac:dyDescent="0.25">
      <c r="A72" s="154">
        <f>Design!$D$13</f>
        <v>85</v>
      </c>
      <c r="B72" s="155">
        <f t="shared" si="14"/>
        <v>6.1250000000000027</v>
      </c>
      <c r="C72" s="156">
        <f>Design!$D$6</f>
        <v>3.5</v>
      </c>
      <c r="D72" s="156">
        <f ca="1">FORECAST(C72, OFFSET(Design!$C$15:$C$17,MATCH(C72,Design!$B$15:$B$17,1)-1,0,2), OFFSET(Design!$B$15:$B$17,MATCH(C72,Design!$B$15:$B$17,1)-1,0,2))+(M72-25)*Design!$B$18/1000</f>
        <v>0.41215749460253503</v>
      </c>
      <c r="E72" s="215">
        <f ca="1">IF(100*(Design!$C$28+D72+C72*IF(ISBLANK(Design!$B$40),Constants!$C$6,Design!$B$40)/1000*(1+Constants!$C$29/100*(N72-25)))/($B72+D72-C72*O72/1000)&gt;Design!$C$35,Design!$C$35,100*(Design!$C$28+D72+C72*IF(ISBLANK(Design!$B$40),Constants!$C$6,Design!$B$40)/1000*(1+Constants!$C$29/100*(N72-25)))/($B72+D72-C72*O72/1000))</f>
        <v>69.179232718930962</v>
      </c>
      <c r="F72" s="157">
        <f ca="1">IF(($B72-C72*IF(ISBLANK(Design!$B$40),Constants!$C$6,Design!$B$40)/1000*(1+Constants!$C$29/100*(N72-25))-Design!$C$28)/(IF(ISBLANK(Design!$B$39),Design!$B$38,Design!$B$39)/1000000)*E72/100/(IF(ISBLANK(Design!$B$32),Design!$B$31,Design!$B$32)*1000000)&lt;0,0,($B72-C72*IF(ISBLANK(Design!$B$40),Constants!$C$6,Design!$B$40)/1000*(1+Constants!$C$29/100*(N72-25))-Design!$C$28)/(IF(ISBLANK(Design!$B$39),Design!$B$38,Design!$B$39)/1000000)*E72/100/(IF(ISBLANK(Design!$B$32),Design!$B$31,Design!$B$32)*1000000))</f>
        <v>0.55351268479012961</v>
      </c>
      <c r="G72" s="207">
        <f>$B72*Constants!$C$18/1000+IF(ISBLANK(Design!$B$32),Design!$B$31,Design!$B$32)*1000000*Constants!$D$22/1000000000*(IF($B72&lt;Constants!$C$21,0,$B72-Constants!$C$21))</f>
        <v>3.033000000000007E-3</v>
      </c>
      <c r="H72" s="207">
        <f>B72*C72*(B72/(Constants!$C$23*1000000000)*IF(ISBLANK(Design!$B$32),Design!$B$31,Design!$B$32)*1000000/2+B72/(Constants!$C$24*1000000000)*IF(ISBLANK(Design!$B$32),Design!$B$31,Design!$B$32)*1000000/2)</f>
        <v>7.7506239149305628E-2</v>
      </c>
      <c r="I72" s="207">
        <f t="shared" ca="1" si="15"/>
        <v>2.4746955605402556</v>
      </c>
      <c r="J72" s="207">
        <f>Constants!$D$22/1000000000*Constants!$C$21*IF(ISBLANK(Design!$B$32),Design!$B$31,Design!$B$32)*1000000</f>
        <v>1.2499999999999999E-2</v>
      </c>
      <c r="K72" s="207">
        <f t="shared" ca="1" si="24"/>
        <v>2.5677347996895614</v>
      </c>
      <c r="L72" s="207">
        <f t="shared" ca="1" si="19"/>
        <v>0.44460535785026201</v>
      </c>
      <c r="M72" s="208">
        <f ca="1">$A72+L72*Design!$B$19</f>
        <v>110.34250539746493</v>
      </c>
      <c r="N72" s="208">
        <f ca="1">K72*Design!$C$12+A72</f>
        <v>172.30298318944509</v>
      </c>
      <c r="O72" s="208">
        <f ca="1">Constants!$D$19+Constants!$D$19*Constants!$C$20/100*(N72-25)</f>
        <v>291.41086386186726</v>
      </c>
      <c r="P72" s="207">
        <f ca="1">(1-Constants!$D$17/1000000000*Design!$B$32*1000000) * ($B72+D72-C72*O72/1000) - (D72+C72*(1+($A72-25)*Constants!$C$29/100)*IF(ISBLANK(Design!$B$40),Constants!$C$6/1000,Design!$B$40/1000))</f>
        <v>4.5771784187965867</v>
      </c>
      <c r="Q72" s="213">
        <f ca="1">IF(P72&gt;Design!$C$28,Design!$C$28,P72)</f>
        <v>3.2940895522388054</v>
      </c>
      <c r="R72" s="335">
        <f>2*Design!$D$6/3</f>
        <v>2.3333333333333335</v>
      </c>
      <c r="S72" s="158">
        <f ca="1">FORECAST(R72, OFFSET(Design!$C$15:$C$17,MATCH(R72,Design!$B$15:$B$17,1)-1,0,2), OFFSET(Design!$B$15:$B$17,MATCH(R72,Design!$B$15:$B$17,1)-1,0,2))+(AB72-25)*Design!$B$18/1000</f>
        <v>0.38909722125940654</v>
      </c>
      <c r="T72" s="224">
        <f ca="1">IF(100*(Design!$C$28+S72+R72*IF(ISBLANK(Design!$B$40),Constants!$C$6,Design!$B$40)/1000*(1+Constants!$C$29/100*(AC72-25)))/($B72+S72-R72*AD72/1000)&gt;Design!$C$35,Design!$C$35,100*(Design!$C$28+S72+R72*IF(ISBLANK(Design!$B$40),Constants!$C$6,Design!$B$40)/1000*(1+Constants!$C$29/100*(AC72-25)))/($B72+S72-R72*AD72/1000))</f>
        <v>62.828718966346038</v>
      </c>
      <c r="U72" s="159">
        <f ca="1">IF(($B72-R72*IF(ISBLANK(Design!$B$40),Constants!$C$6,Design!$B$40)/1000*(1+Constants!$C$29/100*(AC72-25))-Design!$C$28)/(IF(ISBLANK(Design!$B$39),Design!$B$38,Design!$B$39)/1000000)*T72/100/(IF(ISBLANK(Design!$B$32),Design!$B$31,Design!$B$32)*1000000)&lt;0,0,($B72-R72*IF(ISBLANK(Design!$B$40),Constants!$C$6,Design!$B$40)/1000*(1+Constants!$C$29/100*(AC72-25))-Design!$C$28)/(IF(ISBLANK(Design!$B$39),Design!$B$38,Design!$B$39)/1000000)*T72/100/(IF(ISBLANK(Design!$B$32),Design!$B$31,Design!$B$32)*1000000))</f>
        <v>0.51145546872987868</v>
      </c>
      <c r="V72" s="159">
        <f>$B72*Constants!$C$18/1000+IF(ISBLANK(Design!$B$32),Design!$B$31,Design!$B$32)*1000000*Constants!$D$22/1000000000*(IF($B72&lt;Constants!$C$21,0,$B72-Constants!$C$21))</f>
        <v>3.033000000000007E-3</v>
      </c>
      <c r="W72" s="225">
        <f>$B72*R72*($B72/(Constants!$C$23*1000000000)*IF(ISBLANK(Design!$B$32),Design!$B$31,Design!$B$32)*1000000/2+$B72/(Constants!$C$24*1000000000)*IF(ISBLANK(Design!$B$32),Design!$B$31,Design!$B$32)*1000000/2)</f>
        <v>5.1670826099537083E-2</v>
      </c>
      <c r="X72" s="225">
        <f t="shared" ca="1" si="16"/>
        <v>0.81147315792135088</v>
      </c>
      <c r="Y72" s="225">
        <f>Constants!$D$22/1000000000*Constants!$C$21*IF(ISBLANK(Design!$B$32),Design!$B$31,Design!$B$32)*1000000</f>
        <v>1.2499999999999999E-2</v>
      </c>
      <c r="Z72" s="225">
        <f t="shared" ca="1" si="25"/>
        <v>0.8786769840208879</v>
      </c>
      <c r="AA72" s="225">
        <f t="shared" ca="1" si="21"/>
        <v>0.3374756504197689</v>
      </c>
      <c r="AB72" s="226">
        <f ca="1">$A72+AA72*Design!$B$19</f>
        <v>104.23611207392682</v>
      </c>
      <c r="AC72" s="226">
        <f ca="1">Z72*Design!$C$12+$A72</f>
        <v>114.8750174567102</v>
      </c>
      <c r="AD72" s="226">
        <f ca="1">Constants!$D$19+Constants!$D$19*Constants!$C$20/100*(AC72-25)</f>
        <v>236.28001675844177</v>
      </c>
      <c r="AE72" s="225">
        <f ca="1">(1-Constants!$D$17/1000000000*Design!$B$32*1000000) * ($B72+S72-R72*AD72/1000) - (S72+R72*(1+($A72-25)*Constants!$C$29/100)*IF(ISBLANK(Design!$B$40),Constants!$C$6/1000,Design!$B$40/1000))</f>
        <v>5.0389871196577953</v>
      </c>
      <c r="AF72" s="339">
        <f ca="1">IF(AE72&gt;Design!$C$28,Design!$C$28,AE72)</f>
        <v>3.2940895522388054</v>
      </c>
      <c r="AG72" s="237">
        <f>Design!$D$6/3</f>
        <v>1.1666666666666667</v>
      </c>
      <c r="AH72" s="160">
        <f ca="1">FORECAST(AG72, OFFSET(Design!$C$15:$C$17,MATCH(AG72,Design!$B$15:$B$17,1)-1,0,2), OFFSET(Design!$B$15:$B$17,MATCH(AG72,Design!$B$15:$B$17,1)-1,0,2))+(AQ72-25)*Design!$B$18/1000</f>
        <v>0.32625949205776983</v>
      </c>
      <c r="AI72" s="238">
        <f ca="1">IF(100*(Design!$C$28+AH72+AG72*IF(ISBLANK(Design!$B$40),Constants!$C$6,Design!$B$40)/1000*(1+Constants!$C$29/100*(AR72-25)))/($B72+AH72-AG72*AS72/1000)&gt;Design!$C$35,Design!$C$35,100*(Design!$C$28+AH72+AG72*IF(ISBLANK(Design!$B$40),Constants!$C$6,Design!$B$40)/1000*(1+Constants!$C$29/100*(AR72-25)))/($B72+AH72-AG72*AS72/1000))</f>
        <v>58.860676071709264</v>
      </c>
      <c r="AJ72" s="161">
        <f ca="1">IF(($B72-AG72*IF(ISBLANK(Design!$B$40),Constants!$C$6,Design!$B$40)/1000*(1+Constants!$C$29/100*(AR72-25))-Design!$C$28)/(IF(ISBLANK(Design!$B$39),Design!$B$38,Design!$B$39)/1000000)*AI72/100/(IF(ISBLANK(Design!$B$32),Design!$B$31,Design!$B$32)*1000000)&lt;0,0,($B72-AG72*IF(ISBLANK(Design!$B$40),Constants!$C$6,Design!$B$40)/1000*(1+Constants!$C$29/100*(AR72-25))-Design!$C$28)/(IF(ISBLANK(Design!$B$39),Design!$B$38,Design!$B$39)/1000000)*AI72/100/(IF(ISBLANK(Design!$B$32),Design!$B$31,Design!$B$32)*1000000))</f>
        <v>0.48497773917980508</v>
      </c>
      <c r="AK72" s="161">
        <f>$B72*Constants!$C$18/1000+IF(ISBLANK(Design!$B$32),Design!$B$31,Design!$B$32)*1000000*Constants!$D$22/1000000000*(IF($B72&lt;Constants!$C$21,0,$B72-Constants!$C$21))</f>
        <v>3.033000000000007E-3</v>
      </c>
      <c r="AL72" s="239">
        <f>$B72*AG72*($B72/(Constants!$C$23*1000000000)*IF(ISBLANK(Design!$B$32),Design!$B$31,Design!$B$32)*1000000/2+$B72/(Constants!$C$24*1000000000)*IF(ISBLANK(Design!$B$32),Design!$B$31,Design!$B$32)*1000000/2)</f>
        <v>2.5835413049768541E-2</v>
      </c>
      <c r="AM72" s="239">
        <f t="shared" ca="1" si="17"/>
        <v>0.17444033137717327</v>
      </c>
      <c r="AN72" s="239">
        <f>Constants!$D$22/1000000000*Constants!$C$21*IF(ISBLANK(Design!$B$32),Design!$B$31,Design!$B$32)*1000000</f>
        <v>1.2499999999999999E-2</v>
      </c>
      <c r="AO72" s="239">
        <f t="shared" ca="1" si="26"/>
        <v>0.21580874442694184</v>
      </c>
      <c r="AP72" s="239">
        <f t="shared" ca="1" si="23"/>
        <v>0.15659110749851557</v>
      </c>
      <c r="AQ72" s="240">
        <f ca="1">$A72+AP72*Design!$B$19</f>
        <v>93.925693127415386</v>
      </c>
      <c r="AR72" s="240">
        <f ca="1">AO72*Design!$C$12+$A72</f>
        <v>92.337497310516028</v>
      </c>
      <c r="AS72" s="240">
        <f ca="1">Constants!$D$19+Constants!$D$19*Constants!$C$20/100*(AR72-25)</f>
        <v>214.64399741809538</v>
      </c>
      <c r="AT72" s="239">
        <f ca="1">(1-Constants!$D$17/1000000000*Design!$B$32*1000000) * ($B72+AH72-AG72*AS72/1000) - (AH72+AG72*(1+($A72-25)*Constants!$C$29/100)*IF(ISBLANK(Design!$B$40),Constants!$C$6/1000,Design!$B$40/1000))</f>
        <v>5.3496793500732922</v>
      </c>
      <c r="AU72" s="342">
        <f ca="1">IF(AT72&gt;Design!$C$28,Design!$C$28,AT72)</f>
        <v>3.2940895522388054</v>
      </c>
    </row>
    <row r="73" spans="1:47" ht="12.75" customHeight="1" x14ac:dyDescent="0.25">
      <c r="A73" s="154">
        <f>Design!$D$13</f>
        <v>85</v>
      </c>
      <c r="B73" s="155">
        <f t="shared" si="14"/>
        <v>5.8900000000000023</v>
      </c>
      <c r="C73" s="156">
        <f>Design!$D$6</f>
        <v>3.5</v>
      </c>
      <c r="D73" s="156">
        <f ca="1">FORECAST(C73, OFFSET(Design!$C$15:$C$17,MATCH(C73,Design!$B$15:$B$17,1)-1,0,2), OFFSET(Design!$B$15:$B$17,MATCH(C73,Design!$B$15:$B$17,1)-1,0,2))+(M73-25)*Design!$B$18/1000</f>
        <v>0.41478563606168634</v>
      </c>
      <c r="E73" s="215">
        <f ca="1">IF(100*(Design!$C$28+D73+C73*IF(ISBLANK(Design!$B$40),Constants!$C$6,Design!$B$40)/1000*(1+Constants!$C$29/100*(N73-25)))/($B73+D73-C73*O73/1000)&gt;Design!$C$35,Design!$C$35,100*(Design!$C$28+D73+C73*IF(ISBLANK(Design!$B$40),Constants!$C$6,Design!$B$40)/1000*(1+Constants!$C$29/100*(N73-25)))/($B73+D73-C73*O73/1000))</f>
        <v>72.550529491637249</v>
      </c>
      <c r="F73" s="157">
        <f ca="1">IF(($B73-C73*IF(ISBLANK(Design!$B$40),Constants!$C$6,Design!$B$40)/1000*(1+Constants!$C$29/100*(N73-25))-Design!$C$28)/(IF(ISBLANK(Design!$B$39),Design!$B$38,Design!$B$39)/1000000)*E73/100/(IF(ISBLANK(Design!$B$32),Design!$B$31,Design!$B$32)*1000000)&lt;0,0,($B73-C73*IF(ISBLANK(Design!$B$40),Constants!$C$6,Design!$B$40)/1000*(1+Constants!$C$29/100*(N73-25))-Design!$C$28)/(IF(ISBLANK(Design!$B$39),Design!$B$38,Design!$B$39)/1000000)*E73/100/(IF(ISBLANK(Design!$B$32),Design!$B$31,Design!$B$32)*1000000))</f>
        <v>0.53002171394172726</v>
      </c>
      <c r="G73" s="207">
        <f>$B73*Constants!$C$18/1000+IF(ISBLANK(Design!$B$32),Design!$B$31,Design!$B$32)*1000000*Constants!$D$22/1000000000*(IF($B73&lt;Constants!$C$21,0,$B73-Constants!$C$21))</f>
        <v>2.4370400000000062E-3</v>
      </c>
      <c r="H73" s="207">
        <f>B73*C73*(B73/(Constants!$C$23*1000000000)*IF(ISBLANK(Design!$B$32),Design!$B$31,Design!$B$32)*1000000/2+B73/(Constants!$C$24*1000000000)*IF(ISBLANK(Design!$B$32),Design!$B$31,Design!$B$32)*1000000/2)</f>
        <v>7.1672914930555623E-2</v>
      </c>
      <c r="I73" s="207">
        <f t="shared" ca="1" si="15"/>
        <v>2.6414399825027362</v>
      </c>
      <c r="J73" s="207">
        <f>Constants!$D$22/1000000000*Constants!$C$21*IF(ISBLANK(Design!$B$32),Design!$B$31,Design!$B$32)*1000000</f>
        <v>1.2499999999999999E-2</v>
      </c>
      <c r="K73" s="207">
        <f t="shared" ca="1" si="24"/>
        <v>2.7280499374332918</v>
      </c>
      <c r="L73" s="207">
        <f t="shared" ca="1" si="19"/>
        <v>0.39849761295287106</v>
      </c>
      <c r="M73" s="208">
        <f ca="1">$A73+L73*Design!$B$19</f>
        <v>107.71436393831365</v>
      </c>
      <c r="N73" s="208">
        <f ca="1">K73*Design!$C$12+A73</f>
        <v>177.75369787273192</v>
      </c>
      <c r="O73" s="208">
        <f ca="1">Constants!$D$19+Constants!$D$19*Constants!$C$20/100*(N73-25)</f>
        <v>296.64354995782264</v>
      </c>
      <c r="P73" s="207">
        <f ca="1">(1-Constants!$D$17/1000000000*Design!$B$32*1000000) * ($B73+D73-C73*O73/1000) - (D73+C73*(1+($A73-25)*Constants!$C$29/100)*IF(ISBLANK(Design!$B$40),Constants!$C$6/1000,Design!$B$40/1000))</f>
        <v>4.3439189182508784</v>
      </c>
      <c r="Q73" s="213">
        <f ca="1">IF(P73&gt;Design!$C$28,Design!$C$28,P73)</f>
        <v>3.2940895522388054</v>
      </c>
      <c r="R73" s="335">
        <f>2*Design!$D$6/3</f>
        <v>2.3333333333333335</v>
      </c>
      <c r="S73" s="158">
        <f ca="1">FORECAST(R73, OFFSET(Design!$C$15:$C$17,MATCH(R73,Design!$B$15:$B$17,1)-1,0,2), OFFSET(Design!$B$15:$B$17,MATCH(R73,Design!$B$15:$B$17,1)-1,0,2))+(AB73-25)*Design!$B$18/1000</f>
        <v>0.39039237024871132</v>
      </c>
      <c r="T73" s="224">
        <f ca="1">IF(100*(Design!$C$28+S73+R73*IF(ISBLANK(Design!$B$40),Constants!$C$6,Design!$B$40)/1000*(1+Constants!$C$29/100*(AC73-25)))/($B73+S73-R73*AD73/1000)&gt;Design!$C$35,Design!$C$35,100*(Design!$C$28+S73+R73*IF(ISBLANK(Design!$B$40),Constants!$C$6,Design!$B$40)/1000*(1+Constants!$C$29/100*(AC73-25)))/($B73+S73-R73*AD73/1000))</f>
        <v>65.44644066764576</v>
      </c>
      <c r="U73" s="159">
        <f ca="1">IF(($B73-R73*IF(ISBLANK(Design!$B$40),Constants!$C$6,Design!$B$40)/1000*(1+Constants!$C$29/100*(AC73-25))-Design!$C$28)/(IF(ISBLANK(Design!$B$39),Design!$B$38,Design!$B$39)/1000000)*T73/100/(IF(ISBLANK(Design!$B$32),Design!$B$31,Design!$B$32)*1000000)&lt;0,0,($B73-R73*IF(ISBLANK(Design!$B$40),Constants!$C$6,Design!$B$40)/1000*(1+Constants!$C$29/100*(AC73-25))-Design!$C$28)/(IF(ISBLANK(Design!$B$39),Design!$B$38,Design!$B$39)/1000000)*T73/100/(IF(ISBLANK(Design!$B$32),Design!$B$31,Design!$B$32)*1000000))</f>
        <v>0.48749049044625442</v>
      </c>
      <c r="V73" s="159">
        <f>$B73*Constants!$C$18/1000+IF(ISBLANK(Design!$B$32),Design!$B$31,Design!$B$32)*1000000*Constants!$D$22/1000000000*(IF($B73&lt;Constants!$C$21,0,$B73-Constants!$C$21))</f>
        <v>2.4370400000000062E-3</v>
      </c>
      <c r="W73" s="225">
        <f>$B73*R73*($B73/(Constants!$C$23*1000000000)*IF(ISBLANK(Design!$B$32),Design!$B$31,Design!$B$32)*1000000/2+$B73/(Constants!$C$24*1000000000)*IF(ISBLANK(Design!$B$32),Design!$B$31,Design!$B$32)*1000000/2)</f>
        <v>4.7781943287037082E-2</v>
      </c>
      <c r="X73" s="225">
        <f t="shared" ca="1" si="16"/>
        <v>0.84880874059982969</v>
      </c>
      <c r="Y73" s="225">
        <f>Constants!$D$22/1000000000*Constants!$C$21*IF(ISBLANK(Design!$B$32),Design!$B$31,Design!$B$32)*1000000</f>
        <v>1.2499999999999999E-2</v>
      </c>
      <c r="Z73" s="225">
        <f t="shared" ca="1" si="25"/>
        <v>0.91152772388686676</v>
      </c>
      <c r="AA73" s="225">
        <f t="shared" ca="1" si="21"/>
        <v>0.31475373832670256</v>
      </c>
      <c r="AB73" s="226">
        <f ca="1">$A73+AA73*Design!$B$19</f>
        <v>102.94096308462204</v>
      </c>
      <c r="AC73" s="226">
        <f ca="1">Z73*Design!$C$12+$A73</f>
        <v>115.99194261215347</v>
      </c>
      <c r="AD73" s="226">
        <f ca="1">Constants!$D$19+Constants!$D$19*Constants!$C$20/100*(AC73-25)</f>
        <v>237.35226490766732</v>
      </c>
      <c r="AE73" s="225">
        <f ca="1">(1-Constants!$D$17/1000000000*Design!$B$32*1000000) * ($B73+S73-R73*AD73/1000) - (S73+R73*(1+($A73-25)*Constants!$C$29/100)*IF(ISBLANK(Design!$B$40),Constants!$C$6/1000,Design!$B$40/1000))</f>
        <v>4.8203817483783133</v>
      </c>
      <c r="AF73" s="339">
        <f ca="1">IF(AE73&gt;Design!$C$28,Design!$C$28,AE73)</f>
        <v>3.2940895522388054</v>
      </c>
      <c r="AG73" s="237">
        <f>Design!$D$6/3</f>
        <v>1.1666666666666667</v>
      </c>
      <c r="AH73" s="160">
        <f ca="1">FORECAST(AG73, OFFSET(Design!$C$15:$C$17,MATCH(AG73,Design!$B$15:$B$17,1)-1,0,2), OFFSET(Design!$B$15:$B$17,MATCH(AG73,Design!$B$15:$B$17,1)-1,0,2))+(AQ73-25)*Design!$B$18/1000</f>
        <v>0.3267509500047997</v>
      </c>
      <c r="AI73" s="238">
        <f ca="1">IF(100*(Design!$C$28+AH73+AG73*IF(ISBLANK(Design!$B$40),Constants!$C$6,Design!$B$40)/1000*(1+Constants!$C$29/100*(AR73-25)))/($B73+AH73-AG73*AS73/1000)&gt;Design!$C$35,Design!$C$35,100*(Design!$C$28+AH73+AG73*IF(ISBLANK(Design!$B$40),Constants!$C$6,Design!$B$40)/1000*(1+Constants!$C$29/100*(AR73-25)))/($B73+AH73-AG73*AS73/1000))</f>
        <v>61.184319673910615</v>
      </c>
      <c r="AJ73" s="161">
        <f ca="1">IF(($B73-AG73*IF(ISBLANK(Design!$B$40),Constants!$C$6,Design!$B$40)/1000*(1+Constants!$C$29/100*(AR73-25))-Design!$C$28)/(IF(ISBLANK(Design!$B$39),Design!$B$38,Design!$B$39)/1000000)*AI73/100/(IF(ISBLANK(Design!$B$32),Design!$B$31,Design!$B$32)*1000000)&lt;0,0,($B73-AG73*IF(ISBLANK(Design!$B$40),Constants!$C$6,Design!$B$40)/1000*(1+Constants!$C$29/100*(AR73-25))-Design!$C$28)/(IF(ISBLANK(Design!$B$39),Design!$B$38,Design!$B$39)/1000000)*AI73/100/(IF(ISBLANK(Design!$B$32),Design!$B$31,Design!$B$32)*1000000))</f>
        <v>0.46183167994081858</v>
      </c>
      <c r="AK73" s="161">
        <f>$B73*Constants!$C$18/1000+IF(ISBLANK(Design!$B$32),Design!$B$31,Design!$B$32)*1000000*Constants!$D$22/1000000000*(IF($B73&lt;Constants!$C$21,0,$B73-Constants!$C$21))</f>
        <v>2.4370400000000062E-3</v>
      </c>
      <c r="AL73" s="239">
        <f>$B73*AG73*($B73/(Constants!$C$23*1000000000)*IF(ISBLANK(Design!$B$32),Design!$B$31,Design!$B$32)*1000000/2+$B73/(Constants!$C$24*1000000000)*IF(ISBLANK(Design!$B$32),Design!$B$31,Design!$B$32)*1000000/2)</f>
        <v>2.3890971643518541E-2</v>
      </c>
      <c r="AM73" s="239">
        <f t="shared" ca="1" si="17"/>
        <v>0.18120314996599371</v>
      </c>
      <c r="AN73" s="239">
        <f>Constants!$D$22/1000000000*Constants!$C$21*IF(ISBLANK(Design!$B$32),Design!$B$31,Design!$B$32)*1000000</f>
        <v>1.2499999999999999E-2</v>
      </c>
      <c r="AO73" s="239">
        <f t="shared" ca="1" si="26"/>
        <v>0.22003116160951228</v>
      </c>
      <c r="AP73" s="239">
        <f t="shared" ca="1" si="23"/>
        <v>0.14796903825237709</v>
      </c>
      <c r="AQ73" s="240">
        <f ca="1">$A73+AP73*Design!$B$19</f>
        <v>93.4342351803855</v>
      </c>
      <c r="AR73" s="240">
        <f ca="1">AO73*Design!$C$12+$A73</f>
        <v>92.481059494723411</v>
      </c>
      <c r="AS73" s="240">
        <f ca="1">Constants!$D$19+Constants!$D$19*Constants!$C$20/100*(AR73-25)</f>
        <v>214.78181711493448</v>
      </c>
      <c r="AT73" s="239">
        <f ca="1">(1-Constants!$D$17/1000000000*Design!$B$32*1000000) * ($B73+AH73-AG73*AS73/1000) - (AH73+AG73*(1+($A73-25)*Constants!$C$29/100)*IF(ISBLANK(Design!$B$40),Constants!$C$6/1000,Design!$B$40/1000))</f>
        <v>5.133292106962922</v>
      </c>
      <c r="AU73" s="342">
        <f ca="1">IF(AT73&gt;Design!$C$28,Design!$C$28,AT73)</f>
        <v>3.2940895522388054</v>
      </c>
    </row>
    <row r="74" spans="1:47" ht="12.75" customHeight="1" x14ac:dyDescent="0.25">
      <c r="A74" s="154">
        <f>Design!$D$13</f>
        <v>85</v>
      </c>
      <c r="B74" s="155">
        <f t="shared" si="14"/>
        <v>5.655000000000002</v>
      </c>
      <c r="C74" s="156">
        <f>Design!$D$6</f>
        <v>3.5</v>
      </c>
      <c r="D74" s="156">
        <f ca="1">FORECAST(C74, OFFSET(Design!$C$15:$C$17,MATCH(C74,Design!$B$15:$B$17,1)-1,0,2), OFFSET(Design!$B$15:$B$17,MATCH(C74,Design!$B$15:$B$17,1)-1,0,2))+(M74-25)*Design!$B$18/1000</f>
        <v>0.4177586018292605</v>
      </c>
      <c r="E74" s="215">
        <f ca="1">IF(100*(Design!$C$28+D74+C74*IF(ISBLANK(Design!$B$40),Constants!$C$6,Design!$B$40)/1000*(1+Constants!$C$29/100*(N74-25)))/($B74+D74-C74*O74/1000)&gt;Design!$C$35,Design!$C$35,100*(Design!$C$28+D74+C74*IF(ISBLANK(Design!$B$40),Constants!$C$6,Design!$B$40)/1000*(1+Constants!$C$29/100*(N74-25)))/($B74+D74-C74*O74/1000))</f>
        <v>76.313024707955705</v>
      </c>
      <c r="F74" s="157">
        <f ca="1">IF(($B74-C74*IF(ISBLANK(Design!$B$40),Constants!$C$6,Design!$B$40)/1000*(1+Constants!$C$29/100*(N74-25))-Design!$C$28)/(IF(ISBLANK(Design!$B$39),Design!$B$38,Design!$B$39)/1000000)*E74/100/(IF(ISBLANK(Design!$B$32),Design!$B$31,Design!$B$32)*1000000)&lt;0,0,($B74-C74*IF(ISBLANK(Design!$B$40),Constants!$C$6,Design!$B$40)/1000*(1+Constants!$C$29/100*(N74-25))-Design!$C$28)/(IF(ISBLANK(Design!$B$39),Design!$B$38,Design!$B$39)/1000000)*E74/100/(IF(ISBLANK(Design!$B$32),Design!$B$31,Design!$B$32)*1000000))</f>
        <v>0.5043691338830526</v>
      </c>
      <c r="G74" s="207">
        <f>$B74*Constants!$C$18/1000+IF(ISBLANK(Design!$B$32),Design!$B$31,Design!$B$32)*1000000*Constants!$D$22/1000000000*(IF($B74&lt;Constants!$C$21,0,$B74-Constants!$C$21))</f>
        <v>1.8410800000000051E-3</v>
      </c>
      <c r="H74" s="207">
        <f>B74*C74*(B74/(Constants!$C$23*1000000000)*IF(ISBLANK(Design!$B$32),Design!$B$31,Design!$B$32)*1000000/2+B74/(Constants!$C$24*1000000000)*IF(ISBLANK(Design!$B$32),Design!$B$31,Design!$B$32)*1000000/2)</f>
        <v>6.606777734375005E-2</v>
      </c>
      <c r="I74" s="207">
        <f t="shared" ca="1" si="15"/>
        <v>2.835278172688632</v>
      </c>
      <c r="J74" s="207">
        <f>Constants!$D$22/1000000000*Constants!$C$21*IF(ISBLANK(Design!$B$32),Design!$B$31,Design!$B$32)*1000000</f>
        <v>1.2499999999999999E-2</v>
      </c>
      <c r="K74" s="207">
        <f t="shared" ca="1" si="24"/>
        <v>2.9156870300323821</v>
      </c>
      <c r="L74" s="207">
        <f t="shared" ca="1" si="19"/>
        <v>0.34634031878490334</v>
      </c>
      <c r="M74" s="208">
        <f ca="1">$A74+L74*Design!$B$19</f>
        <v>104.74139817073949</v>
      </c>
      <c r="N74" s="208">
        <f ca="1">K74*Design!$C$12+A74</f>
        <v>184.133359021101</v>
      </c>
      <c r="O74" s="208">
        <f ca="1">Constants!$D$19+Constants!$D$19*Constants!$C$20/100*(N74-25)</f>
        <v>302.76802466025697</v>
      </c>
      <c r="P74" s="207">
        <f ca="1">(1-Constants!$D$17/1000000000*Design!$B$32*1000000) * ($B74+D74-C74*O74/1000) - (D74+C74*(1+($A74-25)*Constants!$C$29/100)*IF(ISBLANK(Design!$B$40),Constants!$C$6/1000,Design!$B$40/1000))</f>
        <v>4.1077602724476341</v>
      </c>
      <c r="Q74" s="213">
        <f ca="1">IF(P74&gt;Design!$C$28,Design!$C$28,P74)</f>
        <v>3.2940895522388054</v>
      </c>
      <c r="R74" s="335">
        <f>2*Design!$D$6/3</f>
        <v>2.3333333333333335</v>
      </c>
      <c r="S74" s="158">
        <f ca="1">FORECAST(R74, OFFSET(Design!$C$15:$C$17,MATCH(R74,Design!$B$15:$B$17,1)-1,0,2), OFFSET(Design!$B$15:$B$17,MATCH(R74,Design!$B$15:$B$17,1)-1,0,2))+(AB74-25)*Design!$B$18/1000</f>
        <v>0.39181118265836806</v>
      </c>
      <c r="T74" s="224">
        <f ca="1">IF(100*(Design!$C$28+S74+R74*IF(ISBLANK(Design!$B$40),Constants!$C$6,Design!$B$40)/1000*(1+Constants!$C$29/100*(AC74-25)))/($B74+S74-R74*AD74/1000)&gt;Design!$C$35,Design!$C$35,100*(Design!$C$28+S74+R74*IF(ISBLANK(Design!$B$40),Constants!$C$6,Design!$B$40)/1000*(1+Constants!$C$29/100*(AC74-25)))/($B74+S74-R74*AD74/1000))</f>
        <v>68.2942441914509</v>
      </c>
      <c r="U74" s="159">
        <f ca="1">IF(($B74-R74*IF(ISBLANK(Design!$B$40),Constants!$C$6,Design!$B$40)/1000*(1+Constants!$C$29/100*(AC74-25))-Design!$C$28)/(IF(ISBLANK(Design!$B$39),Design!$B$38,Design!$B$39)/1000000)*T74/100/(IF(ISBLANK(Design!$B$32),Design!$B$31,Design!$B$32)*1000000)&lt;0,0,($B74-R74*IF(ISBLANK(Design!$B$40),Constants!$C$6,Design!$B$40)/1000*(1+Constants!$C$29/100*(AC74-25))-Design!$C$28)/(IF(ISBLANK(Design!$B$39),Design!$B$38,Design!$B$39)/1000000)*T74/100/(IF(ISBLANK(Design!$B$32),Design!$B$31,Design!$B$32)*1000000))</f>
        <v>0.46145351223816011</v>
      </c>
      <c r="V74" s="159">
        <f>$B74*Constants!$C$18/1000+IF(ISBLANK(Design!$B$32),Design!$B$31,Design!$B$32)*1000000*Constants!$D$22/1000000000*(IF($B74&lt;Constants!$C$21,0,$B74-Constants!$C$21))</f>
        <v>1.8410800000000051E-3</v>
      </c>
      <c r="W74" s="225">
        <f>$B74*R74*($B74/(Constants!$C$23*1000000000)*IF(ISBLANK(Design!$B$32),Design!$B$31,Design!$B$32)*1000000/2+$B74/(Constants!$C$24*1000000000)*IF(ISBLANK(Design!$B$32),Design!$B$31,Design!$B$32)*1000000/2)</f>
        <v>4.4045184895833367E-2</v>
      </c>
      <c r="X74" s="225">
        <f t="shared" ca="1" si="16"/>
        <v>0.88988326804956996</v>
      </c>
      <c r="Y74" s="225">
        <f>Constants!$D$22/1000000000*Constants!$C$21*IF(ISBLANK(Design!$B$32),Design!$B$31,Design!$B$32)*1000000</f>
        <v>1.2499999999999999E-2</v>
      </c>
      <c r="Z74" s="225">
        <f t="shared" ca="1" si="25"/>
        <v>0.94826953294540328</v>
      </c>
      <c r="AA74" s="225">
        <f t="shared" ca="1" si="21"/>
        <v>0.28986229254325102</v>
      </c>
      <c r="AB74" s="226">
        <f ca="1">$A74+AA74*Design!$B$19</f>
        <v>101.5221506749653</v>
      </c>
      <c r="AC74" s="226">
        <f ca="1">Z74*Design!$C$12+$A74</f>
        <v>117.24116412014371</v>
      </c>
      <c r="AD74" s="226">
        <f ca="1">Constants!$D$19+Constants!$D$19*Constants!$C$20/100*(AC74-25)</f>
        <v>238.55151755533797</v>
      </c>
      <c r="AE74" s="225">
        <f ca="1">(1-Constants!$D$17/1000000000*Design!$B$32*1000000) * ($B74+S74-R74*AD74/1000) - (S74+R74*(1+($A74-25)*Constants!$C$29/100)*IF(ISBLANK(Design!$B$40),Constants!$C$6/1000,Design!$B$40/1000))</f>
        <v>4.6014938477018745</v>
      </c>
      <c r="AF74" s="339">
        <f ca="1">IF(AE74&gt;Design!$C$28,Design!$C$28,AE74)</f>
        <v>3.2940895522388054</v>
      </c>
      <c r="AG74" s="237">
        <f>Design!$D$6/3</f>
        <v>1.1666666666666667</v>
      </c>
      <c r="AH74" s="160">
        <f ca="1">FORECAST(AG74, OFFSET(Design!$C$15:$C$17,MATCH(AG74,Design!$B$15:$B$17,1)-1,0,2), OFFSET(Design!$B$15:$B$17,MATCH(AG74,Design!$B$15:$B$17,1)-1,0,2))+(AQ74-25)*Design!$B$18/1000</f>
        <v>0.3272844442148844</v>
      </c>
      <c r="AI74" s="238">
        <f ca="1">IF(100*(Design!$C$28+AH74+AG74*IF(ISBLANK(Design!$B$40),Constants!$C$6,Design!$B$40)/1000*(1+Constants!$C$29/100*(AR74-25)))/($B74+AH74-AG74*AS74/1000)&gt;Design!$C$35,Design!$C$35,100*(Design!$C$28+AH74+AG74*IF(ISBLANK(Design!$B$40),Constants!$C$6,Design!$B$40)/1000*(1+Constants!$C$29/100*(AR74-25)))/($B74+AH74-AG74*AS74/1000))</f>
        <v>63.698813985263577</v>
      </c>
      <c r="AJ74" s="161">
        <f ca="1">IF(($B74-AG74*IF(ISBLANK(Design!$B$40),Constants!$C$6,Design!$B$40)/1000*(1+Constants!$C$29/100*(AR74-25))-Design!$C$28)/(IF(ISBLANK(Design!$B$39),Design!$B$38,Design!$B$39)/1000000)*AI74/100/(IF(ISBLANK(Design!$B$32),Design!$B$31,Design!$B$32)*1000000)&lt;0,0,($B74-AG74*IF(ISBLANK(Design!$B$40),Constants!$C$6,Design!$B$40)/1000*(1+Constants!$C$29/100*(AR74-25))-Design!$C$28)/(IF(ISBLANK(Design!$B$39),Design!$B$38,Design!$B$39)/1000000)*AI74/100/(IF(ISBLANK(Design!$B$32),Design!$B$31,Design!$B$32)*1000000))</f>
        <v>0.43678163075149889</v>
      </c>
      <c r="AK74" s="161">
        <f>$B74*Constants!$C$18/1000+IF(ISBLANK(Design!$B$32),Design!$B$31,Design!$B$32)*1000000*Constants!$D$22/1000000000*(IF($B74&lt;Constants!$C$21,0,$B74-Constants!$C$21))</f>
        <v>1.8410800000000051E-3</v>
      </c>
      <c r="AL74" s="239">
        <f>$B74*AG74*($B74/(Constants!$C$23*1000000000)*IF(ISBLANK(Design!$B$32),Design!$B$31,Design!$B$32)*1000000/2+$B74/(Constants!$C$24*1000000000)*IF(ISBLANK(Design!$B$32),Design!$B$31,Design!$B$32)*1000000/2)</f>
        <v>2.2022592447916683E-2</v>
      </c>
      <c r="AM74" s="239">
        <f t="shared" ca="1" si="17"/>
        <v>0.18853271025691964</v>
      </c>
      <c r="AN74" s="239">
        <f>Constants!$D$22/1000000000*Constants!$C$21*IF(ISBLANK(Design!$B$32),Design!$B$31,Design!$B$32)*1000000</f>
        <v>1.2499999999999999E-2</v>
      </c>
      <c r="AO74" s="239">
        <f t="shared" ca="1" si="26"/>
        <v>0.22489638270483633</v>
      </c>
      <c r="AP74" s="239">
        <f t="shared" ca="1" si="23"/>
        <v>0.13860949070703169</v>
      </c>
      <c r="AQ74" s="240">
        <f ca="1">$A74+AP74*Design!$B$19</f>
        <v>92.900740970300802</v>
      </c>
      <c r="AR74" s="240">
        <f ca="1">AO74*Design!$C$12+$A74</f>
        <v>92.646477011964436</v>
      </c>
      <c r="AS74" s="240">
        <f ca="1">Constants!$D$19+Constants!$D$19*Constants!$C$20/100*(AR74-25)</f>
        <v>214.94061793148586</v>
      </c>
      <c r="AT74" s="239">
        <f ca="1">(1-Constants!$D$17/1000000000*Design!$B$32*1000000) * ($B74+AH74-AG74*AS74/1000) - (AH74+AG74*(1+($A74-25)*Constants!$C$29/100)*IF(ISBLANK(Design!$B$40),Constants!$C$6/1000,Design!$B$40/1000))</f>
        <v>4.9168789812163496</v>
      </c>
      <c r="AU74" s="342">
        <f ca="1">IF(AT74&gt;Design!$C$28,Design!$C$28,AT74)</f>
        <v>3.2940895522388054</v>
      </c>
    </row>
    <row r="75" spans="1:47" ht="12.75" customHeight="1" x14ac:dyDescent="0.25">
      <c r="A75" s="154">
        <f>Design!$D$13</f>
        <v>85</v>
      </c>
      <c r="B75" s="155">
        <f t="shared" si="14"/>
        <v>5.4200000000000017</v>
      </c>
      <c r="C75" s="156">
        <f>Design!$D$6</f>
        <v>3.5</v>
      </c>
      <c r="D75" s="156">
        <f ca="1">FORECAST(C75, OFFSET(Design!$C$15:$C$17,MATCH(C75,Design!$B$15:$B$17,1)-1,0,2), OFFSET(Design!$B$15:$B$17,MATCH(C75,Design!$B$15:$B$17,1)-1,0,2))+(M75-25)*Design!$B$18/1000</f>
        <v>0.42116043478241111</v>
      </c>
      <c r="E75" s="215">
        <f ca="1">IF(100*(Design!$C$28+D75+C75*IF(ISBLANK(Design!$B$40),Constants!$C$6,Design!$B$40)/1000*(1+Constants!$C$29/100*(N75-25)))/($B75+D75-C75*O75/1000)&gt;Design!$C$35,Design!$C$35,100*(Design!$C$28+D75+C75*IF(ISBLANK(Design!$B$40),Constants!$C$6,Design!$B$40)/1000*(1+Constants!$C$29/100*(N75-25)))/($B75+D75-C75*O75/1000))</f>
        <v>80.553115682241284</v>
      </c>
      <c r="F75" s="157">
        <f ca="1">IF(($B75-C75*IF(ISBLANK(Design!$B$40),Constants!$C$6,Design!$B$40)/1000*(1+Constants!$C$29/100*(N75-25))-Design!$C$28)/(IF(ISBLANK(Design!$B$39),Design!$B$38,Design!$B$39)/1000000)*E75/100/(IF(ISBLANK(Design!$B$32),Design!$B$31,Design!$B$32)*1000000)&lt;0,0,($B75-C75*IF(ISBLANK(Design!$B$40),Constants!$C$6,Design!$B$40)/1000*(1+Constants!$C$29/100*(N75-25))-Design!$C$28)/(IF(ISBLANK(Design!$B$39),Design!$B$38,Design!$B$39)/1000000)*E75/100/(IF(ISBLANK(Design!$B$32),Design!$B$31,Design!$B$32)*1000000))</f>
        <v>0.4762224271998397</v>
      </c>
      <c r="G75" s="207">
        <f>$B75*Constants!$C$18/1000+IF(ISBLANK(Design!$B$32),Design!$B$31,Design!$B$32)*1000000*Constants!$D$22/1000000000*(IF($B75&lt;Constants!$C$21,0,$B75-Constants!$C$21))</f>
        <v>1.2451200000000043E-3</v>
      </c>
      <c r="H75" s="207">
        <f>B75*C75*(B75/(Constants!$C$23*1000000000)*IF(ISBLANK(Design!$B$32),Design!$B$31,Design!$B$32)*1000000/2+B75/(Constants!$C$24*1000000000)*IF(ISBLANK(Design!$B$32),Design!$B$31,Design!$B$32)*1000000/2)</f>
        <v>6.0690826388888924E-2</v>
      </c>
      <c r="I75" s="207">
        <f t="shared" ca="1" si="15"/>
        <v>3.064154856899211</v>
      </c>
      <c r="J75" s="207">
        <f>Constants!$D$22/1000000000*Constants!$C$21*IF(ISBLANK(Design!$B$32),Design!$B$31,Design!$B$32)*1000000</f>
        <v>1.2499999999999999E-2</v>
      </c>
      <c r="K75" s="207">
        <f t="shared" ca="1" si="24"/>
        <v>3.1385908032881003</v>
      </c>
      <c r="L75" s="207">
        <f t="shared" ca="1" si="19"/>
        <v>0.286659038905068</v>
      </c>
      <c r="M75" s="208">
        <f ca="1">$A75+L75*Design!$B$19</f>
        <v>101.33956521758887</v>
      </c>
      <c r="N75" s="208">
        <f ca="1">K75*Design!$C$12+A75</f>
        <v>191.71208731179541</v>
      </c>
      <c r="O75" s="208">
        <f ca="1">Constants!$D$19+Constants!$D$19*Constants!$C$20/100*(N75-25)</f>
        <v>310.04360381932361</v>
      </c>
      <c r="P75" s="207">
        <f ca="1">(1-Constants!$D$17/1000000000*Design!$B$32*1000000) * ($B75+D75-C75*O75/1000) - (D75+C75*(1+($A75-25)*Constants!$C$29/100)*IF(ISBLANK(Design!$B$40),Constants!$C$6/1000,Design!$B$40/1000))</f>
        <v>3.8678607609191866</v>
      </c>
      <c r="Q75" s="213">
        <f ca="1">IF(P75&gt;Design!$C$28,Design!$C$28,P75)</f>
        <v>3.2940895522388054</v>
      </c>
      <c r="R75" s="335">
        <f>2*Design!$D$6/3</f>
        <v>2.3333333333333335</v>
      </c>
      <c r="S75" s="158">
        <f ca="1">FORECAST(R75, OFFSET(Design!$C$15:$C$17,MATCH(R75,Design!$B$15:$B$17,1)-1,0,2), OFFSET(Design!$B$15:$B$17,MATCH(R75,Design!$B$15:$B$17,1)-1,0,2))+(AB75-25)*Design!$B$18/1000</f>
        <v>0.3933724591939165</v>
      </c>
      <c r="T75" s="224">
        <f ca="1">IF(100*(Design!$C$28+S75+R75*IF(ISBLANK(Design!$B$40),Constants!$C$6,Design!$B$40)/1000*(1+Constants!$C$29/100*(AC75-25)))/($B75+S75-R75*AD75/1000)&gt;Design!$C$35,Design!$C$35,100*(Design!$C$28+S75+R75*IF(ISBLANK(Design!$B$40),Constants!$C$6,Design!$B$40)/1000*(1+Constants!$C$29/100*(AC75-25)))/($B75+S75-R75*AD75/1000))</f>
        <v>71.404257503221544</v>
      </c>
      <c r="U75" s="159">
        <f ca="1">IF(($B75-R75*IF(ISBLANK(Design!$B$40),Constants!$C$6,Design!$B$40)/1000*(1+Constants!$C$29/100*(AC75-25))-Design!$C$28)/(IF(ISBLANK(Design!$B$39),Design!$B$38,Design!$B$39)/1000000)*T75/100/(IF(ISBLANK(Design!$B$32),Design!$B$31,Design!$B$32)*1000000)&lt;0,0,($B75-R75*IF(ISBLANK(Design!$B$40),Constants!$C$6,Design!$B$40)/1000*(1+Constants!$C$29/100*(AC75-25))-Design!$C$28)/(IF(ISBLANK(Design!$B$39),Design!$B$38,Design!$B$39)/1000000)*T75/100/(IF(ISBLANK(Design!$B$32),Design!$B$31,Design!$B$32)*1000000))</f>
        <v>0.4330604502920562</v>
      </c>
      <c r="V75" s="159">
        <f>$B75*Constants!$C$18/1000+IF(ISBLANK(Design!$B$32),Design!$B$31,Design!$B$32)*1000000*Constants!$D$22/1000000000*(IF($B75&lt;Constants!$C$21,0,$B75-Constants!$C$21))</f>
        <v>1.2451200000000043E-3</v>
      </c>
      <c r="W75" s="225">
        <f>$B75*R75*($B75/(Constants!$C$23*1000000000)*IF(ISBLANK(Design!$B$32),Design!$B$31,Design!$B$32)*1000000/2+$B75/(Constants!$C$24*1000000000)*IF(ISBLANK(Design!$B$32),Design!$B$31,Design!$B$32)*1000000/2)</f>
        <v>4.0460550925925952E-2</v>
      </c>
      <c r="X75" s="225">
        <f t="shared" ca="1" si="16"/>
        <v>0.93529326982056271</v>
      </c>
      <c r="Y75" s="225">
        <f>Constants!$D$22/1000000000*Constants!$C$21*IF(ISBLANK(Design!$B$32),Design!$B$31,Design!$B$32)*1000000</f>
        <v>1.2499999999999999E-2</v>
      </c>
      <c r="Z75" s="225">
        <f t="shared" ca="1" si="25"/>
        <v>0.98949894074648859</v>
      </c>
      <c r="AA75" s="225">
        <f t="shared" ca="1" si="21"/>
        <v>0.26247147613012028</v>
      </c>
      <c r="AB75" s="226">
        <f ca="1">$A75+AA75*Design!$B$19</f>
        <v>99.960874139416859</v>
      </c>
      <c r="AC75" s="226">
        <f ca="1">Z75*Design!$C$12+$A75</f>
        <v>118.64296398538062</v>
      </c>
      <c r="AD75" s="226">
        <f ca="1">Constants!$D$19+Constants!$D$19*Constants!$C$20/100*(AC75-25)</f>
        <v>239.89724542596539</v>
      </c>
      <c r="AE75" s="225">
        <f ca="1">(1-Constants!$D$17/1000000000*Design!$B$32*1000000) * ($B75+S75-R75*AD75/1000) - (S75+R75*(1+($A75-25)*Constants!$C$29/100)*IF(ISBLANK(Design!$B$40),Constants!$C$6/1000,Design!$B$40/1000))</f>
        <v>4.382280116416748</v>
      </c>
      <c r="AF75" s="339">
        <f ca="1">IF(AE75&gt;Design!$C$28,Design!$C$28,AE75)</f>
        <v>3.2940895522388054</v>
      </c>
      <c r="AG75" s="237">
        <f>Design!$D$6/3</f>
        <v>1.1666666666666667</v>
      </c>
      <c r="AH75" s="160">
        <f ca="1">FORECAST(AG75, OFFSET(Design!$C$15:$C$17,MATCH(AG75,Design!$B$15:$B$17,1)-1,0,2), OFFSET(Design!$B$15:$B$17,MATCH(AG75,Design!$B$15:$B$17,1)-1,0,2))+(AQ75-25)*Design!$B$18/1000</f>
        <v>0.32786560267141873</v>
      </c>
      <c r="AI75" s="238">
        <f ca="1">IF(100*(Design!$C$28+AH75+AG75*IF(ISBLANK(Design!$B$40),Constants!$C$6,Design!$B$40)/1000*(1+Constants!$C$29/100*(AR75-25)))/($B75+AH75-AG75*AS75/1000)&gt;Design!$C$35,Design!$C$35,100*(Design!$C$28+AH75+AG75*IF(ISBLANK(Design!$B$40),Constants!$C$6,Design!$B$40)/1000*(1+Constants!$C$29/100*(AR75-25)))/($B75+AH75-AG75*AS75/1000))</f>
        <v>66.428649701396111</v>
      </c>
      <c r="AJ75" s="161">
        <f ca="1">IF(($B75-AG75*IF(ISBLANK(Design!$B$40),Constants!$C$6,Design!$B$40)/1000*(1+Constants!$C$29/100*(AR75-25))-Design!$C$28)/(IF(ISBLANK(Design!$B$39),Design!$B$38,Design!$B$39)/1000000)*AI75/100/(IF(ISBLANK(Design!$B$32),Design!$B$31,Design!$B$32)*1000000)&lt;0,0,($B75-AG75*IF(ISBLANK(Design!$B$40),Constants!$C$6,Design!$B$40)/1000*(1+Constants!$C$29/100*(AR75-25))-Design!$C$28)/(IF(ISBLANK(Design!$B$39),Design!$B$38,Design!$B$39)/1000000)*AI75/100/(IF(ISBLANK(Design!$B$32),Design!$B$31,Design!$B$32)*1000000))</f>
        <v>0.40958274443329251</v>
      </c>
      <c r="AK75" s="161">
        <f>$B75*Constants!$C$18/1000+IF(ISBLANK(Design!$B$32),Design!$B$31,Design!$B$32)*1000000*Constants!$D$22/1000000000*(IF($B75&lt;Constants!$C$21,0,$B75-Constants!$C$21))</f>
        <v>1.2451200000000043E-3</v>
      </c>
      <c r="AL75" s="239">
        <f>$B75*AG75*($B75/(Constants!$C$23*1000000000)*IF(ISBLANK(Design!$B$32),Design!$B$31,Design!$B$32)*1000000/2+$B75/(Constants!$C$24*1000000000)*IF(ISBLANK(Design!$B$32),Design!$B$31,Design!$B$32)*1000000/2)</f>
        <v>2.0230275462962976E-2</v>
      </c>
      <c r="AM75" s="239">
        <f t="shared" ca="1" si="17"/>
        <v>0.19650492802548697</v>
      </c>
      <c r="AN75" s="239">
        <f>Constants!$D$22/1000000000*Constants!$C$21*IF(ISBLANK(Design!$B$32),Design!$B$31,Design!$B$32)*1000000</f>
        <v>1.2499999999999999E-2</v>
      </c>
      <c r="AO75" s="239">
        <f t="shared" ca="1" si="26"/>
        <v>0.23048032348844996</v>
      </c>
      <c r="AP75" s="239">
        <f t="shared" ca="1" si="23"/>
        <v>0.12841372831169257</v>
      </c>
      <c r="AQ75" s="240">
        <f ca="1">$A75+AP75*Design!$B$19</f>
        <v>92.319582513766477</v>
      </c>
      <c r="AR75" s="240">
        <f ca="1">AO75*Design!$C$12+$A75</f>
        <v>92.836330998607295</v>
      </c>
      <c r="AS75" s="240">
        <f ca="1">Constants!$D$19+Constants!$D$19*Constants!$C$20/100*(AR75-25)</f>
        <v>215.12287775866298</v>
      </c>
      <c r="AT75" s="239">
        <f ca="1">(1-Constants!$D$17/1000000000*Design!$B$32*1000000) * ($B75+AH75-AG75*AS75/1000) - (AH75+AG75*(1+($A75-25)*Constants!$C$29/100)*IF(ISBLANK(Design!$B$40),Constants!$C$6/1000,Design!$B$40/1000))</f>
        <v>4.7004368629919897</v>
      </c>
      <c r="AU75" s="342">
        <f ca="1">IF(AT75&gt;Design!$C$28,Design!$C$28,AT75)</f>
        <v>3.2940895522388054</v>
      </c>
    </row>
    <row r="76" spans="1:47" ht="12.75" customHeight="1" x14ac:dyDescent="0.25">
      <c r="A76" s="154">
        <f>Design!$D$13</f>
        <v>85</v>
      </c>
      <c r="B76" s="155">
        <f t="shared" si="14"/>
        <v>5.1850000000000014</v>
      </c>
      <c r="C76" s="156">
        <f>Design!$D$6</f>
        <v>3.5</v>
      </c>
      <c r="D76" s="156">
        <f ca="1">FORECAST(C76, OFFSET(Design!$C$15:$C$17,MATCH(C76,Design!$B$15:$B$17,1)-1,0,2), OFFSET(Design!$B$15:$B$17,MATCH(C76,Design!$B$15:$B$17,1)-1,0,2))+(M76-25)*Design!$B$18/1000</f>
        <v>0.42511047402791169</v>
      </c>
      <c r="E76" s="215">
        <f ca="1">IF(100*(Design!$C$28+D76+C76*IF(ISBLANK(Design!$B$40),Constants!$C$6,Design!$B$40)/1000*(1+Constants!$C$29/100*(N76-25)))/($B76+D76-C76*O76/1000)&gt;Design!$C$35,Design!$C$35,100*(Design!$C$28+D76+C76*IF(ISBLANK(Design!$B$40),Constants!$C$6,Design!$B$40)/1000*(1+Constants!$C$29/100*(N76-25)))/($B76+D76-C76*O76/1000))</f>
        <v>85.391353337001206</v>
      </c>
      <c r="F76" s="157">
        <f ca="1">IF(($B76-C76*IF(ISBLANK(Design!$B$40),Constants!$C$6,Design!$B$40)/1000*(1+Constants!$C$29/100*(N76-25))-Design!$C$28)/(IF(ISBLANK(Design!$B$39),Design!$B$38,Design!$B$39)/1000000)*E76/100/(IF(ISBLANK(Design!$B$32),Design!$B$31,Design!$B$32)*1000000)&lt;0,0,($B76-C76*IF(ISBLANK(Design!$B$40),Constants!$C$6,Design!$B$40)/1000*(1+Constants!$C$29/100*(N76-25))-Design!$C$28)/(IF(ISBLANK(Design!$B$39),Design!$B$38,Design!$B$39)/1000000)*E76/100/(IF(ISBLANK(Design!$B$32),Design!$B$31,Design!$B$32)*1000000))</f>
        <v>0.44517096398185424</v>
      </c>
      <c r="G76" s="207">
        <f>$B76*Constants!$C$18/1000+IF(ISBLANK(Design!$B$32),Design!$B$31,Design!$B$32)*1000000*Constants!$D$22/1000000000*(IF($B76&lt;Constants!$C$21,0,$B76-Constants!$C$21))</f>
        <v>6.4916000000000355E-4</v>
      </c>
      <c r="H76" s="207">
        <f>B76*C76*(B76/(Constants!$C$23*1000000000)*IF(ISBLANK(Design!$B$32),Design!$B$31,Design!$B$32)*1000000/2+B76/(Constants!$C$24*1000000000)*IF(ISBLANK(Design!$B$32),Design!$B$31,Design!$B$32)*1000000/2)</f>
        <v>5.5542062065972245E-2</v>
      </c>
      <c r="I76" s="207">
        <f t="shared" ca="1" si="15"/>
        <v>3.3398623845267599</v>
      </c>
      <c r="J76" s="207">
        <f>Constants!$D$22/1000000000*Constants!$C$21*IF(ISBLANK(Design!$B$32),Design!$B$31,Design!$B$32)*1000000</f>
        <v>1.2499999999999999E-2</v>
      </c>
      <c r="K76" s="207">
        <f t="shared" ca="1" si="24"/>
        <v>3.4085536065927324</v>
      </c>
      <c r="L76" s="207">
        <f t="shared" ca="1" si="19"/>
        <v>0.21736010477347903</v>
      </c>
      <c r="M76" s="208">
        <f ca="1">$A76+L76*Design!$B$19</f>
        <v>97.389525972088308</v>
      </c>
      <c r="N76" s="208">
        <f ca="1">K76*Design!$C$12+A76</f>
        <v>200.89082262415292</v>
      </c>
      <c r="O76" s="208">
        <f ca="1">Constants!$D$19+Constants!$D$19*Constants!$C$20/100*(N76-25)</f>
        <v>318.8551897191868</v>
      </c>
      <c r="P76" s="207">
        <f ca="1">(1-Constants!$D$17/1000000000*Design!$B$32*1000000) * ($B76+D76-C76*O76/1000) - (D76+C76*(1+($A76-25)*Constants!$C$29/100)*IF(ISBLANK(Design!$B$40),Constants!$C$6/1000,Design!$B$40/1000))</f>
        <v>3.622971451181987</v>
      </c>
      <c r="Q76" s="213">
        <f ca="1">IF(P76&gt;Design!$C$28,Design!$C$28,P76)</f>
        <v>3.2940895522388054</v>
      </c>
      <c r="R76" s="335">
        <f>2*Design!$D$6/3</f>
        <v>2.3333333333333335</v>
      </c>
      <c r="S76" s="158">
        <f ca="1">FORECAST(R76, OFFSET(Design!$C$15:$C$17,MATCH(R76,Design!$B$15:$B$17,1)-1,0,2), OFFSET(Design!$B$15:$B$17,MATCH(R76,Design!$B$15:$B$17,1)-1,0,2))+(AB76-25)*Design!$B$18/1000</f>
        <v>0.39509906701653746</v>
      </c>
      <c r="T76" s="224">
        <f ca="1">IF(100*(Design!$C$28+S76+R76*IF(ISBLANK(Design!$B$40),Constants!$C$6,Design!$B$40)/1000*(1+Constants!$C$29/100*(AC76-25)))/($B76+S76-R76*AD76/1000)&gt;Design!$C$35,Design!$C$35,100*(Design!$C$28+S76+R76*IF(ISBLANK(Design!$B$40),Constants!$C$6,Design!$B$40)/1000*(1+Constants!$C$29/100*(AC76-25)))/($B76+S76-R76*AD76/1000))</f>
        <v>74.814984370424895</v>
      </c>
      <c r="U76" s="159">
        <f ca="1">IF(($B76-R76*IF(ISBLANK(Design!$B$40),Constants!$C$6,Design!$B$40)/1000*(1+Constants!$C$29/100*(AC76-25))-Design!$C$28)/(IF(ISBLANK(Design!$B$39),Design!$B$38,Design!$B$39)/1000000)*T76/100/(IF(ISBLANK(Design!$B$32),Design!$B$31,Design!$B$32)*1000000)&lt;0,0,($B76-R76*IF(ISBLANK(Design!$B$40),Constants!$C$6,Design!$B$40)/1000*(1+Constants!$C$29/100*(AC76-25))-Design!$C$28)/(IF(ISBLANK(Design!$B$39),Design!$B$38,Design!$B$39)/1000000)*T76/100/(IF(ISBLANK(Design!$B$32),Design!$B$31,Design!$B$32)*1000000))</f>
        <v>0.40197211359933249</v>
      </c>
      <c r="V76" s="159">
        <f>$B76*Constants!$C$18/1000+IF(ISBLANK(Design!$B$32),Design!$B$31,Design!$B$32)*1000000*Constants!$D$22/1000000000*(IF($B76&lt;Constants!$C$21,0,$B76-Constants!$C$21))</f>
        <v>6.4916000000000355E-4</v>
      </c>
      <c r="W76" s="225">
        <f>$B76*R76*($B76/(Constants!$C$23*1000000000)*IF(ISBLANK(Design!$B$32),Design!$B$31,Design!$B$32)*1000000/2+$B76/(Constants!$C$24*1000000000)*IF(ISBLANK(Design!$B$32),Design!$B$31,Design!$B$32)*1000000/2)</f>
        <v>3.7028041377314837E-2</v>
      </c>
      <c r="X76" s="225">
        <f t="shared" ca="1" si="16"/>
        <v>0.98577144376226322</v>
      </c>
      <c r="Y76" s="225">
        <f>Constants!$D$22/1000000000*Constants!$C$21*IF(ISBLANK(Design!$B$32),Design!$B$31,Design!$B$32)*1000000</f>
        <v>1.2499999999999999E-2</v>
      </c>
      <c r="Z76" s="225">
        <f t="shared" ca="1" si="25"/>
        <v>1.0359486451395781</v>
      </c>
      <c r="AA76" s="225">
        <f t="shared" ca="1" si="21"/>
        <v>0.23218011082098089</v>
      </c>
      <c r="AB76" s="226">
        <f ca="1">$A76+AA76*Design!$B$19</f>
        <v>98.23426631679591</v>
      </c>
      <c r="AC76" s="226">
        <f ca="1">Z76*Design!$C$12+$A76</f>
        <v>120.22225393474565</v>
      </c>
      <c r="AD76" s="226">
        <f ca="1">Constants!$D$19+Constants!$D$19*Constants!$C$20/100*(AC76-25)</f>
        <v>241.41336377735581</v>
      </c>
      <c r="AE76" s="225">
        <f ca="1">(1-Constants!$D$17/1000000000*Design!$B$32*1000000) * ($B76+S76-R76*AD76/1000) - (S76+R76*(1+($A76-25)*Constants!$C$29/100)*IF(ISBLANK(Design!$B$40),Constants!$C$6/1000,Design!$B$40/1000))</f>
        <v>4.1626873870632881</v>
      </c>
      <c r="AF76" s="339">
        <f ca="1">IF(AE76&gt;Design!$C$28,Design!$C$28,AE76)</f>
        <v>3.2940895522388054</v>
      </c>
      <c r="AG76" s="237">
        <f>Design!$D$6/3</f>
        <v>1.1666666666666667</v>
      </c>
      <c r="AH76" s="160">
        <f ca="1">FORECAST(AG76, OFFSET(Design!$C$15:$C$17,MATCH(AG76,Design!$B$15:$B$17,1)-1,0,2), OFFSET(Design!$B$15:$B$17,MATCH(AG76,Design!$B$15:$B$17,1)-1,0,2))+(AQ76-25)*Design!$B$18/1000</f>
        <v>0.32850110374066144</v>
      </c>
      <c r="AI76" s="238">
        <f ca="1">IF(100*(Design!$C$28+AH76+AG76*IF(ISBLANK(Design!$B$40),Constants!$C$6,Design!$B$40)/1000*(1+Constants!$C$29/100*(AR76-25)))/($B76+AH76-AG76*AS76/1000)&gt;Design!$C$35,Design!$C$35,100*(Design!$C$28+AH76+AG76*IF(ISBLANK(Design!$B$40),Constants!$C$6,Design!$B$40)/1000*(1+Constants!$C$29/100*(AR76-25)))/($B76+AH76-AG76*AS76/1000))</f>
        <v>69.402689433725754</v>
      </c>
      <c r="AJ76" s="161">
        <f ca="1">IF(($B76-AG76*IF(ISBLANK(Design!$B$40),Constants!$C$6,Design!$B$40)/1000*(1+Constants!$C$29/100*(AR76-25))-Design!$C$28)/(IF(ISBLANK(Design!$B$39),Design!$B$38,Design!$B$39)/1000000)*AI76/100/(IF(ISBLANK(Design!$B$32),Design!$B$31,Design!$B$32)*1000000)&lt;0,0,($B76-AG76*IF(ISBLANK(Design!$B$40),Constants!$C$6,Design!$B$40)/1000*(1+Constants!$C$29/100*(AR76-25))-Design!$C$28)/(IF(ISBLANK(Design!$B$39),Design!$B$38,Design!$B$39)/1000000)*AI76/100/(IF(ISBLANK(Design!$B$32),Design!$B$31,Design!$B$32)*1000000))</f>
        <v>0.37994636856322761</v>
      </c>
      <c r="AK76" s="161">
        <f>$B76*Constants!$C$18/1000+IF(ISBLANK(Design!$B$32),Design!$B$31,Design!$B$32)*1000000*Constants!$D$22/1000000000*(IF($B76&lt;Constants!$C$21,0,$B76-Constants!$C$21))</f>
        <v>6.4916000000000355E-4</v>
      </c>
      <c r="AL76" s="239">
        <f>$B76*AG76*($B76/(Constants!$C$23*1000000000)*IF(ISBLANK(Design!$B$32),Design!$B$31,Design!$B$32)*1000000/2+$B76/(Constants!$C$24*1000000000)*IF(ISBLANK(Design!$B$32),Design!$B$31,Design!$B$32)*1000000/2)</f>
        <v>1.8514020688657418E-2</v>
      </c>
      <c r="AM76" s="239">
        <f t="shared" ca="1" si="17"/>
        <v>0.20521028157756618</v>
      </c>
      <c r="AN76" s="239">
        <f>Constants!$D$22/1000000000*Constants!$C$21*IF(ISBLANK(Design!$B$32),Design!$B$31,Design!$B$32)*1000000</f>
        <v>1.2499999999999999E-2</v>
      </c>
      <c r="AO76" s="239">
        <f t="shared" ca="1" si="26"/>
        <v>0.23687346226622361</v>
      </c>
      <c r="AP76" s="239">
        <f t="shared" ca="1" si="23"/>
        <v>0.11726458674603044</v>
      </c>
      <c r="AQ76" s="240">
        <f ca="1">$A76+AP76*Design!$B$19</f>
        <v>91.684081444523741</v>
      </c>
      <c r="AR76" s="240">
        <f ca="1">AO76*Design!$C$12+$A76</f>
        <v>93.053697717051605</v>
      </c>
      <c r="AS76" s="240">
        <f ca="1">Constants!$D$19+Constants!$D$19*Constants!$C$20/100*(AR76-25)</f>
        <v>215.33154980836954</v>
      </c>
      <c r="AT76" s="239">
        <f ca="1">(1-Constants!$D$17/1000000000*Design!$B$32*1000000) * ($B76+AH76-AG76*AS76/1000) - (AH76+AG76*(1+($A76-25)*Constants!$C$29/100)*IF(ISBLANK(Design!$B$40),Constants!$C$6/1000,Design!$B$40/1000))</f>
        <v>4.4839620482397651</v>
      </c>
      <c r="AU76" s="342">
        <f ca="1">IF(AT76&gt;Design!$C$28,Design!$C$28,AT76)</f>
        <v>3.2940895522388054</v>
      </c>
    </row>
    <row r="77" spans="1:47" ht="12.75" customHeight="1" x14ac:dyDescent="0.25">
      <c r="A77" s="154">
        <f>Design!$D$13</f>
        <v>85</v>
      </c>
      <c r="B77" s="155">
        <f t="shared" si="14"/>
        <v>4.9500000000000011</v>
      </c>
      <c r="C77" s="156">
        <f>Design!$D$6</f>
        <v>3.5</v>
      </c>
      <c r="D77" s="156">
        <f ca="1">FORECAST(C77, OFFSET(Design!$C$15:$C$17,MATCH(C77,Design!$B$15:$B$17,1)-1,0,2), OFFSET(Design!$B$15:$B$17,MATCH(C77,Design!$B$15:$B$17,1)-1,0,2))+(M77-25)*Design!$B$18/1000</f>
        <v>0.4297886190081992</v>
      </c>
      <c r="E77" s="215">
        <f ca="1">IF(100*(Design!$C$28+D77+C77*IF(ISBLANK(Design!$B$40),Constants!$C$6,Design!$B$40)/1000*(1+Constants!$C$29/100*(N77-25)))/($B77+D77-C77*O77/1000)&gt;Design!$C$35,Design!$C$35,100*(Design!$C$28+D77+C77*IF(ISBLANK(Design!$B$40),Constants!$C$6,Design!$B$40)/1000*(1+Constants!$C$29/100*(N77-25)))/($B77+D77-C77*O77/1000))</f>
        <v>91.006383813694768</v>
      </c>
      <c r="F77" s="157">
        <f ca="1">IF(($B77-C77*IF(ISBLANK(Design!$B$40),Constants!$C$6,Design!$B$40)/1000*(1+Constants!$C$29/100*(N77-25))-Design!$C$28)/(IF(ISBLANK(Design!$B$39),Design!$B$38,Design!$B$39)/1000000)*E77/100/(IF(ISBLANK(Design!$B$32),Design!$B$31,Design!$B$32)*1000000)&lt;0,0,($B77-C77*IF(ISBLANK(Design!$B$40),Constants!$C$6,Design!$B$40)/1000*(1+Constants!$C$29/100*(N77-25))-Design!$C$28)/(IF(ISBLANK(Design!$B$39),Design!$B$38,Design!$B$39)/1000000)*E77/100/(IF(ISBLANK(Design!$B$32),Design!$B$31,Design!$B$32)*1000000))</f>
        <v>0.41070147008413843</v>
      </c>
      <c r="G77" s="207">
        <f>$B77*Constants!$C$18/1000+IF(ISBLANK(Design!$B$32),Design!$B$31,Design!$B$32)*1000000*Constants!$D$22/1000000000*(IF($B77&lt;Constants!$C$21,0,$B77-Constants!$C$21))</f>
        <v>1.7820000000000002E-4</v>
      </c>
      <c r="H77" s="207">
        <f>B77*C77*(B77/(Constants!$C$23*1000000000)*IF(ISBLANK(Design!$B$32),Design!$B$31,Design!$B$32)*1000000/2+B77/(Constants!$C$24*1000000000)*IF(ISBLANK(Design!$B$32),Design!$B$31,Design!$B$32)*1000000/2)</f>
        <v>5.0621484375000025E-2</v>
      </c>
      <c r="I77" s="207">
        <f t="shared" ca="1" si="15"/>
        <v>3.6811224796301545</v>
      </c>
      <c r="J77" s="207">
        <f>Constants!$D$22/1000000000*Constants!$C$21*IF(ISBLANK(Design!$B$32),Design!$B$31,Design!$B$32)*1000000</f>
        <v>1.2499999999999999E-2</v>
      </c>
      <c r="K77" s="207">
        <f t="shared" ca="1" si="24"/>
        <v>3.7444221640051545</v>
      </c>
      <c r="L77" s="207">
        <f t="shared" ca="1" si="19"/>
        <v>0.13528738582106695</v>
      </c>
      <c r="M77" s="208">
        <f ca="1">$A77+L77*Design!$B$19</f>
        <v>92.711380991800809</v>
      </c>
      <c r="N77" s="208">
        <f ca="1">K77*Design!$C$12+A77</f>
        <v>212.31035357617526</v>
      </c>
      <c r="O77" s="208">
        <f ca="1">Constants!$D$19+Constants!$D$19*Constants!$C$20/100*(N77-25)</f>
        <v>329.81793943312823</v>
      </c>
      <c r="P77" s="207">
        <f ca="1">(1-Constants!$D$17/1000000000*Design!$B$32*1000000) * ($B77+D77-C77*O77/1000) - (D77+C77*(1+($A77-25)*Constants!$C$29/100)*IF(ISBLANK(Design!$B$40),Constants!$C$6/1000,Design!$B$40/1000))</f>
        <v>3.371097145504673</v>
      </c>
      <c r="Q77" s="213">
        <f ca="1">IF(P77&gt;Design!$C$28,Design!$C$28,P77)</f>
        <v>3.2940895522388054</v>
      </c>
      <c r="R77" s="335">
        <f>2*Design!$D$6/3</f>
        <v>2.3333333333333335</v>
      </c>
      <c r="S77" s="158">
        <f ca="1">FORECAST(R77, OFFSET(Design!$C$15:$C$17,MATCH(R77,Design!$B$15:$B$17,1)-1,0,2), OFFSET(Design!$B$15:$B$17,MATCH(R77,Design!$B$15:$B$17,1)-1,0,2))+(AB77-25)*Design!$B$18/1000</f>
        <v>0.39701922554429808</v>
      </c>
      <c r="T77" s="224">
        <f ca="1">IF(100*(Design!$C$28+S77+R77*IF(ISBLANK(Design!$B$40),Constants!$C$6,Design!$B$40)/1000*(1+Constants!$C$29/100*(AC77-25)))/($B77+S77-R77*AD77/1000)&gt;Design!$C$35,Design!$C$35,100*(Design!$C$28+S77+R77*IF(ISBLANK(Design!$B$40),Constants!$C$6,Design!$B$40)/1000*(1+Constants!$C$29/100*(AC77-25)))/($B77+S77-R77*AD77/1000))</f>
        <v>78.573209017729297</v>
      </c>
      <c r="U77" s="159">
        <f ca="1">IF(($B77-R77*IF(ISBLANK(Design!$B$40),Constants!$C$6,Design!$B$40)/1000*(1+Constants!$C$29/100*(AC77-25))-Design!$C$28)/(IF(ISBLANK(Design!$B$39),Design!$B$38,Design!$B$39)/1000000)*T77/100/(IF(ISBLANK(Design!$B$32),Design!$B$31,Design!$B$32)*1000000)&lt;0,0,($B77-R77*IF(ISBLANK(Design!$B$40),Constants!$C$6,Design!$B$40)/1000*(1+Constants!$C$29/100*(AC77-25))-Design!$C$28)/(IF(ISBLANK(Design!$B$39),Design!$B$38,Design!$B$39)/1000000)*T77/100/(IF(ISBLANK(Design!$B$32),Design!$B$31,Design!$B$32)*1000000))</f>
        <v>0.36778067479666426</v>
      </c>
      <c r="V77" s="159">
        <f>$B77*Constants!$C$18/1000+IF(ISBLANK(Design!$B$32),Design!$B$31,Design!$B$32)*1000000*Constants!$D$22/1000000000*(IF($B77&lt;Constants!$C$21,0,$B77-Constants!$C$21))</f>
        <v>1.7820000000000002E-4</v>
      </c>
      <c r="W77" s="225">
        <f>$B77*R77*($B77/(Constants!$C$23*1000000000)*IF(ISBLANK(Design!$B$32),Design!$B$31,Design!$B$32)*1000000/2+$B77/(Constants!$C$24*1000000000)*IF(ISBLANK(Design!$B$32),Design!$B$31,Design!$B$32)*1000000/2)</f>
        <v>3.3747656250000015E-2</v>
      </c>
      <c r="X77" s="225">
        <f t="shared" ca="1" si="16"/>
        <v>1.042252069328349</v>
      </c>
      <c r="Y77" s="225">
        <f>Constants!$D$22/1000000000*Constants!$C$21*IF(ISBLANK(Design!$B$32),Design!$B$31,Design!$B$32)*1000000</f>
        <v>1.2499999999999999E-2</v>
      </c>
      <c r="Z77" s="225">
        <f t="shared" ca="1" si="25"/>
        <v>1.088677925578349</v>
      </c>
      <c r="AA77" s="225">
        <f t="shared" ca="1" si="21"/>
        <v>0.19849311910588219</v>
      </c>
      <c r="AB77" s="226">
        <f ca="1">$A77+AA77*Design!$B$19</f>
        <v>96.31410778903529</v>
      </c>
      <c r="AC77" s="226">
        <f ca="1">Z77*Design!$C$12+$A77</f>
        <v>122.01504946966386</v>
      </c>
      <c r="AD77" s="226">
        <f ca="1">Constants!$D$19+Constants!$D$19*Constants!$C$20/100*(AC77-25)</f>
        <v>243.13444749087731</v>
      </c>
      <c r="AE77" s="225">
        <f ca="1">(1-Constants!$D$17/1000000000*Design!$B$32*1000000) * ($B77+S77-R77*AD77/1000) - (S77+R77*(1+($A77-25)*Constants!$C$29/100)*IF(ISBLANK(Design!$B$40),Constants!$C$6/1000,Design!$B$40/1000))</f>
        <v>3.9426391813427077</v>
      </c>
      <c r="AF77" s="339">
        <f ca="1">IF(AE77&gt;Design!$C$28,Design!$C$28,AE77)</f>
        <v>3.2940895522388054</v>
      </c>
      <c r="AG77" s="237">
        <f>Design!$D$6/3</f>
        <v>1.1666666666666667</v>
      </c>
      <c r="AH77" s="160">
        <f ca="1">FORECAST(AG77, OFFSET(Design!$C$15:$C$17,MATCH(AG77,Design!$B$15:$B$17,1)-1,0,2), OFFSET(Design!$B$15:$B$17,MATCH(AG77,Design!$B$15:$B$17,1)-1,0,2))+(AQ77-25)*Design!$B$18/1000</f>
        <v>0.3291989499738498</v>
      </c>
      <c r="AI77" s="238">
        <f ca="1">IF(100*(Design!$C$28+AH77+AG77*IF(ISBLANK(Design!$B$40),Constants!$C$6,Design!$B$40)/1000*(1+Constants!$C$29/100*(AR77-25)))/($B77+AH77-AG77*AS77/1000)&gt;Design!$C$35,Design!$C$35,100*(Design!$C$28+AH77+AG77*IF(ISBLANK(Design!$B$40),Constants!$C$6,Design!$B$40)/1000*(1+Constants!$C$29/100*(AR77-25)))/($B77+AH77-AG77*AS77/1000))</f>
        <v>72.65526678815408</v>
      </c>
      <c r="AJ77" s="161">
        <f ca="1">IF(($B77-AG77*IF(ISBLANK(Design!$B$40),Constants!$C$6,Design!$B$40)/1000*(1+Constants!$C$29/100*(AR77-25))-Design!$C$28)/(IF(ISBLANK(Design!$B$39),Design!$B$38,Design!$B$39)/1000000)*AI77/100/(IF(ISBLANK(Design!$B$32),Design!$B$31,Design!$B$32)*1000000)&lt;0,0,($B77-AG77*IF(ISBLANK(Design!$B$40),Constants!$C$6,Design!$B$40)/1000*(1+Constants!$C$29/100*(AR77-25))-Design!$C$28)/(IF(ISBLANK(Design!$B$39),Design!$B$38,Design!$B$39)/1000000)*AI77/100/(IF(ISBLANK(Design!$B$32),Design!$B$31,Design!$B$32)*1000000))</f>
        <v>0.34753009818888403</v>
      </c>
      <c r="AK77" s="161">
        <f>$B77*Constants!$C$18/1000+IF(ISBLANK(Design!$B$32),Design!$B$31,Design!$B$32)*1000000*Constants!$D$22/1000000000*(IF($B77&lt;Constants!$C$21,0,$B77-Constants!$C$21))</f>
        <v>1.7820000000000002E-4</v>
      </c>
      <c r="AL77" s="239">
        <f>$B77*AG77*($B77/(Constants!$C$23*1000000000)*IF(ISBLANK(Design!$B$32),Design!$B$31,Design!$B$32)*1000000/2+$B77/(Constants!$C$24*1000000000)*IF(ISBLANK(Design!$B$32),Design!$B$31,Design!$B$32)*1000000/2)</f>
        <v>1.6873828125000007E-2</v>
      </c>
      <c r="AM77" s="239">
        <f t="shared" ca="1" si="17"/>
        <v>0.21476201614087836</v>
      </c>
      <c r="AN77" s="239">
        <f>Constants!$D$22/1000000000*Constants!$C$21*IF(ISBLANK(Design!$B$32),Design!$B$31,Design!$B$32)*1000000</f>
        <v>1.2499999999999999E-2</v>
      </c>
      <c r="AO77" s="239">
        <f t="shared" ca="1" si="26"/>
        <v>0.24431404426587838</v>
      </c>
      <c r="AP77" s="239">
        <f t="shared" ca="1" si="23"/>
        <v>0.10502167037430524</v>
      </c>
      <c r="AQ77" s="240">
        <f ca="1">$A77+AP77*Design!$B$19</f>
        <v>90.986235211335398</v>
      </c>
      <c r="AR77" s="240">
        <f ca="1">AO77*Design!$C$12+$A77</f>
        <v>93.306677505039858</v>
      </c>
      <c r="AS77" s="240">
        <f ca="1">Constants!$D$19+Constants!$D$19*Constants!$C$20/100*(AR77-25)</f>
        <v>215.57441040483826</v>
      </c>
      <c r="AT77" s="239">
        <f ca="1">(1-Constants!$D$17/1000000000*Design!$B$32*1000000) * ($B77+AH77-AG77*AS77/1000) - (AH77+AG77*(1+($A77-25)*Constants!$C$29/100)*IF(ISBLANK(Design!$B$40),Constants!$C$6/1000,Design!$B$40/1000))</f>
        <v>4.267445550167567</v>
      </c>
      <c r="AU77" s="342">
        <f ca="1">IF(AT77&gt;Design!$C$28,Design!$C$28,AT77)</f>
        <v>3.2940895522388054</v>
      </c>
    </row>
    <row r="78" spans="1:47" ht="12.75" customHeight="1" x14ac:dyDescent="0.25">
      <c r="A78" s="154">
        <f>Design!$D$13</f>
        <v>85</v>
      </c>
      <c r="B78" s="155">
        <f t="shared" si="14"/>
        <v>4.7150000000000007</v>
      </c>
      <c r="C78" s="156">
        <f>Design!$D$6</f>
        <v>3.5</v>
      </c>
      <c r="D78" s="156">
        <f ca="1">FORECAST(C78, OFFSET(Design!$C$15:$C$17,MATCH(C78,Design!$B$15:$B$17,1)-1,0,2), OFFSET(Design!$B$15:$B$17,MATCH(C78,Design!$B$15:$B$17,1)-1,0,2))+(M78-25)*Design!$B$18/1000</f>
        <v>0.43317903908512589</v>
      </c>
      <c r="E78" s="215">
        <f ca="1">IF(100*(Design!$C$28+D78+C78*IF(ISBLANK(Design!$B$40),Constants!$C$6,Design!$B$40)/1000*(1+Constants!$C$29/100*(N78-25)))/($B78+D78-C78*O78/1000)&gt;Design!$C$35,Design!$C$35,100*(Design!$C$28+D78+C78*IF(ISBLANK(Design!$B$40),Constants!$C$6,Design!$B$40)/1000*(1+Constants!$C$29/100*(N78-25)))/($B78+D78-C78*O78/1000))</f>
        <v>95</v>
      </c>
      <c r="F78" s="157">
        <f ca="1">IF(($B78-C78*IF(ISBLANK(Design!$B$40),Constants!$C$6,Design!$B$40)/1000*(1+Constants!$C$29/100*(N78-25))-Design!$C$28)/(IF(ISBLANK(Design!$B$39),Design!$B$38,Design!$B$39)/1000000)*E78/100/(IF(ISBLANK(Design!$B$32),Design!$B$31,Design!$B$32)*1000000)&lt;0,0,($B78-C78*IF(ISBLANK(Design!$B$40),Constants!$C$6,Design!$B$40)/1000*(1+Constants!$C$29/100*(N78-25))-Design!$C$28)/(IF(ISBLANK(Design!$B$39),Design!$B$38,Design!$B$39)/1000000)*E78/100/(IF(ISBLANK(Design!$B$32),Design!$B$31,Design!$B$32)*1000000))</f>
        <v>0.36240524580685474</v>
      </c>
      <c r="G78" s="207">
        <f>$B78*Constants!$C$18/1000+IF(ISBLANK(Design!$B$32),Design!$B$31,Design!$B$32)*1000000*Constants!$D$22/1000000000*(IF($B78&lt;Constants!$C$21,0,$B78-Constants!$C$21))</f>
        <v>1.6974000000000001E-4</v>
      </c>
      <c r="H78" s="207">
        <f>B78*C78*(B78/(Constants!$C$23*1000000000)*IF(ISBLANK(Design!$B$32),Design!$B$31,Design!$B$32)*1000000/2+B78/(Constants!$C$24*1000000000)*IF(ISBLANK(Design!$B$32),Design!$B$31,Design!$B$32)*1000000/2)</f>
        <v>4.5929093315972239E-2</v>
      </c>
      <c r="I78" s="207">
        <f t="shared" ca="1" si="15"/>
        <v>3.9372900390478862</v>
      </c>
      <c r="J78" s="207">
        <f>Constants!$D$22/1000000000*Constants!$C$21*IF(ISBLANK(Design!$B$32),Design!$B$31,Design!$B$32)*1000000</f>
        <v>1.2499999999999999E-2</v>
      </c>
      <c r="K78" s="207">
        <f t="shared" ca="1" si="24"/>
        <v>3.9958888723638588</v>
      </c>
      <c r="L78" s="207">
        <f t="shared" ca="1" si="19"/>
        <v>7.5806331839897101E-2</v>
      </c>
      <c r="M78" s="208">
        <f ca="1">$A78+L78*Design!$B$19</f>
        <v>89.320960914874135</v>
      </c>
      <c r="N78" s="208">
        <f ca="1">K78*Design!$C$12+A78</f>
        <v>220.8602216603712</v>
      </c>
      <c r="O78" s="208">
        <f ca="1">Constants!$D$19+Constants!$D$19*Constants!$C$20/100*(N78-25)</f>
        <v>338.02581279395633</v>
      </c>
      <c r="P78" s="207">
        <f ca="1">(1-Constants!$D$17/1000000000*Design!$B$32*1000000) * ($B78+D78-C78*O78/1000) - (D78+C78*(1+($A78-25)*Constants!$C$29/100)*IF(ISBLANK(Design!$B$40),Constants!$C$6/1000,Design!$B$40/1000))</f>
        <v>3.1281965596766517</v>
      </c>
      <c r="Q78" s="213">
        <f ca="1">IF(P78&gt;Design!$C$28,Design!$C$28,P78)</f>
        <v>3.1281965596766517</v>
      </c>
      <c r="R78" s="335">
        <f>2*Design!$D$6/3</f>
        <v>2.3333333333333335</v>
      </c>
      <c r="S78" s="158">
        <f ca="1">FORECAST(R78, OFFSET(Design!$C$15:$C$17,MATCH(R78,Design!$B$15:$B$17,1)-1,0,2), OFFSET(Design!$B$15:$B$17,MATCH(R78,Design!$B$15:$B$17,1)-1,0,2))+(AB78-25)*Design!$B$18/1000</f>
        <v>0.39916828125429343</v>
      </c>
      <c r="T78" s="224">
        <f ca="1">IF(100*(Design!$C$28+S78+R78*IF(ISBLANK(Design!$B$40),Constants!$C$6,Design!$B$40)/1000*(1+Constants!$C$29/100*(AC78-25)))/($B78+S78-R78*AD78/1000)&gt;Design!$C$35,Design!$C$35,100*(Design!$C$28+S78+R78*IF(ISBLANK(Design!$B$40),Constants!$C$6,Design!$B$40)/1000*(1+Constants!$C$29/100*(AC78-25)))/($B78+S78-R78*AD78/1000))</f>
        <v>82.736562686973798</v>
      </c>
      <c r="U78" s="159">
        <f ca="1">IF(($B78-R78*IF(ISBLANK(Design!$B$40),Constants!$C$6,Design!$B$40)/1000*(1+Constants!$C$29/100*(AC78-25))-Design!$C$28)/(IF(ISBLANK(Design!$B$39),Design!$B$38,Design!$B$39)/1000000)*T78/100/(IF(ISBLANK(Design!$B$32),Design!$B$31,Design!$B$32)*1000000)&lt;0,0,($B78-R78*IF(ISBLANK(Design!$B$40),Constants!$C$6,Design!$B$40)/1000*(1+Constants!$C$29/100*(AC78-25))-Design!$C$28)/(IF(ISBLANK(Design!$B$39),Design!$B$38,Design!$B$39)/1000000)*T78/100/(IF(ISBLANK(Design!$B$32),Design!$B$31,Design!$B$32)*1000000))</f>
        <v>0.3299907773195897</v>
      </c>
      <c r="V78" s="159">
        <f>$B78*Constants!$C$18/1000+IF(ISBLANK(Design!$B$32),Design!$B$31,Design!$B$32)*1000000*Constants!$D$22/1000000000*(IF($B78&lt;Constants!$C$21,0,$B78-Constants!$C$21))</f>
        <v>1.6974000000000001E-4</v>
      </c>
      <c r="W78" s="225">
        <f>$B78*R78*($B78/(Constants!$C$23*1000000000)*IF(ISBLANK(Design!$B$32),Design!$B$31,Design!$B$32)*1000000/2+$B78/(Constants!$C$24*1000000000)*IF(ISBLANK(Design!$B$32),Design!$B$31,Design!$B$32)*1000000/2)</f>
        <v>3.0619395543981496E-2</v>
      </c>
      <c r="X78" s="225">
        <f t="shared" ca="1" si="16"/>
        <v>1.105955678478926</v>
      </c>
      <c r="Y78" s="225">
        <f>Constants!$D$22/1000000000*Constants!$C$21*IF(ISBLANK(Design!$B$32),Design!$B$31,Design!$B$32)*1000000</f>
        <v>1.2499999999999999E-2</v>
      </c>
      <c r="Z78" s="225">
        <f t="shared" ca="1" si="25"/>
        <v>1.1492448140229075</v>
      </c>
      <c r="AA78" s="225">
        <f t="shared" ca="1" si="21"/>
        <v>0.1607903873515778</v>
      </c>
      <c r="AB78" s="226">
        <f ca="1">$A78+AA78*Design!$B$19</f>
        <v>94.165052079039938</v>
      </c>
      <c r="AC78" s="226">
        <f ca="1">Z78*Design!$C$12+$A78</f>
        <v>124.07432367677885</v>
      </c>
      <c r="AD78" s="226">
        <f ca="1">Constants!$D$19+Constants!$D$19*Constants!$C$20/100*(AC78-25)</f>
        <v>245.11135072970768</v>
      </c>
      <c r="AE78" s="225">
        <f ca="1">(1-Constants!$D$17/1000000000*Design!$B$32*1000000) * ($B78+S78-R78*AD78/1000) - (S78+R78*(1+($A78-25)*Constants!$C$29/100)*IF(ISBLANK(Design!$B$40),Constants!$C$6/1000,Design!$B$40/1000))</f>
        <v>3.7220235045998851</v>
      </c>
      <c r="AF78" s="339">
        <f ca="1">IF(AE78&gt;Design!$C$28,Design!$C$28,AE78)</f>
        <v>3.2940895522388054</v>
      </c>
      <c r="AG78" s="237">
        <f>Design!$D$6/3</f>
        <v>1.1666666666666667</v>
      </c>
      <c r="AH78" s="160">
        <f ca="1">FORECAST(AG78, OFFSET(Design!$C$15:$C$17,MATCH(AG78,Design!$B$15:$B$17,1)-1,0,2), OFFSET(Design!$B$15:$B$17,MATCH(AG78,Design!$B$15:$B$17,1)-1,0,2))+(AQ78-25)*Design!$B$18/1000</f>
        <v>0.32996882582167603</v>
      </c>
      <c r="AI78" s="238">
        <f ca="1">IF(100*(Design!$C$28+AH78+AG78*IF(ISBLANK(Design!$B$40),Constants!$C$6,Design!$B$40)/1000*(1+Constants!$C$29/100*(AR78-25)))/($B78+AH78-AG78*AS78/1000)&gt;Design!$C$35,Design!$C$35,100*(Design!$C$28+AH78+AG78*IF(ISBLANK(Design!$B$40),Constants!$C$6,Design!$B$40)/1000*(1+Constants!$C$29/100*(AR78-25)))/($B78+AH78-AG78*AS78/1000))</f>
        <v>76.227604534223616</v>
      </c>
      <c r="AJ78" s="161">
        <f ca="1">IF(($B78-AG78*IF(ISBLANK(Design!$B$40),Constants!$C$6,Design!$B$40)/1000*(1+Constants!$C$29/100*(AR78-25))-Design!$C$28)/(IF(ISBLANK(Design!$B$39),Design!$B$38,Design!$B$39)/1000000)*AI78/100/(IF(ISBLANK(Design!$B$32),Design!$B$31,Design!$B$32)*1000000)&lt;0,0,($B78-AG78*IF(ISBLANK(Design!$B$40),Constants!$C$6,Design!$B$40)/1000*(1+Constants!$C$29/100*(AR78-25))-Design!$C$28)/(IF(ISBLANK(Design!$B$39),Design!$B$38,Design!$B$39)/1000000)*AI78/100/(IF(ISBLANK(Design!$B$32),Design!$B$31,Design!$B$32)*1000000))</f>
        <v>0.31192457344739527</v>
      </c>
      <c r="AK78" s="161">
        <f>$B78*Constants!$C$18/1000+IF(ISBLANK(Design!$B$32),Design!$B$31,Design!$B$32)*1000000*Constants!$D$22/1000000000*(IF($B78&lt;Constants!$C$21,0,$B78-Constants!$C$21))</f>
        <v>1.6974000000000001E-4</v>
      </c>
      <c r="AL78" s="239">
        <f>$B78*AG78*($B78/(Constants!$C$23*1000000000)*IF(ISBLANK(Design!$B$32),Design!$B$31,Design!$B$32)*1000000/2+$B78/(Constants!$C$24*1000000000)*IF(ISBLANK(Design!$B$32),Design!$B$31,Design!$B$32)*1000000/2)</f>
        <v>1.5309697771990748E-2</v>
      </c>
      <c r="AM78" s="239">
        <f t="shared" ca="1" si="17"/>
        <v>0.2253055832875914</v>
      </c>
      <c r="AN78" s="239">
        <f>Constants!$D$22/1000000000*Constants!$C$21*IF(ISBLANK(Design!$B$32),Design!$B$31,Design!$B$32)*1000000</f>
        <v>1.2499999999999999E-2</v>
      </c>
      <c r="AO78" s="239">
        <f t="shared" ca="1" si="26"/>
        <v>0.25328502105958217</v>
      </c>
      <c r="AP78" s="239">
        <f t="shared" ca="1" si="23"/>
        <v>9.1515076552792313E-2</v>
      </c>
      <c r="AQ78" s="240">
        <f ca="1">$A78+AP78*Design!$B$19</f>
        <v>90.216359363509156</v>
      </c>
      <c r="AR78" s="240">
        <f ca="1">AO78*Design!$C$12+$A78</f>
        <v>93.611690716025791</v>
      </c>
      <c r="AS78" s="240">
        <f ca="1">Constants!$D$19+Constants!$D$19*Constants!$C$20/100*(AR78-25)</f>
        <v>215.86722308738476</v>
      </c>
      <c r="AT78" s="239">
        <f ca="1">(1-Constants!$D$17/1000000000*Design!$B$32*1000000) * ($B78+AH78-AG78*AS78/1000) - (AH78+AG78*(1+($A78-25)*Constants!$C$29/100)*IF(ISBLANK(Design!$B$40),Constants!$C$6/1000,Design!$B$40/1000))</f>
        <v>4.0508696744871404</v>
      </c>
      <c r="AU78" s="342">
        <f ca="1">IF(AT78&gt;Design!$C$28,Design!$C$28,AT78)</f>
        <v>3.2940895522388054</v>
      </c>
    </row>
    <row r="79" spans="1:47" ht="12.75" customHeight="1" x14ac:dyDescent="0.25">
      <c r="A79" s="154">
        <f>Design!$D$13</f>
        <v>85</v>
      </c>
      <c r="B79" s="155">
        <f t="shared" si="14"/>
        <v>4.4800000000000004</v>
      </c>
      <c r="C79" s="156">
        <f>Design!$D$6</f>
        <v>3.5</v>
      </c>
      <c r="D79" s="156">
        <f ca="1">FORECAST(C79, OFFSET(Design!$C$15:$C$17,MATCH(C79,Design!$B$15:$B$17,1)-1,0,2), OFFSET(Design!$B$15:$B$17,MATCH(C79,Design!$B$15:$B$17,1)-1,0,2))+(M79-25)*Design!$B$18/1000</f>
        <v>0.43317903908512589</v>
      </c>
      <c r="E79" s="215">
        <f ca="1">IF(100*(Design!$C$28+D79+C79*IF(ISBLANK(Design!$B$40),Constants!$C$6,Design!$B$40)/1000*(1+Constants!$C$29/100*(N79-25)))/($B79+D79-C79*O79/1000)&gt;Design!$C$35,Design!$C$35,100*(Design!$C$28+D79+C79*IF(ISBLANK(Design!$B$40),Constants!$C$6,Design!$B$40)/1000*(1+Constants!$C$29/100*(N79-25)))/($B79+D79-C79*O79/1000))</f>
        <v>95</v>
      </c>
      <c r="F79" s="157">
        <f ca="1">IF(($B79-C79*IF(ISBLANK(Design!$B$40),Constants!$C$6,Design!$B$40)/1000*(1+Constants!$C$29/100*(N79-25))-Design!$C$28)/(IF(ISBLANK(Design!$B$39),Design!$B$38,Design!$B$39)/1000000)*E79/100/(IF(ISBLANK(Design!$B$32),Design!$B$31,Design!$B$32)*1000000)&lt;0,0,($B79-C79*IF(ISBLANK(Design!$B$40),Constants!$C$6,Design!$B$40)/1000*(1+Constants!$C$29/100*(N79-25))-Design!$C$28)/(IF(ISBLANK(Design!$B$39),Design!$B$38,Design!$B$39)/1000000)*E79/100/(IF(ISBLANK(Design!$B$32),Design!$B$31,Design!$B$32)*1000000))</f>
        <v>0.29676721791316041</v>
      </c>
      <c r="G79" s="207">
        <f>$B79*Constants!$C$18/1000+IF(ISBLANK(Design!$B$32),Design!$B$31,Design!$B$32)*1000000*Constants!$D$22/1000000000*(IF($B79&lt;Constants!$C$21,0,$B79-Constants!$C$21))</f>
        <v>1.6128E-4</v>
      </c>
      <c r="H79" s="207">
        <f>B79*C79*(B79/(Constants!$C$23*1000000000)*IF(ISBLANK(Design!$B$32),Design!$B$31,Design!$B$32)*1000000/2+B79/(Constants!$C$24*1000000000)*IF(ISBLANK(Design!$B$32),Design!$B$31,Design!$B$32)*1000000/2)</f>
        <v>4.1464888888888898E-2</v>
      </c>
      <c r="I79" s="207">
        <f t="shared" ca="1" si="15"/>
        <v>3.9326801450987769</v>
      </c>
      <c r="J79" s="207">
        <f>Constants!$D$22/1000000000*Constants!$C$21*IF(ISBLANK(Design!$B$32),Design!$B$31,Design!$B$32)*1000000</f>
        <v>1.2499999999999999E-2</v>
      </c>
      <c r="K79" s="207">
        <f t="shared" ca="1" si="24"/>
        <v>3.9868063139876662</v>
      </c>
      <c r="L79" s="207">
        <f t="shared" ca="1" si="19"/>
        <v>7.5806331839897101E-2</v>
      </c>
      <c r="M79" s="208">
        <f ca="1">$A79+L79*Design!$B$19</f>
        <v>89.320960914874135</v>
      </c>
      <c r="N79" s="208">
        <f ca="1">K79*Design!$C$12+A79</f>
        <v>220.55141467558065</v>
      </c>
      <c r="O79" s="208">
        <f ca="1">Constants!$D$19+Constants!$D$19*Constants!$C$20/100*(N79-25)</f>
        <v>337.72935808855743</v>
      </c>
      <c r="P79" s="207">
        <f ca="1">(1-Constants!$D$17/1000000000*Design!$B$32*1000000) * ($B79+D79-C79*O79/1000) - (D79+C79*(1+($A79-25)*Constants!$C$29/100)*IF(ISBLANK(Design!$B$40),Constants!$C$6/1000,Design!$B$40/1000))</f>
        <v>2.9129511438280362</v>
      </c>
      <c r="Q79" s="213">
        <f ca="1">IF(P79&gt;Design!$C$28,Design!$C$28,P79)</f>
        <v>2.9129511438280362</v>
      </c>
      <c r="R79" s="335">
        <f>2*Design!$D$6/3</f>
        <v>2.3333333333333335</v>
      </c>
      <c r="S79" s="158">
        <f ca="1">FORECAST(R79, OFFSET(Design!$C$15:$C$17,MATCH(R79,Design!$B$15:$B$17,1)-1,0,2), OFFSET(Design!$B$15:$B$17,MATCH(R79,Design!$B$15:$B$17,1)-1,0,2))+(AB79-25)*Design!$B$18/1000</f>
        <v>0.40159005953079996</v>
      </c>
      <c r="T79" s="224">
        <f ca="1">IF(100*(Design!$C$28+S79+R79*IF(ISBLANK(Design!$B$40),Constants!$C$6,Design!$B$40)/1000*(1+Constants!$C$29/100*(AC79-25)))/($B79+S79-R79*AD79/1000)&gt;Design!$C$35,Design!$C$35,100*(Design!$C$28+S79+R79*IF(ISBLANK(Design!$B$40),Constants!$C$6,Design!$B$40)/1000*(1+Constants!$C$29/100*(AC79-25)))/($B79+S79-R79*AD79/1000))</f>
        <v>87.374860113518992</v>
      </c>
      <c r="U79" s="159">
        <f ca="1">IF(($B79-R79*IF(ISBLANK(Design!$B$40),Constants!$C$6,Design!$B$40)/1000*(1+Constants!$C$29/100*(AC79-25))-Design!$C$28)/(IF(ISBLANK(Design!$B$39),Design!$B$38,Design!$B$39)/1000000)*T79/100/(IF(ISBLANK(Design!$B$32),Design!$B$31,Design!$B$32)*1000000)&lt;0,0,($B79-R79*IF(ISBLANK(Design!$B$40),Constants!$C$6,Design!$B$40)/1000*(1+Constants!$C$29/100*(AC79-25))-Design!$C$28)/(IF(ISBLANK(Design!$B$39),Design!$B$38,Design!$B$39)/1000000)*T79/100/(IF(ISBLANK(Design!$B$32),Design!$B$31,Design!$B$32)*1000000))</f>
        <v>0.28798785320717329</v>
      </c>
      <c r="V79" s="159">
        <f>$B79*Constants!$C$18/1000+IF(ISBLANK(Design!$B$32),Design!$B$31,Design!$B$32)*1000000*Constants!$D$22/1000000000*(IF($B79&lt;Constants!$C$21,0,$B79-Constants!$C$21))</f>
        <v>1.6128E-4</v>
      </c>
      <c r="W79" s="225">
        <f>$B79*R79*($B79/(Constants!$C$23*1000000000)*IF(ISBLANK(Design!$B$32),Design!$B$31,Design!$B$32)*1000000/2+$B79/(Constants!$C$24*1000000000)*IF(ISBLANK(Design!$B$32),Design!$B$31,Design!$B$32)*1000000/2)</f>
        <v>2.764325925925927E-2</v>
      </c>
      <c r="X79" s="225">
        <f t="shared" ca="1" si="16"/>
        <v>1.1782723692012416</v>
      </c>
      <c r="Y79" s="225">
        <f>Constants!$D$22/1000000000*Constants!$C$21*IF(ISBLANK(Design!$B$32),Design!$B$31,Design!$B$32)*1000000</f>
        <v>1.2499999999999999E-2</v>
      </c>
      <c r="Z79" s="225">
        <f t="shared" ca="1" si="25"/>
        <v>1.2185769084605007</v>
      </c>
      <c r="AA79" s="225">
        <f t="shared" ca="1" si="21"/>
        <v>0.11830304916725366</v>
      </c>
      <c r="AB79" s="226">
        <f ca="1">$A79+AA79*Design!$B$19</f>
        <v>91.743273802533452</v>
      </c>
      <c r="AC79" s="226">
        <f ca="1">Z79*Design!$C$12+$A79</f>
        <v>126.43161488765702</v>
      </c>
      <c r="AD79" s="226">
        <f ca="1">Constants!$D$19+Constants!$D$19*Constants!$C$20/100*(AC79-25)</f>
        <v>247.37435029215072</v>
      </c>
      <c r="AE79" s="225">
        <f ca="1">(1-Constants!$D$17/1000000000*Design!$B$32*1000000) * ($B79+S79-R79*AD79/1000) - (S79+R79*(1+($A79-25)*Constants!$C$29/100)*IF(ISBLANK(Design!$B$40),Constants!$C$6/1000,Design!$B$40/1000))</f>
        <v>3.5007718566103865</v>
      </c>
      <c r="AF79" s="339">
        <f ca="1">IF(AE79&gt;Design!$C$28,Design!$C$28,AE79)</f>
        <v>3.2940895522388054</v>
      </c>
      <c r="AG79" s="237">
        <f>Design!$D$6/3</f>
        <v>1.1666666666666667</v>
      </c>
      <c r="AH79" s="160">
        <f ca="1">FORECAST(AG79, OFFSET(Design!$C$15:$C$17,MATCH(AG79,Design!$B$15:$B$17,1)-1,0,2), OFFSET(Design!$B$15:$B$17,MATCH(AG79,Design!$B$15:$B$17,1)-1,0,2))+(AQ79-25)*Design!$B$18/1000</f>
        <v>0.330822393872089</v>
      </c>
      <c r="AI79" s="238">
        <f ca="1">IF(100*(Design!$C$28+AH79+AG79*IF(ISBLANK(Design!$B$40),Constants!$C$6,Design!$B$40)/1000*(1+Constants!$C$29/100*(AR79-25)))/($B79+AH79-AG79*AS79/1000)&gt;Design!$C$35,Design!$C$35,100*(Design!$C$28+AH79+AG79*IF(ISBLANK(Design!$B$40),Constants!$C$6,Design!$B$40)/1000*(1+Constants!$C$29/100*(AR79-25)))/($B79+AH79-AG79*AS79/1000))</f>
        <v>80.168850228189996</v>
      </c>
      <c r="AJ79" s="161">
        <f ca="1">IF(($B79-AG79*IF(ISBLANK(Design!$B$40),Constants!$C$6,Design!$B$40)/1000*(1+Constants!$C$29/100*(AR79-25))-Design!$C$28)/(IF(ISBLANK(Design!$B$39),Design!$B$38,Design!$B$39)/1000000)*AI79/100/(IF(ISBLANK(Design!$B$32),Design!$B$31,Design!$B$32)*1000000)&lt;0,0,($B79-AG79*IF(ISBLANK(Design!$B$40),Constants!$C$6,Design!$B$40)/1000*(1+Constants!$C$29/100*(AR79-25))-Design!$C$28)/(IF(ISBLANK(Design!$B$39),Design!$B$38,Design!$B$39)/1000000)*AI79/100/(IF(ISBLANK(Design!$B$32),Design!$B$31,Design!$B$32)*1000000))</f>
        <v>0.27263390265952309</v>
      </c>
      <c r="AK79" s="161">
        <f>$B79*Constants!$C$18/1000+IF(ISBLANK(Design!$B$32),Design!$B$31,Design!$B$32)*1000000*Constants!$D$22/1000000000*(IF($B79&lt;Constants!$C$21,0,$B79-Constants!$C$21))</f>
        <v>1.6128E-4</v>
      </c>
      <c r="AL79" s="239">
        <f>$B79*AG79*($B79/(Constants!$C$23*1000000000)*IF(ISBLANK(Design!$B$32),Design!$B$31,Design!$B$32)*1000000/2+$B79/(Constants!$C$24*1000000000)*IF(ISBLANK(Design!$B$32),Design!$B$31,Design!$B$32)*1000000/2)</f>
        <v>1.3821629629629635E-2</v>
      </c>
      <c r="AM79" s="239">
        <f t="shared" ca="1" si="17"/>
        <v>0.23698790789769575</v>
      </c>
      <c r="AN79" s="239">
        <f>Constants!$D$22/1000000000*Constants!$C$21*IF(ISBLANK(Design!$B$32),Design!$B$31,Design!$B$32)*1000000</f>
        <v>1.2499999999999999E-2</v>
      </c>
      <c r="AO79" s="239">
        <f t="shared" ca="1" si="26"/>
        <v>0.26347081752732537</v>
      </c>
      <c r="AP79" s="239">
        <f t="shared" ca="1" si="23"/>
        <v>7.6540198475371385E-2</v>
      </c>
      <c r="AQ79" s="240">
        <f ca="1">$A79+AP79*Design!$B$19</f>
        <v>89.362791313096167</v>
      </c>
      <c r="AR79" s="240">
        <f ca="1">AO79*Design!$C$12+$A79</f>
        <v>93.958007795929063</v>
      </c>
      <c r="AS79" s="240">
        <f ca="1">Constants!$D$19+Constants!$D$19*Constants!$C$20/100*(AR79-25)</f>
        <v>216.1996874840919</v>
      </c>
      <c r="AT79" s="239">
        <f ca="1">(1-Constants!$D$17/1000000000*Design!$B$32*1000000) * ($B79+AH79-AG79*AS79/1000) - (AH79+AG79*(1+($A79-25)*Constants!$C$29/100)*IF(ISBLANK(Design!$B$40),Constants!$C$6/1000,Design!$B$40/1000))</f>
        <v>3.8342445439239752</v>
      </c>
      <c r="AU79" s="342">
        <f ca="1">IF(AT79&gt;Design!$C$28,Design!$C$28,AT79)</f>
        <v>3.2940895522388054</v>
      </c>
    </row>
    <row r="80" spans="1:47" ht="12.75" customHeight="1" x14ac:dyDescent="0.25">
      <c r="A80" s="154">
        <f>Design!$D$13</f>
        <v>85</v>
      </c>
      <c r="B80" s="155">
        <f t="shared" si="14"/>
        <v>4.2450000000000001</v>
      </c>
      <c r="C80" s="156">
        <f>Design!$D$6</f>
        <v>3.5</v>
      </c>
      <c r="D80" s="156">
        <f ca="1">FORECAST(C80, OFFSET(Design!$C$15:$C$17,MATCH(C80,Design!$B$15:$B$17,1)-1,0,2), OFFSET(Design!$B$15:$B$17,MATCH(C80,Design!$B$15:$B$17,1)-1,0,2))+(M80-25)*Design!$B$18/1000</f>
        <v>0.43317903908512589</v>
      </c>
      <c r="E80" s="215">
        <f ca="1">IF(100*(Design!$C$28+D80+C80*IF(ISBLANK(Design!$B$40),Constants!$C$6,Design!$B$40)/1000*(1+Constants!$C$29/100*(N80-25)))/($B80+D80-C80*O80/1000)&gt;Design!$C$35,Design!$C$35,100*(Design!$C$28+D80+C80*IF(ISBLANK(Design!$B$40),Constants!$C$6,Design!$B$40)/1000*(1+Constants!$C$29/100*(N80-25)))/($B80+D80-C80*O80/1000))</f>
        <v>95</v>
      </c>
      <c r="F80" s="157">
        <f ca="1">IF(($B80-C80*IF(ISBLANK(Design!$B$40),Constants!$C$6,Design!$B$40)/1000*(1+Constants!$C$29/100*(N80-25))-Design!$C$28)/(IF(ISBLANK(Design!$B$39),Design!$B$38,Design!$B$39)/1000000)*E80/100/(IF(ISBLANK(Design!$B$32),Design!$B$31,Design!$B$32)*1000000)&lt;0,0,($B80-C80*IF(ISBLANK(Design!$B$40),Constants!$C$6,Design!$B$40)/1000*(1+Constants!$C$29/100*(N80-25))-Design!$C$28)/(IF(ISBLANK(Design!$B$39),Design!$B$38,Design!$B$39)/1000000)*E80/100/(IF(ISBLANK(Design!$B$32),Design!$B$31,Design!$B$32)*1000000))</f>
        <v>0.23112724947000732</v>
      </c>
      <c r="G80" s="207">
        <f>$B80*Constants!$C$18/1000+IF(ISBLANK(Design!$B$32),Design!$B$31,Design!$B$32)*1000000*Constants!$D$22/1000000000*(IF($B80&lt;Constants!$C$21,0,$B80-Constants!$C$21))</f>
        <v>1.5281999999999999E-4</v>
      </c>
      <c r="H80" s="207">
        <f>B80*C80*(B80/(Constants!$C$23*1000000000)*IF(ISBLANK(Design!$B$32),Design!$B$31,Design!$B$32)*1000000/2+B80/(Constants!$C$24*1000000000)*IF(ISBLANK(Design!$B$32),Design!$B$31,Design!$B$32)*1000000/2)</f>
        <v>3.7228871093749998E-2</v>
      </c>
      <c r="I80" s="207">
        <f t="shared" ca="1" si="15"/>
        <v>3.9285845885603146</v>
      </c>
      <c r="J80" s="207">
        <f>Constants!$D$22/1000000000*Constants!$C$21*IF(ISBLANK(Design!$B$32),Design!$B$31,Design!$B$32)*1000000</f>
        <v>1.2499999999999999E-2</v>
      </c>
      <c r="K80" s="207">
        <f t="shared" ca="1" si="24"/>
        <v>3.9784662796540649</v>
      </c>
      <c r="L80" s="207">
        <f t="shared" ca="1" si="19"/>
        <v>7.5806331839897101E-2</v>
      </c>
      <c r="M80" s="208">
        <f ca="1">$A80+L80*Design!$B$19</f>
        <v>89.320960914874135</v>
      </c>
      <c r="N80" s="208">
        <f ca="1">K80*Design!$C$12+A80</f>
        <v>220.2678535082382</v>
      </c>
      <c r="O80" s="208">
        <f ca="1">Constants!$D$19+Constants!$D$19*Constants!$C$20/100*(N80-25)</f>
        <v>337.45713936790867</v>
      </c>
      <c r="P80" s="207">
        <f ca="1">(1-Constants!$D$17/1000000000*Design!$B$32*1000000) * ($B80+D80-C80*O80/1000) - (D80+C80*(1+($A80-25)*Constants!$C$29/100)*IF(ISBLANK(Design!$B$40),Constants!$C$6/1000,Design!$B$40/1000))</f>
        <v>2.6976276881085246</v>
      </c>
      <c r="Q80" s="213">
        <f ca="1">IF(P80&gt;Design!$C$28,Design!$C$28,P80)</f>
        <v>2.6976276881085246</v>
      </c>
      <c r="R80" s="335">
        <f>2*Design!$D$6/3</f>
        <v>2.3333333333333335</v>
      </c>
      <c r="S80" s="158">
        <f ca="1">FORECAST(R80, OFFSET(Design!$C$15:$C$17,MATCH(R80,Design!$B$15:$B$17,1)-1,0,2), OFFSET(Design!$B$15:$B$17,MATCH(R80,Design!$B$15:$B$17,1)-1,0,2))+(AB80-25)*Design!$B$18/1000</f>
        <v>0.40434118204132447</v>
      </c>
      <c r="T80" s="224">
        <f ca="1">IF(100*(Design!$C$28+S80+R80*IF(ISBLANK(Design!$B$40),Constants!$C$6,Design!$B$40)/1000*(1+Constants!$C$29/100*(AC80-25)))/($B80+S80-R80*AD80/1000)&gt;Design!$C$35,Design!$C$35,100*(Design!$C$28+S80+R80*IF(ISBLANK(Design!$B$40),Constants!$C$6,Design!$B$40)/1000*(1+Constants!$C$29/100*(AC80-25)))/($B80+S80-R80*AD80/1000))</f>
        <v>92.576522881901553</v>
      </c>
      <c r="U80" s="159">
        <f ca="1">IF(($B80-R80*IF(ISBLANK(Design!$B$40),Constants!$C$6,Design!$B$40)/1000*(1+Constants!$C$29/100*(AC80-25))-Design!$C$28)/(IF(ISBLANK(Design!$B$39),Design!$B$38,Design!$B$39)/1000000)*T80/100/(IF(ISBLANK(Design!$B$32),Design!$B$31,Design!$B$32)*1000000)&lt;0,0,($B80-R80*IF(ISBLANK(Design!$B$40),Constants!$C$6,Design!$B$40)/1000*(1+Constants!$C$29/100*(AC80-25))-Design!$C$28)/(IF(ISBLANK(Design!$B$39),Design!$B$38,Design!$B$39)/1000000)*T80/100/(IF(ISBLANK(Design!$B$32),Design!$B$31,Design!$B$32)*1000000))</f>
        <v>0.24100998561339931</v>
      </c>
      <c r="V80" s="159">
        <f>$B80*Constants!$C$18/1000+IF(ISBLANK(Design!$B$32),Design!$B$31,Design!$B$32)*1000000*Constants!$D$22/1000000000*(IF($B80&lt;Constants!$C$21,0,$B80-Constants!$C$21))</f>
        <v>1.5281999999999999E-4</v>
      </c>
      <c r="W80" s="225">
        <f>$B80*R80*($B80/(Constants!$C$23*1000000000)*IF(ISBLANK(Design!$B$32),Design!$B$31,Design!$B$32)*1000000/2+$B80/(Constants!$C$24*1000000000)*IF(ISBLANK(Design!$B$32),Design!$B$31,Design!$B$32)*1000000/2)</f>
        <v>2.4819247395833334E-2</v>
      </c>
      <c r="X80" s="225">
        <f t="shared" ca="1" si="16"/>
        <v>1.2611190759052591</v>
      </c>
      <c r="Y80" s="225">
        <f>Constants!$D$22/1000000000*Constants!$C$21*IF(ISBLANK(Design!$B$32),Design!$B$31,Design!$B$32)*1000000</f>
        <v>1.2499999999999999E-2</v>
      </c>
      <c r="Z80" s="225">
        <f t="shared" ca="1" si="25"/>
        <v>1.2985911433010924</v>
      </c>
      <c r="AA80" s="225">
        <f t="shared" ca="1" si="21"/>
        <v>7.0037741965068484E-2</v>
      </c>
      <c r="AB80" s="226">
        <f ca="1">$A80+AA80*Design!$B$19</f>
        <v>88.992151292008899</v>
      </c>
      <c r="AC80" s="226">
        <f ca="1">Z80*Design!$C$12+$A80</f>
        <v>129.15209887223713</v>
      </c>
      <c r="AD80" s="226">
        <f ca="1">Constants!$D$19+Constants!$D$19*Constants!$C$20/100*(AC80-25)</f>
        <v>249.98601491734763</v>
      </c>
      <c r="AE80" s="225">
        <f ca="1">(1-Constants!$D$17/1000000000*Design!$B$32*1000000) * ($B80+S80-R80*AD80/1000) - (S80+R80*(1+($A80-25)*Constants!$C$29/100)*IF(ISBLANK(Design!$B$40),Constants!$C$6/1000,Design!$B$40/1000))</f>
        <v>3.2787453934141215</v>
      </c>
      <c r="AF80" s="339">
        <f ca="1">IF(AE80&gt;Design!$C$28,Design!$C$28,AE80)</f>
        <v>3.2787453934141215</v>
      </c>
      <c r="AG80" s="237">
        <f>Design!$D$6/3</f>
        <v>1.1666666666666667</v>
      </c>
      <c r="AH80" s="160">
        <f ca="1">FORECAST(AG80, OFFSET(Design!$C$15:$C$17,MATCH(AG80,Design!$B$15:$B$17,1)-1,0,2), OFFSET(Design!$B$15:$B$17,MATCH(AG80,Design!$B$15:$B$17,1)-1,0,2))+(AQ80-25)*Design!$B$18/1000</f>
        <v>0.33177406075509652</v>
      </c>
      <c r="AI80" s="238">
        <f ca="1">IF(100*(Design!$C$28+AH80+AG80*IF(ISBLANK(Design!$B$40),Constants!$C$6,Design!$B$40)/1000*(1+Constants!$C$29/100*(AR80-25)))/($B80+AH80-AG80*AS80/1000)&gt;Design!$C$35,Design!$C$35,100*(Design!$C$28+AH80+AG80*IF(ISBLANK(Design!$B$40),Constants!$C$6,Design!$B$40)/1000*(1+Constants!$C$29/100*(AR80-25)))/($B80+AH80-AG80*AS80/1000))</f>
        <v>84.539145677900393</v>
      </c>
      <c r="AJ80" s="161">
        <f ca="1">IF(($B80-AG80*IF(ISBLANK(Design!$B$40),Constants!$C$6,Design!$B$40)/1000*(1+Constants!$C$29/100*(AR80-25))-Design!$C$28)/(IF(ISBLANK(Design!$B$39),Design!$B$38,Design!$B$39)/1000000)*AI80/100/(IF(ISBLANK(Design!$B$32),Design!$B$31,Design!$B$32)*1000000)&lt;0,0,($B80-AG80*IF(ISBLANK(Design!$B$40),Constants!$C$6,Design!$B$40)/1000*(1+Constants!$C$29/100*(AR80-25))-Design!$C$28)/(IF(ISBLANK(Design!$B$39),Design!$B$38,Design!$B$39)/1000000)*AI80/100/(IF(ISBLANK(Design!$B$32),Design!$B$31,Design!$B$32)*1000000))</f>
        <v>0.22905570465529773</v>
      </c>
      <c r="AK80" s="161">
        <f>$B80*Constants!$C$18/1000+IF(ISBLANK(Design!$B$32),Design!$B$31,Design!$B$32)*1000000*Constants!$D$22/1000000000*(IF($B80&lt;Constants!$C$21,0,$B80-Constants!$C$21))</f>
        <v>1.5281999999999999E-4</v>
      </c>
      <c r="AL80" s="239">
        <f>$B80*AG80*($B80/(Constants!$C$23*1000000000)*IF(ISBLANK(Design!$B$32),Design!$B$31,Design!$B$32)*1000000/2+$B80/(Constants!$C$24*1000000000)*IF(ISBLANK(Design!$B$32),Design!$B$31,Design!$B$32)*1000000/2)</f>
        <v>1.2409623697916667E-2</v>
      </c>
      <c r="AM80" s="239">
        <f t="shared" ca="1" si="17"/>
        <v>0.25001116301507864</v>
      </c>
      <c r="AN80" s="239">
        <f>Constants!$D$22/1000000000*Constants!$C$21*IF(ISBLANK(Design!$B$32),Design!$B$31,Design!$B$32)*1000000</f>
        <v>1.2499999999999999E-2</v>
      </c>
      <c r="AO80" s="239">
        <f t="shared" ca="1" si="26"/>
        <v>0.2750736067129953</v>
      </c>
      <c r="AP80" s="239">
        <f t="shared" ca="1" si="23"/>
        <v>5.9844288247169662E-2</v>
      </c>
      <c r="AQ80" s="240">
        <f ca="1">$A80+AP80*Design!$B$19</f>
        <v>88.411124430088677</v>
      </c>
      <c r="AR80" s="240">
        <f ca="1">AO80*Design!$C$12+$A80</f>
        <v>94.352502628241837</v>
      </c>
      <c r="AS80" s="240">
        <f ca="1">Constants!$D$19+Constants!$D$19*Constants!$C$20/100*(AR80-25)</f>
        <v>216.57840252311217</v>
      </c>
      <c r="AT80" s="239">
        <f ca="1">(1-Constants!$D$17/1000000000*Design!$B$32*1000000) * ($B80+AH80-AG80*AS80/1000) - (AH80+AG80*(1+($A80-25)*Constants!$C$29/100)*IF(ISBLANK(Design!$B$40),Constants!$C$6/1000,Design!$B$40/1000))</f>
        <v>3.6175619230981191</v>
      </c>
      <c r="AU80" s="342">
        <f ca="1">IF(AT80&gt;Design!$C$28,Design!$C$28,AT80)</f>
        <v>3.2940895522388054</v>
      </c>
    </row>
    <row r="81" spans="1:47" ht="12.75" customHeight="1" x14ac:dyDescent="0.25">
      <c r="A81" s="154">
        <f>Design!$D$13</f>
        <v>85</v>
      </c>
      <c r="B81" s="155">
        <f t="shared" si="14"/>
        <v>4.01</v>
      </c>
      <c r="C81" s="156">
        <f>Design!$D$6</f>
        <v>3.5</v>
      </c>
      <c r="D81" s="156">
        <f ca="1">FORECAST(C81, OFFSET(Design!$C$15:$C$17,MATCH(C81,Design!$B$15:$B$17,1)-1,0,2), OFFSET(Design!$B$15:$B$17,MATCH(C81,Design!$B$15:$B$17,1)-1,0,2))+(M81-25)*Design!$B$18/1000</f>
        <v>0.43317903908512589</v>
      </c>
      <c r="E81" s="215">
        <f ca="1">IF(100*(Design!$C$28+D81+C81*IF(ISBLANK(Design!$B$40),Constants!$C$6,Design!$B$40)/1000*(1+Constants!$C$29/100*(N81-25)))/($B81+D81-C81*O81/1000)&gt;Design!$C$35,Design!$C$35,100*(Design!$C$28+D81+C81*IF(ISBLANK(Design!$B$40),Constants!$C$6,Design!$B$40)/1000*(1+Constants!$C$29/100*(N81-25)))/($B81+D81-C81*O81/1000))</f>
        <v>95</v>
      </c>
      <c r="F81" s="157">
        <f ca="1">IF(($B81-C81*IF(ISBLANK(Design!$B$40),Constants!$C$6,Design!$B$40)/1000*(1+Constants!$C$29/100*(N81-25))-Design!$C$28)/(IF(ISBLANK(Design!$B$39),Design!$B$38,Design!$B$39)/1000000)*E81/100/(IF(ISBLANK(Design!$B$32),Design!$B$31,Design!$B$32)*1000000)&lt;0,0,($B81-C81*IF(ISBLANK(Design!$B$40),Constants!$C$6,Design!$B$40)/1000*(1+Constants!$C$29/100*(N81-25))-Design!$C$28)/(IF(ISBLANK(Design!$B$39),Design!$B$38,Design!$B$39)/1000000)*E81/100/(IF(ISBLANK(Design!$B$32),Design!$B$31,Design!$B$32)*1000000))</f>
        <v>0.1654853435796218</v>
      </c>
      <c r="G81" s="207">
        <f>$B81*Constants!$C$18/1000+IF(ISBLANK(Design!$B$32),Design!$B$31,Design!$B$32)*1000000*Constants!$D$22/1000000000*(IF($B81&lt;Constants!$C$21,0,$B81-Constants!$C$21))</f>
        <v>1.4435999999999998E-4</v>
      </c>
      <c r="H81" s="207">
        <f>B81*C81*(B81/(Constants!$C$23*1000000000)*IF(ISBLANK(Design!$B$32),Design!$B$31,Design!$B$32)*1000000/2+B81/(Constants!$C$24*1000000000)*IF(ISBLANK(Design!$B$32),Design!$B$31,Design!$B$32)*1000000/2)</f>
        <v>3.3221039930555557E-2</v>
      </c>
      <c r="I81" s="207">
        <f t="shared" ca="1" si="15"/>
        <v>3.9250021824088179</v>
      </c>
      <c r="J81" s="207">
        <f>Constants!$D$22/1000000000*Constants!$C$21*IF(ISBLANK(Design!$B$32),Design!$B$31,Design!$B$32)*1000000</f>
        <v>1.2499999999999999E-2</v>
      </c>
      <c r="K81" s="207">
        <f t="shared" ca="1" si="24"/>
        <v>3.9708675823393738</v>
      </c>
      <c r="L81" s="207">
        <f t="shared" ca="1" si="19"/>
        <v>7.5806331839897101E-2</v>
      </c>
      <c r="M81" s="208">
        <f ca="1">$A81+L81*Design!$B$19</f>
        <v>89.320960914874135</v>
      </c>
      <c r="N81" s="208">
        <f ca="1">K81*Design!$C$12+A81</f>
        <v>220.00949779953871</v>
      </c>
      <c r="O81" s="208">
        <f ca="1">Constants!$D$19+Constants!$D$19*Constants!$C$20/100*(N81-25)</f>
        <v>337.20911788755711</v>
      </c>
      <c r="P81" s="207">
        <f ca="1">(1-Constants!$D$17/1000000000*Design!$B$32*1000000) * ($B81+D81-C81*O81/1000) - (D81+C81*(1+($A81-25)*Constants!$C$29/100)*IF(ISBLANK(Design!$B$40),Constants!$C$6/1000,Design!$B$40/1000))</f>
        <v>2.4822263172752561</v>
      </c>
      <c r="Q81" s="213">
        <f ca="1">IF(P81&gt;Design!$C$28,Design!$C$28,P81)</f>
        <v>2.4822263172752561</v>
      </c>
      <c r="R81" s="335">
        <f>2*Design!$D$6/3</f>
        <v>2.3333333333333335</v>
      </c>
      <c r="S81" s="158">
        <f ca="1">FORECAST(R81, OFFSET(Design!$C$15:$C$17,MATCH(R81,Design!$B$15:$B$17,1)-1,0,2), OFFSET(Design!$B$15:$B$17,MATCH(R81,Design!$B$15:$B$17,1)-1,0,2))+(AB81-25)*Design!$B$18/1000</f>
        <v>0.40563585489825993</v>
      </c>
      <c r="T81" s="224">
        <f ca="1">IF(100*(Design!$C$28+S81+R81*IF(ISBLANK(Design!$B$40),Constants!$C$6,Design!$B$40)/1000*(1+Constants!$C$29/100*(AC81-25)))/($B81+S81-R81*AD81/1000)&gt;Design!$C$35,Design!$C$35,100*(Design!$C$28+S81+R81*IF(ISBLANK(Design!$B$40),Constants!$C$6,Design!$B$40)/1000*(1+Constants!$C$29/100*(AC81-25)))/($B81+S81-R81*AD81/1000))</f>
        <v>95</v>
      </c>
      <c r="U81" s="159">
        <f ca="1">IF(($B81-R81*IF(ISBLANK(Design!$B$40),Constants!$C$6,Design!$B$40)/1000*(1+Constants!$C$29/100*(AC81-25))-Design!$C$28)/(IF(ISBLANK(Design!$B$39),Design!$B$38,Design!$B$39)/1000000)*T81/100/(IF(ISBLANK(Design!$B$32),Design!$B$31,Design!$B$32)*1000000)&lt;0,0,($B81-R81*IF(ISBLANK(Design!$B$40),Constants!$C$6,Design!$B$40)/1000*(1+Constants!$C$29/100*(AC81-25))-Design!$C$28)/(IF(ISBLANK(Design!$B$39),Design!$B$38,Design!$B$39)/1000000)*T81/100/(IF(ISBLANK(Design!$B$32),Design!$B$31,Design!$B$32)*1000000))</f>
        <v>0.18159485455905344</v>
      </c>
      <c r="V81" s="159">
        <f>$B81*Constants!$C$18/1000+IF(ISBLANK(Design!$B$32),Design!$B$31,Design!$B$32)*1000000*Constants!$D$22/1000000000*(IF($B81&lt;Constants!$C$21,0,$B81-Constants!$C$21))</f>
        <v>1.4435999999999998E-4</v>
      </c>
      <c r="W81" s="225">
        <f>$B81*R81*($B81/(Constants!$C$23*1000000000)*IF(ISBLANK(Design!$B$32),Design!$B$31,Design!$B$32)*1000000/2+$B81/(Constants!$C$24*1000000000)*IF(ISBLANK(Design!$B$32),Design!$B$31,Design!$B$32)*1000000/2)</f>
        <v>2.2147359953703705E-2</v>
      </c>
      <c r="X81" s="225">
        <f t="shared" ca="1" si="16"/>
        <v>1.2996996283687712</v>
      </c>
      <c r="Y81" s="225">
        <f>Constants!$D$22/1000000000*Constants!$C$21*IF(ISBLANK(Design!$B$32),Design!$B$31,Design!$B$32)*1000000</f>
        <v>1.2499999999999999E-2</v>
      </c>
      <c r="Z81" s="225">
        <f t="shared" ca="1" si="25"/>
        <v>1.3344913483224747</v>
      </c>
      <c r="AA81" s="225">
        <f t="shared" ca="1" si="21"/>
        <v>4.7324183071463702E-2</v>
      </c>
      <c r="AB81" s="226">
        <f ca="1">$A81+AA81*Design!$B$19</f>
        <v>87.697478435073435</v>
      </c>
      <c r="AC81" s="226">
        <f ca="1">Z81*Design!$C$12+$A81</f>
        <v>130.37270584296414</v>
      </c>
      <c r="AD81" s="226">
        <f ca="1">Constants!$D$19+Constants!$D$19*Constants!$C$20/100*(AC81-25)</f>
        <v>251.15779760924556</v>
      </c>
      <c r="AE81" s="225">
        <f ca="1">(1-Constants!$D$17/1000000000*Design!$B$32*1000000) * ($B81+S81-R81*AD81/1000) - (S81+R81*(1+($A81-25)*Constants!$C$29/100)*IF(ISBLANK(Design!$B$40),Constants!$C$6/1000,Design!$B$40/1000))</f>
        <v>3.0599263927402922</v>
      </c>
      <c r="AF81" s="339">
        <f ca="1">IF(AE81&gt;Design!$C$28,Design!$C$28,AE81)</f>
        <v>3.0599263927402922</v>
      </c>
      <c r="AG81" s="237">
        <f>Design!$D$6/3</f>
        <v>1.1666666666666667</v>
      </c>
      <c r="AH81" s="160">
        <f ca="1">FORECAST(AG81, OFFSET(Design!$C$15:$C$17,MATCH(AG81,Design!$B$15:$B$17,1)-1,0,2), OFFSET(Design!$B$15:$B$17,MATCH(AG81,Design!$B$15:$B$17,1)-1,0,2))+(AQ81-25)*Design!$B$18/1000</f>
        <v>0.3328417348806102</v>
      </c>
      <c r="AI81" s="238">
        <f ca="1">IF(100*(Design!$C$28+AH81+AG81*IF(ISBLANK(Design!$B$40),Constants!$C$6,Design!$B$40)/1000*(1+Constants!$C$29/100*(AR81-25)))/($B81+AH81-AG81*AS81/1000)&gt;Design!$C$35,Design!$C$35,100*(Design!$C$28+AH81+AG81*IF(ISBLANK(Design!$B$40),Constants!$C$6,Design!$B$40)/1000*(1+Constants!$C$29/100*(AR81-25)))/($B81+AH81-AG81*AS81/1000))</f>
        <v>89.412429238545982</v>
      </c>
      <c r="AJ81" s="161">
        <f ca="1">IF(($B81-AG81*IF(ISBLANK(Design!$B$40),Constants!$C$6,Design!$B$40)/1000*(1+Constants!$C$29/100*(AR81-25))-Design!$C$28)/(IF(ISBLANK(Design!$B$39),Design!$B$38,Design!$B$39)/1000000)*AI81/100/(IF(ISBLANK(Design!$B$32),Design!$B$31,Design!$B$32)*1000000)&lt;0,0,($B81-AG81*IF(ISBLANK(Design!$B$40),Constants!$C$6,Design!$B$40)/1000*(1+Constants!$C$29/100*(AR81-25))-Design!$C$28)/(IF(ISBLANK(Design!$B$39),Design!$B$38,Design!$B$39)/1000000)*AI81/100/(IF(ISBLANK(Design!$B$32),Design!$B$31,Design!$B$32)*1000000))</f>
        <v>0.18044903578704513</v>
      </c>
      <c r="AK81" s="161">
        <f>$B81*Constants!$C$18/1000+IF(ISBLANK(Design!$B$32),Design!$B$31,Design!$B$32)*1000000*Constants!$D$22/1000000000*(IF($B81&lt;Constants!$C$21,0,$B81-Constants!$C$21))</f>
        <v>1.4435999999999998E-4</v>
      </c>
      <c r="AL81" s="239">
        <f>$B81*AG81*($B81/(Constants!$C$23*1000000000)*IF(ISBLANK(Design!$B$32),Design!$B$31,Design!$B$32)*1000000/2+$B81/(Constants!$C$24*1000000000)*IF(ISBLANK(Design!$B$32),Design!$B$31,Design!$B$32)*1000000/2)</f>
        <v>1.1073679976851852E-2</v>
      </c>
      <c r="AM81" s="239">
        <f t="shared" ca="1" si="17"/>
        <v>0.26463028310384962</v>
      </c>
      <c r="AN81" s="239">
        <f>Constants!$D$22/1000000000*Constants!$C$21*IF(ISBLANK(Design!$B$32),Design!$B$31,Design!$B$32)*1000000</f>
        <v>1.2499999999999999E-2</v>
      </c>
      <c r="AO81" s="239">
        <f t="shared" ca="1" si="26"/>
        <v>0.28834832308070146</v>
      </c>
      <c r="AP81" s="239">
        <f t="shared" ca="1" si="23"/>
        <v>4.1113163238158397E-2</v>
      </c>
      <c r="AQ81" s="240">
        <f ca="1">$A81+AP81*Design!$B$19</f>
        <v>87.343450304575029</v>
      </c>
      <c r="AR81" s="240">
        <f ca="1">AO81*Design!$C$12+$A81</f>
        <v>94.803842984743852</v>
      </c>
      <c r="AS81" s="240">
        <f ca="1">Constants!$D$19+Constants!$D$19*Constants!$C$20/100*(AR81-25)</f>
        <v>217.01168926535411</v>
      </c>
      <c r="AT81" s="239">
        <f ca="1">(1-Constants!$D$17/1000000000*Design!$B$32*1000000) * ($B81+AH81-AG81*AS81/1000) - (AH81+AG81*(1+($A81-25)*Constants!$C$29/100)*IF(ISBLANK(Design!$B$40),Constants!$C$6/1000,Design!$B$40/1000))</f>
        <v>3.4008114480647373</v>
      </c>
      <c r="AU81" s="342">
        <f ca="1">IF(AT81&gt;Design!$C$28,Design!$C$28,AT81)</f>
        <v>3.2940895522388054</v>
      </c>
    </row>
    <row r="82" spans="1:47" ht="12.75" customHeight="1" x14ac:dyDescent="0.25">
      <c r="A82" s="154">
        <f>Design!$D$13</f>
        <v>85</v>
      </c>
      <c r="B82" s="155">
        <f t="shared" si="14"/>
        <v>3.7749999999999995</v>
      </c>
      <c r="C82" s="156">
        <f>Design!$D$6</f>
        <v>3.5</v>
      </c>
      <c r="D82" s="156">
        <f ca="1">FORECAST(C82, OFFSET(Design!$C$15:$C$17,MATCH(C82,Design!$B$15:$B$17,1)-1,0,2), OFFSET(Design!$B$15:$B$17,MATCH(C82,Design!$B$15:$B$17,1)-1,0,2))+(M82-25)*Design!$B$18/1000</f>
        <v>0.43317903908512589</v>
      </c>
      <c r="E82" s="215">
        <f ca="1">IF(100*(Design!$C$28+D82+C82*IF(ISBLANK(Design!$B$40),Constants!$C$6,Design!$B$40)/1000*(1+Constants!$C$29/100*(N82-25)))/($B82+D82-C82*O82/1000)&gt;Design!$C$35,Design!$C$35,100*(Design!$C$28+D82+C82*IF(ISBLANK(Design!$B$40),Constants!$C$6,Design!$B$40)/1000*(1+Constants!$C$29/100*(N82-25)))/($B82+D82-C82*O82/1000))</f>
        <v>95</v>
      </c>
      <c r="F82" s="157">
        <f ca="1">IF(($B82-C82*IF(ISBLANK(Design!$B$40),Constants!$C$6,Design!$B$40)/1000*(1+Constants!$C$29/100*(N82-25))-Design!$C$28)/(IF(ISBLANK(Design!$B$39),Design!$B$38,Design!$B$39)/1000000)*E82/100/(IF(ISBLANK(Design!$B$32),Design!$B$31,Design!$B$32)*1000000)&lt;0,0,($B82-C82*IF(ISBLANK(Design!$B$40),Constants!$C$6,Design!$B$40)/1000*(1+Constants!$C$29/100*(N82-25))-Design!$C$28)/(IF(ISBLANK(Design!$B$39),Design!$B$38,Design!$B$39)/1000000)*E82/100/(IF(ISBLANK(Design!$B$32),Design!$B$31,Design!$B$32)*1000000))</f>
        <v>9.9841502925741746E-2</v>
      </c>
      <c r="G82" s="207">
        <f>$B82*Constants!$C$18/1000+IF(ISBLANK(Design!$B$32),Design!$B$31,Design!$B$32)*1000000*Constants!$D$22/1000000000*(IF($B82&lt;Constants!$C$21,0,$B82-Constants!$C$21))</f>
        <v>1.3589999999999997E-4</v>
      </c>
      <c r="H82" s="207">
        <f>B82*C82*(B82/(Constants!$C$23*1000000000)*IF(ISBLANK(Design!$B$32),Design!$B$31,Design!$B$32)*1000000/2+B82/(Constants!$C$24*1000000000)*IF(ISBLANK(Design!$B$32),Design!$B$31,Design!$B$32)*1000000/2)</f>
        <v>2.9441395399305546E-2</v>
      </c>
      <c r="I82" s="207">
        <f t="shared" ca="1" si="15"/>
        <v>3.9219318997498069</v>
      </c>
      <c r="J82" s="207">
        <f>Constants!$D$22/1000000000*Constants!$C$21*IF(ISBLANK(Design!$B$32),Design!$B$31,Design!$B$32)*1000000</f>
        <v>1.2499999999999999E-2</v>
      </c>
      <c r="K82" s="207">
        <f t="shared" ca="1" si="24"/>
        <v>3.9640091951491128</v>
      </c>
      <c r="L82" s="207">
        <f t="shared" ca="1" si="19"/>
        <v>7.5806331839897101E-2</v>
      </c>
      <c r="M82" s="208">
        <f ca="1">$A82+L82*Design!$B$19</f>
        <v>89.320960914874135</v>
      </c>
      <c r="N82" s="208">
        <f ca="1">K82*Design!$C$12+A82</f>
        <v>219.77631263506984</v>
      </c>
      <c r="O82" s="208">
        <f ca="1">Constants!$D$19+Constants!$D$19*Constants!$C$20/100*(N82-25)</f>
        <v>336.98526012966704</v>
      </c>
      <c r="P82" s="207">
        <f ca="1">(1-Constants!$D$17/1000000000*Design!$B$32*1000000) * ($B82+D82-C82*O82/1000) - (D82+C82*(1+($A82-25)*Constants!$C$29/100)*IF(ISBLANK(Design!$B$40),Constants!$C$6/1000,Design!$B$40/1000))</f>
        <v>2.2667471392556622</v>
      </c>
      <c r="Q82" s="213">
        <f ca="1">IF(P82&gt;Design!$C$28,Design!$C$28,P82)</f>
        <v>2.2667471392556622</v>
      </c>
      <c r="R82" s="335">
        <f>2*Design!$D$6/3</f>
        <v>2.3333333333333335</v>
      </c>
      <c r="S82" s="158">
        <f ca="1">FORECAST(R82, OFFSET(Design!$C$15:$C$17,MATCH(R82,Design!$B$15:$B$17,1)-1,0,2), OFFSET(Design!$B$15:$B$17,MATCH(R82,Design!$B$15:$B$17,1)-1,0,2))+(AB82-25)*Design!$B$18/1000</f>
        <v>0.40563585489825993</v>
      </c>
      <c r="T82" s="224">
        <f ca="1">IF(100*(Design!$C$28+S82+R82*IF(ISBLANK(Design!$B$40),Constants!$C$6,Design!$B$40)/1000*(1+Constants!$C$29/100*(AC82-25)))/($B82+S82-R82*AD82/1000)&gt;Design!$C$35,Design!$C$35,100*(Design!$C$28+S82+R82*IF(ISBLANK(Design!$B$40),Constants!$C$6,Design!$B$40)/1000*(1+Constants!$C$29/100*(AC82-25)))/($B82+S82-R82*AD82/1000))</f>
        <v>95</v>
      </c>
      <c r="U82" s="159">
        <f ca="1">IF(($B82-R82*IF(ISBLANK(Design!$B$40),Constants!$C$6,Design!$B$40)/1000*(1+Constants!$C$29/100*(AC82-25))-Design!$C$28)/(IF(ISBLANK(Design!$B$39),Design!$B$38,Design!$B$39)/1000000)*T82/100/(IF(ISBLANK(Design!$B$32),Design!$B$31,Design!$B$32)*1000000)&lt;0,0,($B82-R82*IF(ISBLANK(Design!$B$40),Constants!$C$6,Design!$B$40)/1000*(1+Constants!$C$29/100*(AC82-25))-Design!$C$28)/(IF(ISBLANK(Design!$B$39),Design!$B$38,Design!$B$39)/1000000)*T82/100/(IF(ISBLANK(Design!$B$32),Design!$B$31,Design!$B$32)*1000000))</f>
        <v>0.11593920391004039</v>
      </c>
      <c r="V82" s="159">
        <f>$B82*Constants!$C$18/1000+IF(ISBLANK(Design!$B$32),Design!$B$31,Design!$B$32)*1000000*Constants!$D$22/1000000000*(IF($B82&lt;Constants!$C$21,0,$B82-Constants!$C$21))</f>
        <v>1.3589999999999997E-4</v>
      </c>
      <c r="W82" s="225">
        <f>$B82*R82*($B82/(Constants!$C$23*1000000000)*IF(ISBLANK(Design!$B$32),Design!$B$31,Design!$B$32)*1000000/2+$B82/(Constants!$C$24*1000000000)*IF(ISBLANK(Design!$B$32),Design!$B$31,Design!$B$32)*1000000/2)</f>
        <v>1.9627596932870361E-2</v>
      </c>
      <c r="X82" s="225">
        <f t="shared" ca="1" si="16"/>
        <v>1.2987186641833748</v>
      </c>
      <c r="Y82" s="225">
        <f>Constants!$D$22/1000000000*Constants!$C$21*IF(ISBLANK(Design!$B$32),Design!$B$31,Design!$B$32)*1000000</f>
        <v>1.2499999999999999E-2</v>
      </c>
      <c r="Z82" s="225">
        <f t="shared" ca="1" si="25"/>
        <v>1.3309821611162451</v>
      </c>
      <c r="AA82" s="225">
        <f t="shared" ca="1" si="21"/>
        <v>4.7324183071463702E-2</v>
      </c>
      <c r="AB82" s="226">
        <f ca="1">$A82+AA82*Design!$B$19</f>
        <v>87.697478435073435</v>
      </c>
      <c r="AC82" s="226">
        <f ca="1">Z82*Design!$C$12+$A82</f>
        <v>130.25339347795233</v>
      </c>
      <c r="AD82" s="226">
        <f ca="1">Constants!$D$19+Constants!$D$19*Constants!$C$20/100*(AC82-25)</f>
        <v>251.04325773883423</v>
      </c>
      <c r="AE82" s="225">
        <f ca="1">(1-Constants!$D$17/1000000000*Design!$B$32*1000000) * ($B82+S82-R82*AD82/1000) - (S82+R82*(1+($A82-25)*Constants!$C$29/100)*IF(ISBLANK(Design!$B$40),Constants!$C$6/1000,Design!$B$40/1000))</f>
        <v>2.8439722716621079</v>
      </c>
      <c r="AF82" s="339">
        <f ca="1">IF(AE82&gt;Design!$C$28,Design!$C$28,AE82)</f>
        <v>2.8439722716621079</v>
      </c>
      <c r="AG82" s="237">
        <f>Design!$D$6/3</f>
        <v>1.1666666666666667</v>
      </c>
      <c r="AH82" s="160">
        <f ca="1">FORECAST(AG82, OFFSET(Design!$C$15:$C$17,MATCH(AG82,Design!$B$15:$B$17,1)-1,0,2), OFFSET(Design!$B$15:$B$17,MATCH(AG82,Design!$B$15:$B$17,1)-1,0,2))+(AQ82-25)*Design!$B$18/1000</f>
        <v>0.33404795741685328</v>
      </c>
      <c r="AI82" s="238">
        <f ca="1">IF(100*(Design!$C$28+AH82+AG82*IF(ISBLANK(Design!$B$40),Constants!$C$6,Design!$B$40)/1000*(1+Constants!$C$29/100*(AR82-25)))/($B82+AH82-AG82*AS82/1000)&gt;Design!$C$35,Design!$C$35,100*(Design!$C$28+AH82+AG82*IF(ISBLANK(Design!$B$40),Constants!$C$6,Design!$B$40)/1000*(1+Constants!$C$29/100*(AR82-25)))/($B82+AH82-AG82*AS82/1000))</f>
        <v>94.880624452596251</v>
      </c>
      <c r="AJ82" s="161">
        <f ca="1">IF(($B82-AG82*IF(ISBLANK(Design!$B$40),Constants!$C$6,Design!$B$40)/1000*(1+Constants!$C$29/100*(AR82-25))-Design!$C$28)/(IF(ISBLANK(Design!$B$39),Design!$B$38,Design!$B$39)/1000000)*AI82/100/(IF(ISBLANK(Design!$B$32),Design!$B$31,Design!$B$32)*1000000)&lt;0,0,($B82-AG82*IF(ISBLANK(Design!$B$40),Constants!$C$6,Design!$B$40)/1000*(1+Constants!$C$29/100*(AR82-25))-Design!$C$28)/(IF(ISBLANK(Design!$B$39),Design!$B$38,Design!$B$39)/1000000)*AI82/100/(IF(ISBLANK(Design!$B$32),Design!$B$31,Design!$B$32)*1000000))</f>
        <v>0.12589221225250299</v>
      </c>
      <c r="AK82" s="161">
        <f>$B82*Constants!$C$18/1000+IF(ISBLANK(Design!$B$32),Design!$B$31,Design!$B$32)*1000000*Constants!$D$22/1000000000*(IF($B82&lt;Constants!$C$21,0,$B82-Constants!$C$21))</f>
        <v>1.3589999999999997E-4</v>
      </c>
      <c r="AL82" s="239">
        <f>$B82*AG82*($B82/(Constants!$C$23*1000000000)*IF(ISBLANK(Design!$B$32),Design!$B$31,Design!$B$32)*1000000/2+$B82/(Constants!$C$24*1000000000)*IF(ISBLANK(Design!$B$32),Design!$B$31,Design!$B$32)*1000000/2)</f>
        <v>9.8137984664351807E-3</v>
      </c>
      <c r="AM82" s="239">
        <f t="shared" ca="1" si="17"/>
        <v>0.28117193487215092</v>
      </c>
      <c r="AN82" s="239">
        <f>Constants!$D$22/1000000000*Constants!$C$21*IF(ISBLANK(Design!$B$32),Design!$B$31,Design!$B$32)*1000000</f>
        <v>1.2499999999999999E-2</v>
      </c>
      <c r="AO82" s="239">
        <f t="shared" ca="1" si="26"/>
        <v>0.30362163333858611</v>
      </c>
      <c r="AP82" s="239">
        <f t="shared" ca="1" si="23"/>
        <v>1.9951364356700089E-2</v>
      </c>
      <c r="AQ82" s="240">
        <f ca="1">$A82+AP82*Design!$B$19</f>
        <v>86.137227768331911</v>
      </c>
      <c r="AR82" s="240">
        <f ca="1">AO82*Design!$C$12+$A82</f>
        <v>95.32313553351193</v>
      </c>
      <c r="AS82" s="240">
        <f ca="1">Constants!$D$19+Constants!$D$19*Constants!$C$20/100*(AR82-25)</f>
        <v>217.51021011217145</v>
      </c>
      <c r="AT82" s="239">
        <f ca="1">(1-Constants!$D$17/1000000000*Design!$B$32*1000000) * ($B82+AH82-AG82*AS82/1000) - (AH82+AG82*(1+($A82-25)*Constants!$C$29/100)*IF(ISBLANK(Design!$B$40),Constants!$C$6/1000,Design!$B$40/1000))</f>
        <v>3.1839798712195875</v>
      </c>
      <c r="AU82" s="342">
        <f ca="1">IF(AT82&gt;Design!$C$28,Design!$C$28,AT82)</f>
        <v>3.1839798712195875</v>
      </c>
    </row>
    <row r="83" spans="1:47" ht="12.75" customHeight="1" x14ac:dyDescent="0.25">
      <c r="A83" s="154">
        <f>Design!$D$13</f>
        <v>85</v>
      </c>
      <c r="B83" s="155">
        <f t="shared" si="14"/>
        <v>3.5399999999999996</v>
      </c>
      <c r="C83" s="156">
        <f>Design!$D$6</f>
        <v>3.5</v>
      </c>
      <c r="D83" s="156">
        <f ca="1">FORECAST(C83, OFFSET(Design!$C$15:$C$17,MATCH(C83,Design!$B$15:$B$17,1)-1,0,2), OFFSET(Design!$B$15:$B$17,MATCH(C83,Design!$B$15:$B$17,1)-1,0,2))+(M83-25)*Design!$B$18/1000</f>
        <v>0.43317903908512589</v>
      </c>
      <c r="E83" s="215">
        <f ca="1">IF(100*(Design!$C$28+D83+C83*IF(ISBLANK(Design!$B$40),Constants!$C$6,Design!$B$40)/1000*(1+Constants!$C$29/100*(N83-25)))/($B83+D83-C83*O83/1000)&gt;Design!$C$35,Design!$C$35,100*(Design!$C$28+D83+C83*IF(ISBLANK(Design!$B$40),Constants!$C$6,Design!$B$40)/1000*(1+Constants!$C$29/100*(N83-25)))/($B83+D83-C83*O83/1000))</f>
        <v>95</v>
      </c>
      <c r="F83" s="157">
        <f ca="1">IF(($B83-C83*IF(ISBLANK(Design!$B$40),Constants!$C$6,Design!$B$40)/1000*(1+Constants!$C$29/100*(N83-25))-Design!$C$28)/(IF(ISBLANK(Design!$B$39),Design!$B$38,Design!$B$39)/1000000)*E83/100/(IF(ISBLANK(Design!$B$32),Design!$B$31,Design!$B$32)*1000000)&lt;0,0,($B83-C83*IF(ISBLANK(Design!$B$40),Constants!$C$6,Design!$B$40)/1000*(1+Constants!$C$29/100*(N83-25))-Design!$C$28)/(IF(ISBLANK(Design!$B$39),Design!$B$38,Design!$B$39)/1000000)*E83/100/(IF(ISBLANK(Design!$B$32),Design!$B$31,Design!$B$32)*1000000))</f>
        <v>3.4195729774712295E-2</v>
      </c>
      <c r="G83" s="207">
        <f>$B83*Constants!$C$18/1000+IF(ISBLANK(Design!$B$32),Design!$B$31,Design!$B$32)*1000000*Constants!$D$22/1000000000*(IF($B83&lt;Constants!$C$21,0,$B83-Constants!$C$21))</f>
        <v>1.2743999999999996E-4</v>
      </c>
      <c r="H83" s="207">
        <f>B83*C83*(B83/(Constants!$C$23*1000000000)*IF(ISBLANK(Design!$B$32),Design!$B$31,Design!$B$32)*1000000/2+B83/(Constants!$C$24*1000000000)*IF(ISBLANK(Design!$B$32),Design!$B$31,Design!$B$32)*1000000/2)</f>
        <v>2.5889937499999995E-2</v>
      </c>
      <c r="I83" s="207">
        <f t="shared" ca="1" si="15"/>
        <v>3.9193728733980913</v>
      </c>
      <c r="J83" s="207">
        <f>Constants!$D$22/1000000000*Constants!$C$21*IF(ISBLANK(Design!$B$32),Design!$B$31,Design!$B$32)*1000000</f>
        <v>1.2499999999999999E-2</v>
      </c>
      <c r="K83" s="207">
        <f ca="1">SUM(G83:J83)</f>
        <v>3.9578902508980915</v>
      </c>
      <c r="L83" s="207">
        <f t="shared" ca="1" si="19"/>
        <v>7.5806331839897101E-2</v>
      </c>
      <c r="M83" s="208">
        <f ca="1">$A83+L83*Design!$B$19</f>
        <v>89.320960914874135</v>
      </c>
      <c r="N83" s="208">
        <f ca="1">K83*Design!$C$12+A83</f>
        <v>219.56826853053511</v>
      </c>
      <c r="O83" s="208">
        <f ca="1">Constants!$D$19+Constants!$D$19*Constants!$C$20/100*(N83-25)</f>
        <v>336.78553778931371</v>
      </c>
      <c r="P83" s="207">
        <f ca="1">(1-Constants!$D$17/1000000000*Design!$B$32*1000000) * ($B83+D83-C83*O83/1000) - (D83+C83*(1+($A83-25)*Constants!$C$29/100)*IF(ISBLANK(Design!$B$40),Constants!$C$6/1000,Design!$B$40/1000))</f>
        <v>2.0511902451915995</v>
      </c>
      <c r="Q83" s="213">
        <f ca="1">IF(P83&gt;Design!$C$28,Design!$C$28,P83)</f>
        <v>2.0511902451915995</v>
      </c>
      <c r="R83" s="335">
        <f>2*Design!$D$6/3</f>
        <v>2.3333333333333335</v>
      </c>
      <c r="S83" s="158">
        <f ca="1">FORECAST(R83, OFFSET(Design!$C$15:$C$17,MATCH(R83,Design!$B$15:$B$17,1)-1,0,2), OFFSET(Design!$B$15:$B$17,MATCH(R83,Design!$B$15:$B$17,1)-1,0,2))+(AB83-25)*Design!$B$18/1000</f>
        <v>0.40563585489825993</v>
      </c>
      <c r="T83" s="224">
        <f ca="1">IF(100*(Design!$C$28+S83+R83*IF(ISBLANK(Design!$B$40),Constants!$C$6,Design!$B$40)/1000*(1+Constants!$C$29/100*(AC83-25)))/($B83+S83-R83*AD83/1000)&gt;Design!$C$35,Design!$C$35,100*(Design!$C$28+S83+R83*IF(ISBLANK(Design!$B$40),Constants!$C$6,Design!$B$40)/1000*(1+Constants!$C$29/100*(AC83-25)))/($B83+S83-R83*AD83/1000))</f>
        <v>95</v>
      </c>
      <c r="U83" s="159">
        <f ca="1">IF(($B83-R83*IF(ISBLANK(Design!$B$40),Constants!$C$6,Design!$B$40)/1000*(1+Constants!$C$29/100*(AC83-25))-Design!$C$28)/(IF(ISBLANK(Design!$B$39),Design!$B$38,Design!$B$39)/1000000)*T83/100/(IF(ISBLANK(Design!$B$32),Design!$B$31,Design!$B$32)*1000000)&lt;0,0,($B83-R83*IF(ISBLANK(Design!$B$40),Constants!$C$6,Design!$B$40)/1000*(1+Constants!$C$29/100*(AC83-25))-Design!$C$28)/(IF(ISBLANK(Design!$B$39),Design!$B$38,Design!$B$39)/1000000)*T83/100/(IF(ISBLANK(Design!$B$32),Design!$B$31,Design!$B$32)*1000000))</f>
        <v>5.0282874634902955E-2</v>
      </c>
      <c r="V83" s="159">
        <f>$B83*Constants!$C$18/1000+IF(ISBLANK(Design!$B$32),Design!$B$31,Design!$B$32)*1000000*Constants!$D$22/1000000000*(IF($B83&lt;Constants!$C$21,0,$B83-Constants!$C$21))</f>
        <v>1.2743999999999996E-4</v>
      </c>
      <c r="W83" s="225">
        <f>$B83*R83*($B83/(Constants!$C$23*1000000000)*IF(ISBLANK(Design!$B$32),Design!$B$31,Design!$B$32)*1000000/2+$B83/(Constants!$C$24*1000000000)*IF(ISBLANK(Design!$B$32),Design!$B$31,Design!$B$32)*1000000/2)</f>
        <v>1.7259958333333332E-2</v>
      </c>
      <c r="X83" s="225">
        <f t="shared" ca="1" si="16"/>
        <v>1.2979750757342747</v>
      </c>
      <c r="Y83" s="225">
        <f>Constants!$D$22/1000000000*Constants!$C$21*IF(ISBLANK(Design!$B$32),Design!$B$31,Design!$B$32)*1000000</f>
        <v>1.2499999999999999E-2</v>
      </c>
      <c r="Z83" s="225">
        <f t="shared" ca="1" si="25"/>
        <v>1.3278624740676079</v>
      </c>
      <c r="AA83" s="225">
        <f t="shared" ca="1" si="21"/>
        <v>4.7324183071463702E-2</v>
      </c>
      <c r="AB83" s="226">
        <f ca="1">$A83+AA83*Design!$B$19</f>
        <v>87.697478435073435</v>
      </c>
      <c r="AC83" s="226">
        <f ca="1">Z83*Design!$C$12+$A83</f>
        <v>130.14732411829868</v>
      </c>
      <c r="AD83" s="226">
        <f ca="1">Constants!$D$19+Constants!$D$19*Constants!$C$20/100*(AC83-25)</f>
        <v>250.94143115356673</v>
      </c>
      <c r="AE83" s="225">
        <f ca="1">(1-Constants!$D$17/1000000000*Design!$B$32*1000000) * ($B83+S83-R83*AD83/1000) - (S83+R83*(1+($A83-25)*Constants!$C$29/100)*IF(ISBLANK(Design!$B$40),Constants!$C$6/1000,Design!$B$40/1000))</f>
        <v>2.6279908593984822</v>
      </c>
      <c r="AF83" s="339">
        <f ca="1">IF(AE83&gt;Design!$C$28,Design!$C$28,AE83)</f>
        <v>2.6279908593984822</v>
      </c>
      <c r="AG83" s="237">
        <f>Design!$D$6/3</f>
        <v>1.1666666666666667</v>
      </c>
      <c r="AH83" s="160">
        <f ca="1">FORECAST(AG83, OFFSET(Design!$C$15:$C$17,MATCH(AG83,Design!$B$15:$B$17,1)-1,0,2), OFFSET(Design!$B$15:$B$17,MATCH(AG83,Design!$B$15:$B$17,1)-1,0,2))+(AQ83-25)*Design!$B$18/1000</f>
        <v>0.33407438784559856</v>
      </c>
      <c r="AI83" s="238">
        <f ca="1">IF(100*(Design!$C$28+AH83+AG83*IF(ISBLANK(Design!$B$40),Constants!$C$6,Design!$B$40)/1000*(1+Constants!$C$29/100*(AR83-25)))/($B83+AH83-AG83*AS83/1000)&gt;Design!$C$35,Design!$C$35,100*(Design!$C$28+AH83+AG83*IF(ISBLANK(Design!$B$40),Constants!$C$6,Design!$B$40)/1000*(1+Constants!$C$29/100*(AR83-25)))/($B83+AH83-AG83*AS83/1000))</f>
        <v>95</v>
      </c>
      <c r="AJ83" s="161">
        <f ca="1">IF(($B83-AG83*IF(ISBLANK(Design!$B$40),Constants!$C$6,Design!$B$40)/1000*(1+Constants!$C$29/100*(AR83-25))-Design!$C$28)/(IF(ISBLANK(Design!$B$39),Design!$B$38,Design!$B$39)/1000000)*AI83/100/(IF(ISBLANK(Design!$B$32),Design!$B$31,Design!$B$32)*1000000)&lt;0,0,($B83-AG83*IF(ISBLANK(Design!$B$40),Constants!$C$6,Design!$B$40)/1000*(1+Constants!$C$29/100*(AR83-25))-Design!$C$28)/(IF(ISBLANK(Design!$B$39),Design!$B$38,Design!$B$39)/1000000)*AI83/100/(IF(ISBLANK(Design!$B$32),Design!$B$31,Design!$B$32)*1000000))</f>
        <v>6.038979458775575E-2</v>
      </c>
      <c r="AK83" s="161">
        <f>$B83*Constants!$C$18/1000+IF(ISBLANK(Design!$B$32),Design!$B$31,Design!$B$32)*1000000*Constants!$D$22/1000000000*(IF($B83&lt;Constants!$C$21,0,$B83-Constants!$C$21))</f>
        <v>1.2743999999999996E-4</v>
      </c>
      <c r="AL83" s="239">
        <f>$B83*AG83*($B83/(Constants!$C$23*1000000000)*IF(ISBLANK(Design!$B$32),Design!$B$31,Design!$B$32)*1000000/2+$B83/(Constants!$C$24*1000000000)*IF(ISBLANK(Design!$B$32),Design!$B$31,Design!$B$32)*1000000/2)</f>
        <v>8.629979166666666E-3</v>
      </c>
      <c r="AM83" s="239">
        <f t="shared" ca="1" si="17"/>
        <v>0.28126936527245822</v>
      </c>
      <c r="AN83" s="239">
        <f>Constants!$D$22/1000000000*Constants!$C$21*IF(ISBLANK(Design!$B$32),Design!$B$31,Design!$B$32)*1000000</f>
        <v>1.2499999999999999E-2</v>
      </c>
      <c r="AO83" s="239">
        <f t="shared" ca="1" si="26"/>
        <v>0.3025267844391249</v>
      </c>
      <c r="AP83" s="239">
        <f t="shared" ca="1" si="23"/>
        <v>1.9487672624326602E-2</v>
      </c>
      <c r="AQ83" s="240">
        <f ca="1">$A83+AP83*Design!$B$19</f>
        <v>86.110797339586611</v>
      </c>
      <c r="AR83" s="240">
        <f ca="1">AO83*Design!$C$12+$A83</f>
        <v>95.285910670930249</v>
      </c>
      <c r="AS83" s="240">
        <f ca="1">Constants!$D$19+Constants!$D$19*Constants!$C$20/100*(AR83-25)</f>
        <v>217.47447424409302</v>
      </c>
      <c r="AT83" s="239">
        <f ca="1">(1-Constants!$D$17/1000000000*Design!$B$32*1000000) * ($B83+AH83-AG83*AS83/1000) - (AH83+AG83*(1+($A83-25)*Constants!$C$29/100)*IF(ISBLANK(Design!$B$40),Constants!$C$6/1000,Design!$B$40/1000))</f>
        <v>2.9678161132836922</v>
      </c>
      <c r="AU83" s="342">
        <f ca="1">IF(AT83&gt;Design!$C$28,Design!$C$28,AT83)</f>
        <v>2.9678161132836922</v>
      </c>
    </row>
    <row r="84" spans="1:47" ht="12.75" customHeight="1" x14ac:dyDescent="0.25">
      <c r="A84" s="154">
        <f>Design!$D$13</f>
        <v>85</v>
      </c>
      <c r="B84" s="155">
        <f t="shared" si="14"/>
        <v>3.3049999999999997</v>
      </c>
      <c r="C84" s="156">
        <f>Design!$D$6</f>
        <v>3.5</v>
      </c>
      <c r="D84" s="156">
        <f ca="1">FORECAST(C84, OFFSET(Design!$C$15:$C$17,MATCH(C84,Design!$B$15:$B$17,1)-1,0,2), OFFSET(Design!$B$15:$B$17,MATCH(C84,Design!$B$15:$B$17,1)-1,0,2))+(M84-25)*Design!$B$18/1000</f>
        <v>0.43317903908512589</v>
      </c>
      <c r="E84" s="215">
        <f ca="1">IF(100*(Design!$C$28+D84+C84*IF(ISBLANK(Design!$B$40),Constants!$C$6,Design!$B$40)/1000*(1+Constants!$C$29/100*(N84-25)))/($B84+D84-C84*O84/1000)&gt;Design!$C$35,Design!$C$35,100*(Design!$C$28+D84+C84*IF(ISBLANK(Design!$B$40),Constants!$C$6,Design!$B$40)/1000*(1+Constants!$C$29/100*(N84-25)))/($B84+D84-C84*O84/1000))</f>
        <v>95</v>
      </c>
      <c r="F84" s="157">
        <f ca="1">IF(($B84-C84*IF(ISBLANK(Design!$B$40),Constants!$C$6,Design!$B$40)/1000*(1+Constants!$C$29/100*(N84-25))-Design!$C$28)/(IF(ISBLANK(Design!$B$39),Design!$B$38,Design!$B$39)/1000000)*E84/100/(IF(ISBLANK(Design!$B$32),Design!$B$31,Design!$B$32)*1000000)&lt;0,0,($B84-C84*IF(ISBLANK(Design!$B$40),Constants!$C$6,Design!$B$40)/1000*(1+Constants!$C$29/100*(N84-25))-Design!$C$28)/(IF(ISBLANK(Design!$B$39),Design!$B$38,Design!$B$39)/1000000)*E84/100/(IF(ISBLANK(Design!$B$32),Design!$B$31,Design!$B$32)*1000000))</f>
        <v>0</v>
      </c>
      <c r="G84" s="207">
        <f>$B84*Constants!$C$18/1000+IF(ISBLANK(Design!$B$32),Design!$B$31,Design!$B$32)*1000000*Constants!$D$22/1000000000*(IF($B84&lt;Constants!$C$21,0,$B84-Constants!$C$21))</f>
        <v>1.1897999999999998E-4</v>
      </c>
      <c r="H84" s="207">
        <f>B84*C84*(B84/(Constants!$C$23*1000000000)*IF(ISBLANK(Design!$B$32),Design!$B$31,Design!$B$32)*1000000/2+B84/(Constants!$C$24*1000000000)*IF(ISBLANK(Design!$B$32),Design!$B$31,Design!$B$32)*1000000/2)</f>
        <v>2.2566666232638883E-2</v>
      </c>
      <c r="I84" s="207">
        <f t="shared" ca="1" si="15"/>
        <v>3.9172818879084077</v>
      </c>
      <c r="J84" s="207">
        <f>Constants!$D$22/1000000000*Constants!$C$21*IF(ISBLANK(Design!$B$32),Design!$B$31,Design!$B$32)*1000000</f>
        <v>1.2499999999999999E-2</v>
      </c>
      <c r="K84" s="207">
        <f t="shared" ca="1" si="24"/>
        <v>3.9524675341410469</v>
      </c>
      <c r="L84" s="207">
        <f t="shared" ca="1" si="19"/>
        <v>7.5806331839897101E-2</v>
      </c>
      <c r="M84" s="208">
        <f ca="1">$A84+L84*Design!$B$19</f>
        <v>89.320960914874135</v>
      </c>
      <c r="N84" s="208">
        <f ca="1">K84*Design!$C$12+A84</f>
        <v>219.38389616079559</v>
      </c>
      <c r="O84" s="208">
        <f ca="1">Constants!$D$19+Constants!$D$19*Constants!$C$20/100*(N84-25)</f>
        <v>336.60854031436372</v>
      </c>
      <c r="P84" s="207">
        <f ca="1">(1-Constants!$D$17/1000000000*Design!$B$32*1000000) * ($B84+D84-C84*O84/1000) - (D84+C84*(1+($A84-25)*Constants!$C$29/100)*IF(ISBLANK(Design!$B$40),Constants!$C$6/1000,Design!$B$40/1000))</f>
        <v>1.8355601770609389</v>
      </c>
      <c r="Q84" s="213">
        <f ca="1">IF(P84&gt;Design!$C$28,Design!$C$28,P84)</f>
        <v>1.8355601770609389</v>
      </c>
      <c r="R84" s="335">
        <f>2*Design!$D$6/3</f>
        <v>2.3333333333333335</v>
      </c>
      <c r="S84" s="158">
        <f ca="1">FORECAST(R84, OFFSET(Design!$C$15:$C$17,MATCH(R84,Design!$B$15:$B$17,1)-1,0,2), OFFSET(Design!$B$15:$B$17,MATCH(R84,Design!$B$15:$B$17,1)-1,0,2))+(AB84-25)*Design!$B$18/1000</f>
        <v>0.40563585489825993</v>
      </c>
      <c r="T84" s="224">
        <f ca="1">IF(100*(Design!$C$28+S84+R84*IF(ISBLANK(Design!$B$40),Constants!$C$6,Design!$B$40)/1000*(1+Constants!$C$29/100*(AC84-25)))/($B84+S84-R84*AD84/1000)&gt;Design!$C$35,Design!$C$35,100*(Design!$C$28+S84+R84*IF(ISBLANK(Design!$B$40),Constants!$C$6,Design!$B$40)/1000*(1+Constants!$C$29/100*(AC84-25)))/($B84+S84-R84*AD84/1000))</f>
        <v>95</v>
      </c>
      <c r="U84" s="159">
        <f ca="1">IF(($B84-R84*IF(ISBLANK(Design!$B$40),Constants!$C$6,Design!$B$40)/1000*(1+Constants!$C$29/100*(AC84-25))-Design!$C$28)/(IF(ISBLANK(Design!$B$39),Design!$B$38,Design!$B$39)/1000000)*T84/100/(IF(ISBLANK(Design!$B$32),Design!$B$31,Design!$B$32)*1000000)&lt;0,0,($B84-R84*IF(ISBLANK(Design!$B$40),Constants!$C$6,Design!$B$40)/1000*(1+Constants!$C$29/100*(AC84-25))-Design!$C$28)/(IF(ISBLANK(Design!$B$39),Design!$B$38,Design!$B$39)/1000000)*T84/100/(IF(ISBLANK(Design!$B$32),Design!$B$31,Design!$B$32)*1000000))</f>
        <v>0</v>
      </c>
      <c r="V84" s="159">
        <f>$B84*Constants!$C$18/1000+IF(ISBLANK(Design!$B$32),Design!$B$31,Design!$B$32)*1000000*Constants!$D$22/1000000000*(IF($B84&lt;Constants!$C$21,0,$B84-Constants!$C$21))</f>
        <v>1.1897999999999998E-4</v>
      </c>
      <c r="W84" s="225">
        <f>$B84*R84*($B84/(Constants!$C$23*1000000000)*IF(ISBLANK(Design!$B$32),Design!$B$31,Design!$B$32)*1000000/2+$B84/(Constants!$C$24*1000000000)*IF(ISBLANK(Design!$B$32),Design!$B$31,Design!$B$32)*1000000/2)</f>
        <v>1.504444415509259E-2</v>
      </c>
      <c r="X84" s="225">
        <f t="shared" ca="1" si="16"/>
        <v>1.2974629315362944</v>
      </c>
      <c r="Y84" s="225">
        <f>Constants!$D$22/1000000000*Constants!$C$21*IF(ISBLANK(Design!$B$32),Design!$B$31,Design!$B$32)*1000000</f>
        <v>1.2499999999999999E-2</v>
      </c>
      <c r="Z84" s="225">
        <f t="shared" ca="1" si="25"/>
        <v>1.325126355691387</v>
      </c>
      <c r="AA84" s="225">
        <f t="shared" ca="1" si="21"/>
        <v>4.7324183071463702E-2</v>
      </c>
      <c r="AB84" s="226">
        <f ca="1">$A84+AA84*Design!$B$19</f>
        <v>87.697478435073435</v>
      </c>
      <c r="AC84" s="226">
        <f ca="1">Z84*Design!$C$12+$A84</f>
        <v>130.05429609350716</v>
      </c>
      <c r="AD84" s="226">
        <f ca="1">Constants!$D$19+Constants!$D$19*Constants!$C$20/100*(AC84-25)</f>
        <v>250.85212424976686</v>
      </c>
      <c r="AE84" s="225">
        <f ca="1">(1-Constants!$D$17/1000000000*Design!$B$32*1000000) * ($B84+S84-R84*AD84/1000) - (S84+R84*(1+($A84-25)*Constants!$C$29/100)*IF(ISBLANK(Design!$B$40),Constants!$C$6/1000,Design!$B$40/1000))</f>
        <v>2.4119825715519729</v>
      </c>
      <c r="AF84" s="339">
        <f ca="1">IF(AE84&gt;Design!$C$28,Design!$C$28,AE84)</f>
        <v>2.4119825715519729</v>
      </c>
      <c r="AG84" s="237">
        <f>Design!$D$6/3</f>
        <v>1.1666666666666667</v>
      </c>
      <c r="AH84" s="160">
        <f ca="1">FORECAST(AG84, OFFSET(Design!$C$15:$C$17,MATCH(AG84,Design!$B$15:$B$17,1)-1,0,2), OFFSET(Design!$B$15:$B$17,MATCH(AG84,Design!$B$15:$B$17,1)-1,0,2))+(AQ84-25)*Design!$B$18/1000</f>
        <v>0.33407438784559856</v>
      </c>
      <c r="AI84" s="238">
        <f ca="1">IF(100*(Design!$C$28+AH84+AG84*IF(ISBLANK(Design!$B$40),Constants!$C$6,Design!$B$40)/1000*(1+Constants!$C$29/100*(AR84-25)))/($B84+AH84-AG84*AS84/1000)&gt;Design!$C$35,Design!$C$35,100*(Design!$C$28+AH84+AG84*IF(ISBLANK(Design!$B$40),Constants!$C$6,Design!$B$40)/1000*(1+Constants!$C$29/100*(AR84-25)))/($B84+AH84-AG84*AS84/1000))</f>
        <v>95</v>
      </c>
      <c r="AJ84" s="161">
        <f ca="1">IF(($B84-AG84*IF(ISBLANK(Design!$B$40),Constants!$C$6,Design!$B$40)/1000*(1+Constants!$C$29/100*(AR84-25))-Design!$C$28)/(IF(ISBLANK(Design!$B$39),Design!$B$38,Design!$B$39)/1000000)*AI84/100/(IF(ISBLANK(Design!$B$32),Design!$B$31,Design!$B$32)*1000000)&lt;0,0,($B84-AG84*IF(ISBLANK(Design!$B$40),Constants!$C$6,Design!$B$40)/1000*(1+Constants!$C$29/100*(AR84-25))-Design!$C$28)/(IF(ISBLANK(Design!$B$39),Design!$B$38,Design!$B$39)/1000000)*AI84/100/(IF(ISBLANK(Design!$B$32),Design!$B$31,Design!$B$32)*1000000))</f>
        <v>0</v>
      </c>
      <c r="AK84" s="161">
        <f>$B84*Constants!$C$18/1000+IF(ISBLANK(Design!$B$32),Design!$B$31,Design!$B$32)*1000000*Constants!$D$22/1000000000*(IF($B84&lt;Constants!$C$21,0,$B84-Constants!$C$21))</f>
        <v>1.1897999999999998E-4</v>
      </c>
      <c r="AL84" s="239">
        <f>$B84*AG84*($B84/(Constants!$C$23*1000000000)*IF(ISBLANK(Design!$B$32),Design!$B$31,Design!$B$32)*1000000/2+$B84/(Constants!$C$24*1000000000)*IF(ISBLANK(Design!$B$32),Design!$B$31,Design!$B$32)*1000000/2)</f>
        <v>7.5222220775462952E-3</v>
      </c>
      <c r="AM84" s="239">
        <f t="shared" ca="1" si="17"/>
        <v>0.28115462410949976</v>
      </c>
      <c r="AN84" s="239">
        <f>Constants!$D$22/1000000000*Constants!$C$21*IF(ISBLANK(Design!$B$32),Design!$B$31,Design!$B$32)*1000000</f>
        <v>1.2499999999999999E-2</v>
      </c>
      <c r="AO84" s="239">
        <f t="shared" ca="1" si="26"/>
        <v>0.30129582618704609</v>
      </c>
      <c r="AP84" s="239">
        <f t="shared" ca="1" si="23"/>
        <v>1.9487672624326602E-2</v>
      </c>
      <c r="AQ84" s="240">
        <f ca="1">$A84+AP84*Design!$B$19</f>
        <v>86.110797339586611</v>
      </c>
      <c r="AR84" s="240">
        <f ca="1">AO84*Design!$C$12+$A84</f>
        <v>95.244058090359573</v>
      </c>
      <c r="AS84" s="240">
        <f ca="1">Constants!$D$19+Constants!$D$19*Constants!$C$20/100*(AR84-25)</f>
        <v>217.43429576674521</v>
      </c>
      <c r="AT84" s="239">
        <f ca="1">(1-Constants!$D$17/1000000000*Design!$B$32*1000000) * ($B84+AH84-AG84*AS84/1000) - (AH84+AG84*(1+($A84-25)*Constants!$C$29/100)*IF(ISBLANK(Design!$B$40),Constants!$C$6/1000,Design!$B$40/1000))</f>
        <v>2.7516592381827123</v>
      </c>
      <c r="AU84" s="342">
        <f ca="1">IF(AT84&gt;Design!$C$28,Design!$C$28,AT84)</f>
        <v>2.7516592381827123</v>
      </c>
    </row>
    <row r="85" spans="1:47" ht="12.75" customHeight="1" x14ac:dyDescent="0.25">
      <c r="A85" s="154">
        <f>Design!$D$13</f>
        <v>85</v>
      </c>
      <c r="B85" s="155">
        <f t="shared" si="14"/>
        <v>3.07</v>
      </c>
      <c r="C85" s="156">
        <f>Design!$D$6</f>
        <v>3.5</v>
      </c>
      <c r="D85" s="156">
        <f ca="1">FORECAST(C85, OFFSET(Design!$C$15:$C$17,MATCH(C85,Design!$B$15:$B$17,1)-1,0,2), OFFSET(Design!$B$15:$B$17,MATCH(C85,Design!$B$15:$B$17,1)-1,0,2))+(M85-25)*Design!$B$18/1000</f>
        <v>0.43317903908512589</v>
      </c>
      <c r="E85" s="215">
        <f ca="1">IF(100*(Design!$C$28+D85+C85*IF(ISBLANK(Design!$B$40),Constants!$C$6,Design!$B$40)/1000*(1+Constants!$C$29/100*(N85-25)))/($B85+D85-C85*O85/1000)&gt;Design!$C$35,Design!$C$35,100*(Design!$C$28+D85+C85*IF(ISBLANK(Design!$B$40),Constants!$C$6,Design!$B$40)/1000*(1+Constants!$C$29/100*(N85-25)))/($B85+D85-C85*O85/1000))</f>
        <v>95</v>
      </c>
      <c r="F85" s="157">
        <f ca="1">IF(($B85-C85*IF(ISBLANK(Design!$B$40),Constants!$C$6,Design!$B$40)/1000*(1+Constants!$C$29/100*(N85-25))-Design!$C$28)/(IF(ISBLANK(Design!$B$39),Design!$B$38,Design!$B$39)/1000000)*E85/100/(IF(ISBLANK(Design!$B$32),Design!$B$31,Design!$B$32)*1000000)&lt;0,0,($B85-C85*IF(ISBLANK(Design!$B$40),Constants!$C$6,Design!$B$40)/1000*(1+Constants!$C$29/100*(N85-25))-Design!$C$28)/(IF(ISBLANK(Design!$B$39),Design!$B$38,Design!$B$39)/1000000)*E85/100/(IF(ISBLANK(Design!$B$32),Design!$B$31,Design!$B$32)*1000000))</f>
        <v>0</v>
      </c>
      <c r="G85" s="207">
        <f>$B85*Constants!$C$18/1000+IF(ISBLANK(Design!$B$32),Design!$B$31,Design!$B$32)*1000000*Constants!$D$22/1000000000*(IF($B85&lt;Constants!$C$21,0,$B85-Constants!$C$21))</f>
        <v>1.1051999999999998E-4</v>
      </c>
      <c r="H85" s="207">
        <f>B85*C85*(B85/(Constants!$C$23*1000000000)*IF(ISBLANK(Design!$B$32),Design!$B$31,Design!$B$32)*1000000/2+B85/(Constants!$C$24*1000000000)*IF(ISBLANK(Design!$B$32),Design!$B$31,Design!$B$32)*1000000/2)</f>
        <v>1.9471581597222218E-2</v>
      </c>
      <c r="I85" s="207">
        <f t="shared" ca="1" si="15"/>
        <v>3.915380942297213</v>
      </c>
      <c r="J85" s="207">
        <f>Constants!$D$22/1000000000*Constants!$C$21*IF(ISBLANK(Design!$B$32),Design!$B$31,Design!$B$32)*1000000</f>
        <v>1.2499999999999999E-2</v>
      </c>
      <c r="K85" s="207">
        <f t="shared" ca="1" si="24"/>
        <v>3.9474630438944356</v>
      </c>
      <c r="L85" s="207">
        <f t="shared" ca="1" si="19"/>
        <v>7.5806331839897101E-2</v>
      </c>
      <c r="M85" s="208">
        <f ca="1">$A85+L85*Design!$B$19</f>
        <v>89.320960914874135</v>
      </c>
      <c r="N85" s="208">
        <f ca="1">K85*Design!$C$12+A85</f>
        <v>219.2137434924108</v>
      </c>
      <c r="O85" s="208">
        <f ca="1">Constants!$D$19+Constants!$D$19*Constants!$C$20/100*(N85-25)</f>
        <v>336.44519375271437</v>
      </c>
      <c r="P85" s="207">
        <f ca="1">(1-Constants!$D$17/1000000000*Design!$B$32*1000000) * ($B85+D85-C85*O85/1000) - (D85+C85*(1+($A85-25)*Constants!$C$29/100)*IF(ISBLANK(Design!$B$40),Constants!$C$6/1000,Design!$B$40/1000))</f>
        <v>1.6198861529894497</v>
      </c>
      <c r="Q85" s="328">
        <f ca="1">IF(P85&gt;Design!$C$28,Design!$C$28,P85)</f>
        <v>1.6198861529894497</v>
      </c>
      <c r="R85" s="335">
        <f>2*Design!$D$6/3</f>
        <v>2.3333333333333335</v>
      </c>
      <c r="S85" s="158">
        <f ca="1">FORECAST(R85, OFFSET(Design!$C$15:$C$17,MATCH(R85,Design!$B$15:$B$17,1)-1,0,2), OFFSET(Design!$B$15:$B$17,MATCH(R85,Design!$B$15:$B$17,1)-1,0,2))+(AB85-25)*Design!$B$18/1000</f>
        <v>0.40563585489825993</v>
      </c>
      <c r="T85" s="224">
        <f ca="1">IF(100*(Design!$C$28+S85+R85*IF(ISBLANK(Design!$B$40),Constants!$C$6,Design!$B$40)/1000*(1+Constants!$C$29/100*(AC85-25)))/($B85+S85-R85*AD85/1000)&gt;Design!$C$35,Design!$C$35,100*(Design!$C$28+S85+R85*IF(ISBLANK(Design!$B$40),Constants!$C$6,Design!$B$40)/1000*(1+Constants!$C$29/100*(AC85-25)))/($B85+S85-R85*AD85/1000))</f>
        <v>95</v>
      </c>
      <c r="U85" s="159">
        <f ca="1">IF(($B85-R85*IF(ISBLANK(Design!$B$40),Constants!$C$6,Design!$B$40)/1000*(1+Constants!$C$29/100*(AC85-25))-Design!$C$28)/(IF(ISBLANK(Design!$B$39),Design!$B$38,Design!$B$39)/1000000)*T85/100/(IF(ISBLANK(Design!$B$32),Design!$B$31,Design!$B$32)*1000000)&lt;0,0,($B85-R85*IF(ISBLANK(Design!$B$40),Constants!$C$6,Design!$B$40)/1000*(1+Constants!$C$29/100*(AC85-25))-Design!$C$28)/(IF(ISBLANK(Design!$B$39),Design!$B$38,Design!$B$39)/1000000)*T85/100/(IF(ISBLANK(Design!$B$32),Design!$B$31,Design!$B$32)*1000000))</f>
        <v>0</v>
      </c>
      <c r="V85" s="159">
        <f>$B85*Constants!$C$18/1000+IF(ISBLANK(Design!$B$32),Design!$B$31,Design!$B$32)*1000000*Constants!$D$22/1000000000*(IF($B85&lt;Constants!$C$21,0,$B85-Constants!$C$21))</f>
        <v>1.1051999999999998E-4</v>
      </c>
      <c r="W85" s="225">
        <f>$B85*R85*($B85/(Constants!$C$23*1000000000)*IF(ISBLANK(Design!$B$32),Design!$B$31,Design!$B$32)*1000000/2+$B85/(Constants!$C$24*1000000000)*IF(ISBLANK(Design!$B$32),Design!$B$31,Design!$B$32)*1000000/2)</f>
        <v>1.2981054398148147E-2</v>
      </c>
      <c r="X85" s="225">
        <f t="shared" ca="1" si="16"/>
        <v>1.2970421165509478</v>
      </c>
      <c r="Y85" s="225">
        <f>Constants!$D$22/1000000000*Constants!$C$21*IF(ISBLANK(Design!$B$32),Design!$B$31,Design!$B$32)*1000000</f>
        <v>1.2499999999999999E-2</v>
      </c>
      <c r="Z85" s="225">
        <f t="shared" ca="1" si="25"/>
        <v>1.3226336909490959</v>
      </c>
      <c r="AA85" s="225">
        <f t="shared" ca="1" si="21"/>
        <v>4.7324183071463702E-2</v>
      </c>
      <c r="AB85" s="226">
        <f ca="1">$A85+AA85*Design!$B$19</f>
        <v>87.697478435073435</v>
      </c>
      <c r="AC85" s="226">
        <f ca="1">Z85*Design!$C$12+$A85</f>
        <v>129.96954549226928</v>
      </c>
      <c r="AD85" s="226">
        <f ca="1">Constants!$D$19+Constants!$D$19*Constants!$C$20/100*(AC85-25)</f>
        <v>250.77076367257848</v>
      </c>
      <c r="AE85" s="225">
        <f ca="1">(1-Constants!$D$17/1000000000*Design!$B$32*1000000) * ($B85+S85-R85*AD85/1000) - (S85+R85*(1+($A85-25)*Constants!$C$29/100)*IF(ISBLANK(Design!$B$40),Constants!$C$6/1000,Design!$B$40/1000))</f>
        <v>2.195957225591004</v>
      </c>
      <c r="AF85" s="339">
        <f ca="1">IF(AE85&gt;Design!$C$28,Design!$C$28,AE85)</f>
        <v>2.195957225591004</v>
      </c>
      <c r="AG85" s="237">
        <f>Design!$D$6/3</f>
        <v>1.1666666666666667</v>
      </c>
      <c r="AH85" s="160">
        <f ca="1">FORECAST(AG85, OFFSET(Design!$C$15:$C$17,MATCH(AG85,Design!$B$15:$B$17,1)-1,0,2), OFFSET(Design!$B$15:$B$17,MATCH(AG85,Design!$B$15:$B$17,1)-1,0,2))+(AQ85-25)*Design!$B$18/1000</f>
        <v>0.33407438784559856</v>
      </c>
      <c r="AI85" s="238">
        <f ca="1">IF(100*(Design!$C$28+AH85+AG85*IF(ISBLANK(Design!$B$40),Constants!$C$6,Design!$B$40)/1000*(1+Constants!$C$29/100*(AR85-25)))/($B85+AH85-AG85*AS85/1000)&gt;Design!$C$35,Design!$C$35,100*(Design!$C$28+AH85+AG85*IF(ISBLANK(Design!$B$40),Constants!$C$6,Design!$B$40)/1000*(1+Constants!$C$29/100*(AR85-25)))/($B85+AH85-AG85*AS85/1000))</f>
        <v>95</v>
      </c>
      <c r="AJ85" s="161">
        <f ca="1">IF(($B85-AG85*IF(ISBLANK(Design!$B$40),Constants!$C$6,Design!$B$40)/1000*(1+Constants!$C$29/100*(AR85-25))-Design!$C$28)/(IF(ISBLANK(Design!$B$39),Design!$B$38,Design!$B$39)/1000000)*AI85/100/(IF(ISBLANK(Design!$B$32),Design!$B$31,Design!$B$32)*1000000)&lt;0,0,($B85-AG85*IF(ISBLANK(Design!$B$40),Constants!$C$6,Design!$B$40)/1000*(1+Constants!$C$29/100*(AR85-25))-Design!$C$28)/(IF(ISBLANK(Design!$B$39),Design!$B$38,Design!$B$39)/1000000)*AI85/100/(IF(ISBLANK(Design!$B$32),Design!$B$31,Design!$B$32)*1000000))</f>
        <v>0</v>
      </c>
      <c r="AK85" s="161">
        <f>$B85*Constants!$C$18/1000+IF(ISBLANK(Design!$B$32),Design!$B$31,Design!$B$32)*1000000*Constants!$D$22/1000000000*(IF($B85&lt;Constants!$C$21,0,$B85-Constants!$C$21))</f>
        <v>1.1051999999999998E-4</v>
      </c>
      <c r="AL85" s="239">
        <f>$B85*AG85*($B85/(Constants!$C$23*1000000000)*IF(ISBLANK(Design!$B$32),Design!$B$31,Design!$B$32)*1000000/2+$B85/(Constants!$C$24*1000000000)*IF(ISBLANK(Design!$B$32),Design!$B$31,Design!$B$32)*1000000/2)</f>
        <v>6.4905271990740735E-3</v>
      </c>
      <c r="AM85" s="239">
        <f t="shared" ca="1" si="17"/>
        <v>0.28110878956385854</v>
      </c>
      <c r="AN85" s="239">
        <f>Constants!$D$22/1000000000*Constants!$C$21*IF(ISBLANK(Design!$B$32),Design!$B$31,Design!$B$32)*1000000</f>
        <v>1.2499999999999999E-2</v>
      </c>
      <c r="AO85" s="239">
        <f t="shared" ca="1" si="26"/>
        <v>0.30020983676293261</v>
      </c>
      <c r="AP85" s="239">
        <f t="shared" ca="1" si="23"/>
        <v>1.9487672624326602E-2</v>
      </c>
      <c r="AQ85" s="240">
        <f ca="1">$A85+AP85*Design!$B$19</f>
        <v>86.110797339586611</v>
      </c>
      <c r="AR85" s="240">
        <f ca="1">AO85*Design!$C$12+$A85</f>
        <v>95.207134449939701</v>
      </c>
      <c r="AS85" s="240">
        <f ca="1">Constants!$D$19+Constants!$D$19*Constants!$C$20/100*(AR85-25)</f>
        <v>217.3988490719421</v>
      </c>
      <c r="AT85" s="239">
        <f ca="1">(1-Constants!$D$17/1000000000*Design!$B$32*1000000) * ($B85+AH85-AG85*AS85/1000) - (AH85+AG85*(1+($A85-25)*Constants!$C$29/100)*IF(ISBLANK(Design!$B$40),Constants!$C$6/1000,Design!$B$40/1000))</f>
        <v>2.5354972843018007</v>
      </c>
      <c r="AU85" s="342">
        <f ca="1">IF(AT85&gt;Design!$C$28,Design!$C$28,AT85)</f>
        <v>2.5354972843018007</v>
      </c>
    </row>
    <row r="86" spans="1:47" ht="12.75" customHeight="1" x14ac:dyDescent="0.25">
      <c r="A86" s="154">
        <f>Design!$D$13</f>
        <v>85</v>
      </c>
      <c r="B86" s="155">
        <f t="shared" si="14"/>
        <v>2.835</v>
      </c>
      <c r="C86" s="156">
        <f>Design!$D$6</f>
        <v>3.5</v>
      </c>
      <c r="D86" s="156">
        <f ca="1">FORECAST(C86, OFFSET(Design!$C$15:$C$17,MATCH(C86,Design!$B$15:$B$17,1)-1,0,2), OFFSET(Design!$B$15:$B$17,MATCH(C86,Design!$B$15:$B$17,1)-1,0,2))+(M86-25)*Design!$B$18/1000</f>
        <v>0.43317903908512589</v>
      </c>
      <c r="E86" s="215">
        <f ca="1">IF(100*(Design!$C$28+D86+C86*IF(ISBLANK(Design!$B$40),Constants!$C$6,Design!$B$40)/1000*(1+Constants!$C$29/100*(N86-25)))/($B86+D86-C86*O86/1000)&gt;Design!$C$35,Design!$C$35,100*(Design!$C$28+D86+C86*IF(ISBLANK(Design!$B$40),Constants!$C$6,Design!$B$40)/1000*(1+Constants!$C$29/100*(N86-25)))/($B86+D86-C86*O86/1000))</f>
        <v>95</v>
      </c>
      <c r="F86" s="157">
        <f ca="1">IF(($B86-C86*IF(ISBLANK(Design!$B$40),Constants!$C$6,Design!$B$40)/1000*(1+Constants!$C$29/100*(N86-25))-Design!$C$28)/(IF(ISBLANK(Design!$B$39),Design!$B$38,Design!$B$39)/1000000)*E86/100/(IF(ISBLANK(Design!$B$32),Design!$B$31,Design!$B$32)*1000000)&lt;0,0,($B86-C86*IF(ISBLANK(Design!$B$40),Constants!$C$6,Design!$B$40)/1000*(1+Constants!$C$29/100*(N86-25))-Design!$C$28)/(IF(ISBLANK(Design!$B$39),Design!$B$38,Design!$B$39)/1000000)*E86/100/(IF(ISBLANK(Design!$B$32),Design!$B$31,Design!$B$32)*1000000))</f>
        <v>0</v>
      </c>
      <c r="G86" s="207">
        <f>$B86*Constants!$C$18/1000+IF(ISBLANK(Design!$B$32),Design!$B$31,Design!$B$32)*1000000*Constants!$D$22/1000000000*(IF($B86&lt;Constants!$C$21,0,$B86-Constants!$C$21))</f>
        <v>1.0206E-4</v>
      </c>
      <c r="H86" s="207">
        <f>B86*C86*(B86/(Constants!$C$23*1000000000)*IF(ISBLANK(Design!$B$32),Design!$B$31,Design!$B$32)*1000000/2+B86/(Constants!$C$24*1000000000)*IF(ISBLANK(Design!$B$32),Design!$B$31,Design!$B$32)*1000000/2)</f>
        <v>1.6604683593749999E-2</v>
      </c>
      <c r="I86" s="207">
        <f t="shared" ca="1" si="15"/>
        <v>3.9136197628010518</v>
      </c>
      <c r="J86" s="207">
        <f>Constants!$D$22/1000000000*Constants!$C$21*IF(ISBLANK(Design!$B$32),Design!$B$31,Design!$B$32)*1000000</f>
        <v>1.2499999999999999E-2</v>
      </c>
      <c r="K86" s="207">
        <f t="shared" ca="1" si="24"/>
        <v>3.9428265063948018</v>
      </c>
      <c r="L86" s="207">
        <f t="shared" ca="1" si="19"/>
        <v>7.5806331839897101E-2</v>
      </c>
      <c r="M86" s="208">
        <f ca="1">$A86+L86*Design!$B$19</f>
        <v>89.320960914874135</v>
      </c>
      <c r="N86" s="208">
        <f ca="1">K86*Design!$C$12+A86</f>
        <v>219.05610121742325</v>
      </c>
      <c r="O86" s="208">
        <f ca="1">Constants!$D$19+Constants!$D$19*Constants!$C$20/100*(N86-25)</f>
        <v>336.29385716872628</v>
      </c>
      <c r="P86" s="207">
        <f ca="1">(1-Constants!$D$17/1000000000*Design!$B$32*1000000) * ($B86+D86-C86*O86/1000) - (D86+C86*(1+($A86-25)*Constants!$C$29/100)*IF(ISBLANK(Design!$B$40),Constants!$C$6/1000,Design!$B$40/1000))</f>
        <v>1.4041734567898914</v>
      </c>
      <c r="Q86" s="328">
        <f ca="1">IF(P86&gt;Design!$C$28,Design!$C$28,P86)</f>
        <v>1.4041734567898914</v>
      </c>
      <c r="R86" s="335">
        <f>2*Design!$D$6/3</f>
        <v>2.3333333333333335</v>
      </c>
      <c r="S86" s="158">
        <f ca="1">FORECAST(R86, OFFSET(Design!$C$15:$C$17,MATCH(R86,Design!$B$15:$B$17,1)-1,0,2), OFFSET(Design!$B$15:$B$17,MATCH(R86,Design!$B$15:$B$17,1)-1,0,2))+(AB86-25)*Design!$B$18/1000</f>
        <v>0.40563585489825993</v>
      </c>
      <c r="T86" s="224">
        <f ca="1">IF(100*(Design!$C$28+S86+R86*IF(ISBLANK(Design!$B$40),Constants!$C$6,Design!$B$40)/1000*(1+Constants!$C$29/100*(AC86-25)))/($B86+S86-R86*AD86/1000)&gt;Design!$C$35,Design!$C$35,100*(Design!$C$28+S86+R86*IF(ISBLANK(Design!$B$40),Constants!$C$6,Design!$B$40)/1000*(1+Constants!$C$29/100*(AC86-25)))/($B86+S86-R86*AD86/1000))</f>
        <v>95</v>
      </c>
      <c r="U86" s="159">
        <f ca="1">IF(($B86-R86*IF(ISBLANK(Design!$B$40),Constants!$C$6,Design!$B$40)/1000*(1+Constants!$C$29/100*(AC86-25))-Design!$C$28)/(IF(ISBLANK(Design!$B$39),Design!$B$38,Design!$B$39)/1000000)*T86/100/(IF(ISBLANK(Design!$B$32),Design!$B$31,Design!$B$32)*1000000)&lt;0,0,($B86-R86*IF(ISBLANK(Design!$B$40),Constants!$C$6,Design!$B$40)/1000*(1+Constants!$C$29/100*(AC86-25))-Design!$C$28)/(IF(ISBLANK(Design!$B$39),Design!$B$38,Design!$B$39)/1000000)*T86/100/(IF(ISBLANK(Design!$B$32),Design!$B$31,Design!$B$32)*1000000))</f>
        <v>0</v>
      </c>
      <c r="V86" s="159">
        <f>$B86*Constants!$C$18/1000+IF(ISBLANK(Design!$B$32),Design!$B$31,Design!$B$32)*1000000*Constants!$D$22/1000000000*(IF($B86&lt;Constants!$C$21,0,$B86-Constants!$C$21))</f>
        <v>1.0206E-4</v>
      </c>
      <c r="W86" s="225">
        <f>$B86*R86*($B86/(Constants!$C$23*1000000000)*IF(ISBLANK(Design!$B$32),Design!$B$31,Design!$B$32)*1000000/2+$B86/(Constants!$C$24*1000000000)*IF(ISBLANK(Design!$B$32),Design!$B$31,Design!$B$32)*1000000/2)</f>
        <v>1.10697890625E-2</v>
      </c>
      <c r="X86" s="225">
        <f t="shared" ca="1" si="16"/>
        <v>1.2966521996729106</v>
      </c>
      <c r="Y86" s="225">
        <f>Constants!$D$22/1000000000*Constants!$C$21*IF(ISBLANK(Design!$B$32),Design!$B$31,Design!$B$32)*1000000</f>
        <v>1.2499999999999999E-2</v>
      </c>
      <c r="Z86" s="225">
        <f t="shared" ca="1" si="25"/>
        <v>1.3203240487354104</v>
      </c>
      <c r="AA86" s="225">
        <f t="shared" ca="1" si="21"/>
        <v>4.7324183071463702E-2</v>
      </c>
      <c r="AB86" s="226">
        <f ca="1">$A86+AA86*Design!$B$19</f>
        <v>87.697478435073435</v>
      </c>
      <c r="AC86" s="226">
        <f ca="1">Z86*Design!$C$12+$A86</f>
        <v>129.89101765700394</v>
      </c>
      <c r="AD86" s="226">
        <f ca="1">Constants!$D$19+Constants!$D$19*Constants!$C$20/100*(AC86-25)</f>
        <v>250.69537695072378</v>
      </c>
      <c r="AE86" s="225">
        <f ca="1">(1-Constants!$D$17/1000000000*Design!$B$32*1000000) * ($B86+S86-R86*AD86/1000) - (S86+R86*(1+($A86-25)*Constants!$C$29/100)*IF(ISBLANK(Design!$B$40),Constants!$C$6/1000,Design!$B$40/1000))</f>
        <v>1.9799190557539186</v>
      </c>
      <c r="AF86" s="339">
        <f ca="1">IF(AE86&gt;Design!$C$28,Design!$C$28,AE86)</f>
        <v>1.9799190557539186</v>
      </c>
      <c r="AG86" s="237">
        <f>Design!$D$6/3</f>
        <v>1.1666666666666667</v>
      </c>
      <c r="AH86" s="160">
        <f ca="1">FORECAST(AG86, OFFSET(Design!$C$15:$C$17,MATCH(AG86,Design!$B$15:$B$17,1)-1,0,2), OFFSET(Design!$B$15:$B$17,MATCH(AG86,Design!$B$15:$B$17,1)-1,0,2))+(AQ86-25)*Design!$B$18/1000</f>
        <v>0.33407438784559856</v>
      </c>
      <c r="AI86" s="238">
        <f ca="1">IF(100*(Design!$C$28+AH86+AG86*IF(ISBLANK(Design!$B$40),Constants!$C$6,Design!$B$40)/1000*(1+Constants!$C$29/100*(AR86-25)))/($B86+AH86-AG86*AS86/1000)&gt;Design!$C$35,Design!$C$35,100*(Design!$C$28+AH86+AG86*IF(ISBLANK(Design!$B$40),Constants!$C$6,Design!$B$40)/1000*(1+Constants!$C$29/100*(AR86-25)))/($B86+AH86-AG86*AS86/1000))</f>
        <v>95</v>
      </c>
      <c r="AJ86" s="161">
        <f ca="1">IF(($B86-AG86*IF(ISBLANK(Design!$B$40),Constants!$C$6,Design!$B$40)/1000*(1+Constants!$C$29/100*(AR86-25))-Design!$C$28)/(IF(ISBLANK(Design!$B$39),Design!$B$38,Design!$B$39)/1000000)*AI86/100/(IF(ISBLANK(Design!$B$32),Design!$B$31,Design!$B$32)*1000000)&lt;0,0,($B86-AG86*IF(ISBLANK(Design!$B$40),Constants!$C$6,Design!$B$40)/1000*(1+Constants!$C$29/100*(AR86-25))-Design!$C$28)/(IF(ISBLANK(Design!$B$39),Design!$B$38,Design!$B$39)/1000000)*AI86/100/(IF(ISBLANK(Design!$B$32),Design!$B$31,Design!$B$32)*1000000))</f>
        <v>0</v>
      </c>
      <c r="AK86" s="161">
        <f>$B86*Constants!$C$18/1000+IF(ISBLANK(Design!$B$32),Design!$B$31,Design!$B$32)*1000000*Constants!$D$22/1000000000*(IF($B86&lt;Constants!$C$21,0,$B86-Constants!$C$21))</f>
        <v>1.0206E-4</v>
      </c>
      <c r="AL86" s="239">
        <f>$B86*AG86*($B86/(Constants!$C$23*1000000000)*IF(ISBLANK(Design!$B$32),Design!$B$31,Design!$B$32)*1000000/2+$B86/(Constants!$C$24*1000000000)*IF(ISBLANK(Design!$B$32),Design!$B$31,Design!$B$32)*1000000/2)</f>
        <v>5.53489453125E-3</v>
      </c>
      <c r="AM86" s="239">
        <f t="shared" ca="1" si="17"/>
        <v>0.28106630670837207</v>
      </c>
      <c r="AN86" s="239">
        <f>Constants!$D$22/1000000000*Constants!$C$21*IF(ISBLANK(Design!$B$32),Design!$B$31,Design!$B$32)*1000000</f>
        <v>1.2499999999999999E-2</v>
      </c>
      <c r="AO86" s="239">
        <f t="shared" ca="1" si="26"/>
        <v>0.2992032612396221</v>
      </c>
      <c r="AP86" s="239">
        <f t="shared" ca="1" si="23"/>
        <v>1.9487672624326602E-2</v>
      </c>
      <c r="AQ86" s="240">
        <f ca="1">$A86+AP86*Design!$B$19</f>
        <v>86.110797339586611</v>
      </c>
      <c r="AR86" s="240">
        <f ca="1">AO86*Design!$C$12+$A86</f>
        <v>95.17291088214715</v>
      </c>
      <c r="AS86" s="240">
        <f ca="1">Constants!$D$19+Constants!$D$19*Constants!$C$20/100*(AR86-25)</f>
        <v>217.36599444686127</v>
      </c>
      <c r="AT86" s="239">
        <f ca="1">(1-Constants!$D$17/1000000000*Design!$B$32*1000000) * ($B86+AH86-AG86*AS86/1000) - (AH86+AG86*(1+($A86-25)*Constants!$C$29/100)*IF(ISBLANK(Design!$B$40),Constants!$C$6/1000,Design!$B$40/1000))</f>
        <v>2.3193325482660545</v>
      </c>
      <c r="AU86" s="342">
        <f ca="1">IF(AT86&gt;Design!$C$28,Design!$C$28,AT86)</f>
        <v>2.3193325482660545</v>
      </c>
    </row>
    <row r="87" spans="1:47" ht="12.75" customHeight="1" thickBot="1" x14ac:dyDescent="0.3">
      <c r="A87" s="163">
        <f>Design!$D$13</f>
        <v>85</v>
      </c>
      <c r="B87" s="164">
        <f>Constants!$C$7</f>
        <v>2.6</v>
      </c>
      <c r="C87" s="165">
        <f>Design!$D$6</f>
        <v>3.5</v>
      </c>
      <c r="D87" s="165">
        <f ca="1">FORECAST(C87, OFFSET(Design!$C$15:$C$17,MATCH(C87,Design!$B$15:$B$17,1)-1,0,2), OFFSET(Design!$B$15:$B$17,MATCH(C87,Design!$B$15:$B$17,1)-1,0,2))+(M87-25)*Design!$B$18/1000</f>
        <v>0.43317903908512589</v>
      </c>
      <c r="E87" s="216">
        <f ca="1">IF(100*(Design!$C$28+D87+C87*IF(ISBLANK(Design!$B$40),Constants!$C$6,Design!$B$40)/1000*(1+Constants!$C$29/100*(N87-25)))/($B87+D87-C87*O87/1000)&gt;Design!$C$35,Design!$C$35,100*(Design!$C$28+D87+C87*IF(ISBLANK(Design!$B$40),Constants!$C$6,Design!$B$40)/1000*(1+Constants!$C$29/100*(N87-25)))/($B87+D87-C87*O87/1000))</f>
        <v>95</v>
      </c>
      <c r="F87" s="166">
        <f ca="1">IF(($B87-C87*IF(ISBLANK(Design!$B$40),Constants!$C$6,Design!$B$40)/1000*(1+Constants!$C$29/100*(N87-25))-Design!$C$28)/(IF(ISBLANK(Design!$B$39),Design!$B$38,Design!$B$39)/1000000)*E87/100/(IF(ISBLANK(Design!$B$32),Design!$B$31,Design!$B$32)*1000000)&lt;0,0,($B87-C87*IF(ISBLANK(Design!$B$40),Constants!$C$6,Design!$B$40)/1000*(1+Constants!$C$29/100*(N87-25))-Design!$C$28)/(IF(ISBLANK(Design!$B$39),Design!$B$38,Design!$B$39)/1000000)*E87/100/(IF(ISBLANK(Design!$B$32),Design!$B$31,Design!$B$32)*1000000))</f>
        <v>0</v>
      </c>
      <c r="G87" s="209">
        <f>$B87*Constants!$C$18/1000+IF(ISBLANK(Design!$B$32),Design!$B$31,Design!$B$32)*1000000*Constants!$D$22/1000000000*(IF($B87&lt;Constants!$C$21,0,$B87-Constants!$C$21))</f>
        <v>9.3599999999999998E-5</v>
      </c>
      <c r="H87" s="209">
        <f>B87*C87*(B87/(Constants!$C$23*1000000000)*IF(ISBLANK(Design!$B$32),Design!$B$31,Design!$B$32)*1000000/2+B87/(Constants!$C$24*1000000000)*IF(ISBLANK(Design!$B$32),Design!$B$31,Design!$B$32)*1000000/2)</f>
        <v>1.3965972222222223E-2</v>
      </c>
      <c r="I87" s="209">
        <f t="shared" ca="1" si="15"/>
        <v>3.9119983494199264</v>
      </c>
      <c r="J87" s="209">
        <f>Constants!$D$22/1000000000*Constants!$C$21*IF(ISBLANK(Design!$B$32),Design!$B$31,Design!$B$32)*1000000</f>
        <v>1.2499999999999999E-2</v>
      </c>
      <c r="K87" s="209">
        <f t="shared" ca="1" si="24"/>
        <v>3.9385579216421487</v>
      </c>
      <c r="L87" s="209">
        <f t="shared" ca="1" si="19"/>
        <v>7.5806331839897101E-2</v>
      </c>
      <c r="M87" s="210">
        <f ca="1">$A87+L87*Design!$B$19</f>
        <v>89.320960914874135</v>
      </c>
      <c r="N87" s="210">
        <f ca="1">K87*Design!$C$12+A87</f>
        <v>218.91096933583304</v>
      </c>
      <c r="O87" s="210">
        <f ca="1">Constants!$D$19+Constants!$D$19*Constants!$C$20/100*(N87-25)</f>
        <v>336.15453056239971</v>
      </c>
      <c r="P87" s="209">
        <f ca="1">(1-Constants!$D$17/1000000000*Design!$B$32*1000000) * ($B87+D87-C87*O87/1000) - (D87+C87*(1+($A87-25)*Constants!$C$29/100)*IF(ISBLANK(Design!$B$40),Constants!$C$6/1000,Design!$B$40/1000))</f>
        <v>1.1884220884622629</v>
      </c>
      <c r="Q87" s="329">
        <f ca="1">IF(P87&gt;Design!$C$28,Design!$C$28,P87)</f>
        <v>1.1884220884622629</v>
      </c>
      <c r="R87" s="337">
        <f>2*Design!$D$6/3</f>
        <v>2.3333333333333335</v>
      </c>
      <c r="S87" s="167">
        <f ca="1">FORECAST(R87, OFFSET(Design!$C$15:$C$17,MATCH(R87,Design!$B$15:$B$17,1)-1,0,2), OFFSET(Design!$B$15:$B$17,MATCH(R87,Design!$B$15:$B$17,1)-1,0,2))+(AB87-25)*Design!$B$18/1000</f>
        <v>0.40563585489825993</v>
      </c>
      <c r="T87" s="228">
        <f ca="1">IF(100*(Design!$C$28+S87+R87*IF(ISBLANK(Design!$B$40),Constants!$C$6,Design!$B$40)/1000*(1+Constants!$C$29/100*(AC87-25)))/($B87+S87-R87*AD87/1000)&gt;Design!$C$35,Design!$C$35,100*(Design!$C$28+S87+R87*IF(ISBLANK(Design!$B$40),Constants!$C$6,Design!$B$40)/1000*(1+Constants!$C$29/100*(AC87-25)))/($B87+S87-R87*AD87/1000))</f>
        <v>95</v>
      </c>
      <c r="U87" s="168">
        <f ca="1">IF(($B87-R87*IF(ISBLANK(Design!$B$40),Constants!$C$6,Design!$B$40)/1000*(1+Constants!$C$29/100*(AC87-25))-Design!$C$28)/(IF(ISBLANK(Design!$B$39),Design!$B$38,Design!$B$39)/1000000)*T87/100/(IF(ISBLANK(Design!$B$32),Design!$B$31,Design!$B$32)*1000000)&lt;0,0,($B87-R87*IF(ISBLANK(Design!$B$40),Constants!$C$6,Design!$B$40)/1000*(1+Constants!$C$29/100*(AC87-25))-Design!$C$28)/(IF(ISBLANK(Design!$B$39),Design!$B$38,Design!$B$39)/1000000)*T87/100/(IF(ISBLANK(Design!$B$32),Design!$B$31,Design!$B$32)*1000000))</f>
        <v>0</v>
      </c>
      <c r="V87" s="168">
        <f>$B87*Constants!$C$18/1000+IF(ISBLANK(Design!$B$32),Design!$B$31,Design!$B$32)*1000000*Constants!$D$22/1000000000*(IF($B87&lt;Constants!$C$21,0,$B87-Constants!$C$21))</f>
        <v>9.3599999999999998E-5</v>
      </c>
      <c r="W87" s="229">
        <f>$B87*R87*($B87/(Constants!$C$23*1000000000)*IF(ISBLANK(Design!$B$32),Design!$B$31,Design!$B$32)*1000000/2+$B87/(Constants!$C$24*1000000000)*IF(ISBLANK(Design!$B$32),Design!$B$31,Design!$B$32)*1000000/2)</f>
        <v>9.3106481481481512E-3</v>
      </c>
      <c r="X87" s="229">
        <f t="shared" ca="1" si="16"/>
        <v>1.2962931809021823</v>
      </c>
      <c r="Y87" s="229">
        <f>Constants!$D$22/1000000000*Constants!$C$21*IF(ISBLANK(Design!$B$32),Design!$B$31,Design!$B$32)*1000000</f>
        <v>1.2499999999999999E-2</v>
      </c>
      <c r="Z87" s="229">
        <f t="shared" ca="1" si="25"/>
        <v>1.3181974290503304</v>
      </c>
      <c r="AA87" s="229">
        <f t="shared" ca="1" si="21"/>
        <v>4.7324183071463702E-2</v>
      </c>
      <c r="AB87" s="230">
        <f ca="1">$A87+AA87*Design!$B$19</f>
        <v>87.697478435073435</v>
      </c>
      <c r="AC87" s="230">
        <f ca="1">Z87*Design!$C$12+$A87</f>
        <v>129.81871258771122</v>
      </c>
      <c r="AD87" s="230">
        <f ca="1">Constants!$D$19+Constants!$D$19*Constants!$C$20/100*(AC87-25)</f>
        <v>250.62596408420276</v>
      </c>
      <c r="AE87" s="229">
        <f ca="1">(1-Constants!$D$17/1000000000*Design!$B$32*1000000) * ($B87+S87-R87*AD87/1000) - (S87+R87*(1+($A87-25)*Constants!$C$29/100)*IF(ISBLANK(Design!$B$40),Constants!$C$6/1000,Design!$B$40/1000))</f>
        <v>1.7638680620407174</v>
      </c>
      <c r="AF87" s="340">
        <f ca="1">IF(AE87&gt;Design!$C$28,Design!$C$28,AE87)</f>
        <v>1.7638680620407174</v>
      </c>
      <c r="AG87" s="241">
        <f>Design!$D$6/3</f>
        <v>1.1666666666666667</v>
      </c>
      <c r="AH87" s="169">
        <f ca="1">FORECAST(AG87, OFFSET(Design!$C$15:$C$17,MATCH(AG87,Design!$B$15:$B$17,1)-1,0,2), OFFSET(Design!$B$15:$B$17,MATCH(AG87,Design!$B$15:$B$17,1)-1,0,2))+(AQ87-25)*Design!$B$18/1000</f>
        <v>0.33407438784559856</v>
      </c>
      <c r="AI87" s="242">
        <f ca="1">IF(100*(Design!$C$28+AH87+AG87*IF(ISBLANK(Design!$B$40),Constants!$C$6,Design!$B$40)/1000*(1+Constants!$C$29/100*(AR87-25)))/($B87+AH87-AG87*AS87/1000)&gt;Design!$C$35,Design!$C$35,100*(Design!$C$28+AH87+AG87*IF(ISBLANK(Design!$B$40),Constants!$C$6,Design!$B$40)/1000*(1+Constants!$C$29/100*(AR87-25)))/($B87+AH87-AG87*AS87/1000))</f>
        <v>95</v>
      </c>
      <c r="AJ87" s="170">
        <f ca="1">IF(($B87-AG87*IF(ISBLANK(Design!$B$40),Constants!$C$6,Design!$B$40)/1000*(1+Constants!$C$29/100*(AR87-25))-Design!$C$28)/(IF(ISBLANK(Design!$B$39),Design!$B$38,Design!$B$39)/1000000)*AI87/100/(IF(ISBLANK(Design!$B$32),Design!$B$31,Design!$B$32)*1000000)&lt;0,0,($B87-AG87*IF(ISBLANK(Design!$B$40),Constants!$C$6,Design!$B$40)/1000*(1+Constants!$C$29/100*(AR87-25))-Design!$C$28)/(IF(ISBLANK(Design!$B$39),Design!$B$38,Design!$B$39)/1000000)*AI87/100/(IF(ISBLANK(Design!$B$32),Design!$B$31,Design!$B$32)*1000000))</f>
        <v>0</v>
      </c>
      <c r="AK87" s="170">
        <f>$B87*Constants!$C$18/1000+IF(ISBLANK(Design!$B$32),Design!$B$31,Design!$B$32)*1000000*Constants!$D$22/1000000000*(IF($B87&lt;Constants!$C$21,0,$B87-Constants!$C$21))</f>
        <v>9.3599999999999998E-5</v>
      </c>
      <c r="AL87" s="243">
        <f>$B87*AG87*($B87/(Constants!$C$23*1000000000)*IF(ISBLANK(Design!$B$32),Design!$B$31,Design!$B$32)*1000000/2+$B87/(Constants!$C$24*1000000000)*IF(ISBLANK(Design!$B$32),Design!$B$31,Design!$B$32)*1000000/2)</f>
        <v>4.6553240740740756E-3</v>
      </c>
      <c r="AM87" s="243">
        <f t="shared" ca="1" si="17"/>
        <v>0.2810271755430403</v>
      </c>
      <c r="AN87" s="243">
        <f>Constants!$D$22/1000000000*Constants!$C$21*IF(ISBLANK(Design!$B$32),Design!$B$31,Design!$B$32)*1000000</f>
        <v>1.2499999999999999E-2</v>
      </c>
      <c r="AO87" s="243">
        <f t="shared" ca="1" si="26"/>
        <v>0.29827609961711438</v>
      </c>
      <c r="AP87" s="243">
        <f t="shared" ca="1" si="23"/>
        <v>1.9487672624326602E-2</v>
      </c>
      <c r="AQ87" s="244">
        <f ca="1">$A87+AP87*Design!$B$19</f>
        <v>86.110797339586611</v>
      </c>
      <c r="AR87" s="244">
        <f ca="1">AO87*Design!$C$12+$A87</f>
        <v>95.14138738698189</v>
      </c>
      <c r="AS87" s="244">
        <f ca="1">Constants!$D$19+Constants!$D$19*Constants!$C$20/100*(AR87-25)</f>
        <v>217.33573189150263</v>
      </c>
      <c r="AT87" s="243">
        <f ca="1">(1-Constants!$D$17/1000000000*Design!$B$32*1000000) * ($B87+AH87-AG87*AS87/1000) - (AH87+AG87*(1+($A87-25)*Constants!$C$29/100)*IF(ISBLANK(Design!$B$40),Constants!$C$6/1000,Design!$B$40/1000))</f>
        <v>2.1031650300754725</v>
      </c>
      <c r="AU87" s="343">
        <f ca="1">IF(AT87&gt;Design!$C$28,Design!$C$28,AT87)</f>
        <v>2.1031650300754725</v>
      </c>
    </row>
    <row r="88" spans="1:47" x14ac:dyDescent="0.25">
      <c r="AT88" s="172" t="s">
        <v>209</v>
      </c>
      <c r="AU88" s="172">
        <f>(Design!C4-Constants!C7)/40</f>
        <v>0.23500000000000001</v>
      </c>
    </row>
    <row r="112" ht="15.75" thickBot="1" x14ac:dyDescent="0.3"/>
    <row r="113" spans="2:9" x14ac:dyDescent="0.25">
      <c r="B113" s="248" t="s">
        <v>211</v>
      </c>
      <c r="C113" s="195"/>
      <c r="D113" s="195"/>
      <c r="E113" s="190"/>
      <c r="F113" s="190"/>
      <c r="H113" s="302">
        <f>Design!B4</f>
        <v>8</v>
      </c>
      <c r="I113" s="303">
        <v>1</v>
      </c>
    </row>
    <row r="114" spans="2:9" ht="15.75" thickBot="1" x14ac:dyDescent="0.3">
      <c r="B114" s="246" t="s">
        <v>236</v>
      </c>
      <c r="C114" s="196"/>
      <c r="D114" s="196"/>
      <c r="E114" s="191"/>
      <c r="F114" s="194"/>
      <c r="H114" s="304">
        <f>Design!B4</f>
        <v>8</v>
      </c>
      <c r="I114" s="305">
        <v>8</v>
      </c>
    </row>
    <row r="115" spans="2:9" x14ac:dyDescent="0.25">
      <c r="B115" s="417" t="s">
        <v>212</v>
      </c>
      <c r="C115" s="417"/>
      <c r="D115" s="171">
        <v>0</v>
      </c>
      <c r="F115" s="11"/>
    </row>
    <row r="117" spans="2:9" x14ac:dyDescent="0.25">
      <c r="C117" s="336">
        <f>C4</f>
        <v>3.5</v>
      </c>
    </row>
    <row r="118" spans="2:9" x14ac:dyDescent="0.25">
      <c r="C118" s="336">
        <f>R4</f>
        <v>2.3333333333333335</v>
      </c>
    </row>
    <row r="119" spans="2:9" x14ac:dyDescent="0.25">
      <c r="C119" s="336">
        <f>AG4</f>
        <v>1.1666666666666667</v>
      </c>
    </row>
  </sheetData>
  <sheetProtection password="CA84" sheet="1" objects="1" scenarios="1" selectLockedCells="1"/>
  <mergeCells count="2">
    <mergeCell ref="A1:AU1"/>
    <mergeCell ref="B115:C115"/>
  </mergeCells>
  <pageMargins left="0.7" right="0.7" top="0.75" bottom="0.75" header="0.3" footer="0.3"/>
  <pageSetup orientation="portrait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lessThan" id="{A2FAEF2B-33A0-4A8A-83BD-CC994DED0238}">
            <xm:f>Design!$B$28</xm:f>
            <x14:dxf>
              <font>
                <color rgb="FF9C0006"/>
              </font>
              <fill>
                <patternFill>
                  <bgColor rgb="FFFFFF00"/>
                </patternFill>
              </fill>
            </x14:dxf>
          </x14:cfRule>
          <xm:sqref>Q4:Q44</xm:sqref>
        </x14:conditionalFormatting>
        <x14:conditionalFormatting xmlns:xm="http://schemas.microsoft.com/office/excel/2006/main">
          <x14:cfRule type="cellIs" priority="5" operator="lessThan" id="{A75726F9-26BE-493C-912B-28F45A679FC3}">
            <xm:f>Design!$B$28</xm:f>
            <x14:dxf>
              <font>
                <color rgb="FF9C0006"/>
              </font>
              <fill>
                <patternFill>
                  <bgColor rgb="FFFFFF00"/>
                </patternFill>
              </fill>
            </x14:dxf>
          </x14:cfRule>
          <xm:sqref>AF4:AF44</xm:sqref>
        </x14:conditionalFormatting>
        <x14:conditionalFormatting xmlns:xm="http://schemas.microsoft.com/office/excel/2006/main">
          <x14:cfRule type="cellIs" priority="4" operator="lessThan" id="{EFA75D2B-CEF6-41E8-9C02-F41B2FA3CEE0}">
            <xm:f>Design!$B$28</xm:f>
            <x14:dxf>
              <font>
                <color rgb="FF9C0006"/>
              </font>
              <fill>
                <patternFill>
                  <bgColor rgb="FFFFFF00"/>
                </patternFill>
              </fill>
            </x14:dxf>
          </x14:cfRule>
          <xm:sqref>AU4:AU44</xm:sqref>
        </x14:conditionalFormatting>
        <x14:conditionalFormatting xmlns:xm="http://schemas.microsoft.com/office/excel/2006/main">
          <x14:cfRule type="cellIs" priority="3" operator="lessThan" id="{6CB8FD5B-13A5-4F2D-B323-DA0C2ED5FBE5}">
            <xm:f>Design!$B$28</xm:f>
            <x14:dxf>
              <font>
                <color rgb="FF9C0006"/>
              </font>
              <fill>
                <patternFill>
                  <bgColor rgb="FFFFFF00"/>
                </patternFill>
              </fill>
            </x14:dxf>
          </x14:cfRule>
          <xm:sqref>AU47:AU87</xm:sqref>
        </x14:conditionalFormatting>
        <x14:conditionalFormatting xmlns:xm="http://schemas.microsoft.com/office/excel/2006/main">
          <x14:cfRule type="cellIs" priority="2" operator="lessThan" id="{1177AA34-B8A9-4548-9AB1-5AF8D3E3F0C8}">
            <xm:f>Design!$B$28</xm:f>
            <x14:dxf>
              <font>
                <color rgb="FF9C0006"/>
              </font>
              <fill>
                <patternFill>
                  <bgColor rgb="FFFFFF00"/>
                </patternFill>
              </fill>
            </x14:dxf>
          </x14:cfRule>
          <xm:sqref>AF47:AF87</xm:sqref>
        </x14:conditionalFormatting>
        <x14:conditionalFormatting xmlns:xm="http://schemas.microsoft.com/office/excel/2006/main">
          <x14:cfRule type="cellIs" priority="1" operator="lessThan" id="{98A999B8-64CA-47FC-B0CD-FA47498FDEF5}">
            <xm:f>Design!$B$28</xm:f>
            <x14:dxf>
              <font>
                <color rgb="FF9C0006"/>
              </font>
              <fill>
                <patternFill>
                  <bgColor rgb="FFFFFF00"/>
                </patternFill>
              </fill>
            </x14:dxf>
          </x14:cfRule>
          <xm:sqref>Q47:Q87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48"/>
  <sheetViews>
    <sheetView zoomScaleNormal="100" workbookViewId="0">
      <selection sqref="A1:I1"/>
    </sheetView>
  </sheetViews>
  <sheetFormatPr defaultRowHeight="15" x14ac:dyDescent="0.25"/>
  <cols>
    <col min="1" max="1" width="20.7109375" style="1" customWidth="1"/>
    <col min="2" max="5" width="9.140625" style="1"/>
    <col min="6" max="6" width="18.7109375" customWidth="1"/>
  </cols>
  <sheetData>
    <row r="1" spans="1:9" ht="24" customHeight="1" thickBot="1" x14ac:dyDescent="0.3">
      <c r="A1" s="416" t="s">
        <v>179</v>
      </c>
      <c r="B1" s="416"/>
      <c r="C1" s="416"/>
      <c r="D1" s="416"/>
      <c r="E1" s="416"/>
      <c r="F1" s="416"/>
      <c r="G1" s="416"/>
      <c r="H1" s="416"/>
      <c r="I1" s="416"/>
    </row>
    <row r="2" spans="1:9" s="2" customFormat="1" ht="18" customHeight="1" x14ac:dyDescent="0.3">
      <c r="A2" s="33" t="s">
        <v>1</v>
      </c>
      <c r="B2" s="34" t="s">
        <v>31</v>
      </c>
      <c r="C2" s="34" t="s">
        <v>32</v>
      </c>
      <c r="D2" s="34" t="s">
        <v>33</v>
      </c>
      <c r="E2" s="34" t="s">
        <v>34</v>
      </c>
      <c r="F2" s="418" t="s">
        <v>36</v>
      </c>
      <c r="G2" s="418"/>
      <c r="H2" s="418"/>
      <c r="I2" s="419"/>
    </row>
    <row r="3" spans="1:9" x14ac:dyDescent="0.25">
      <c r="A3" s="35" t="s">
        <v>20</v>
      </c>
      <c r="B3" s="36">
        <v>0.78600000000000003</v>
      </c>
      <c r="C3" s="36">
        <v>0.79200000000000004</v>
      </c>
      <c r="D3" s="36">
        <v>0.80300000000000005</v>
      </c>
      <c r="E3" s="37" t="s">
        <v>2</v>
      </c>
      <c r="F3" s="38" t="s">
        <v>55</v>
      </c>
      <c r="G3" s="39"/>
      <c r="H3" s="39"/>
      <c r="I3" s="40"/>
    </row>
    <row r="4" spans="1:9" x14ac:dyDescent="0.25">
      <c r="A4" s="35" t="s">
        <v>25</v>
      </c>
      <c r="B4" s="41">
        <f>100*(B3-C3)/C3</f>
        <v>-0.75757575757575824</v>
      </c>
      <c r="C4" s="42" t="s">
        <v>22</v>
      </c>
      <c r="D4" s="41">
        <f>100*(D3-C3)/C3</f>
        <v>1.3888888888888899</v>
      </c>
      <c r="E4" s="43" t="s">
        <v>24</v>
      </c>
      <c r="F4" s="38" t="s">
        <v>48</v>
      </c>
      <c r="G4" s="39"/>
      <c r="H4" s="39"/>
      <c r="I4" s="40"/>
    </row>
    <row r="5" spans="1:9" x14ac:dyDescent="0.25">
      <c r="A5" s="35" t="s">
        <v>71</v>
      </c>
      <c r="B5" s="42" t="s">
        <v>22</v>
      </c>
      <c r="C5" s="42">
        <v>30.5</v>
      </c>
      <c r="D5" s="42" t="s">
        <v>22</v>
      </c>
      <c r="E5" s="43" t="s">
        <v>59</v>
      </c>
      <c r="F5" s="38" t="s">
        <v>97</v>
      </c>
      <c r="G5" s="39"/>
      <c r="H5" s="39"/>
      <c r="I5" s="40"/>
    </row>
    <row r="6" spans="1:9" ht="18" x14ac:dyDescent="0.35">
      <c r="A6" s="35" t="s">
        <v>207</v>
      </c>
      <c r="B6" s="42" t="s">
        <v>22</v>
      </c>
      <c r="C6" s="42">
        <v>35</v>
      </c>
      <c r="D6" s="42" t="s">
        <v>22</v>
      </c>
      <c r="E6" s="43" t="s">
        <v>114</v>
      </c>
      <c r="F6" s="38" t="s">
        <v>208</v>
      </c>
      <c r="G6" s="39"/>
      <c r="H6" s="39"/>
      <c r="I6" s="40"/>
    </row>
    <row r="7" spans="1:9" x14ac:dyDescent="0.25">
      <c r="A7" s="35" t="s">
        <v>202</v>
      </c>
      <c r="B7" s="42" t="s">
        <v>22</v>
      </c>
      <c r="C7" s="327">
        <v>2.6</v>
      </c>
      <c r="D7" s="330">
        <v>3</v>
      </c>
      <c r="E7" s="43" t="s">
        <v>2</v>
      </c>
      <c r="F7" s="38" t="s">
        <v>57</v>
      </c>
      <c r="G7" s="39"/>
      <c r="H7" s="39"/>
      <c r="I7" s="40"/>
    </row>
    <row r="8" spans="1:9" x14ac:dyDescent="0.25">
      <c r="A8" s="35" t="s">
        <v>35</v>
      </c>
      <c r="B8" s="44">
        <v>400</v>
      </c>
      <c r="C8" s="42" t="s">
        <v>22</v>
      </c>
      <c r="D8" s="42" t="s">
        <v>22</v>
      </c>
      <c r="E8" s="43" t="s">
        <v>19</v>
      </c>
      <c r="F8" s="38" t="s">
        <v>57</v>
      </c>
      <c r="G8" s="39"/>
      <c r="H8" s="39"/>
      <c r="I8" s="40"/>
    </row>
    <row r="9" spans="1:9" x14ac:dyDescent="0.25">
      <c r="A9" s="35" t="s">
        <v>156</v>
      </c>
      <c r="B9" s="42" t="s">
        <v>22</v>
      </c>
      <c r="C9" s="42">
        <v>0.5</v>
      </c>
      <c r="D9" s="42" t="s">
        <v>22</v>
      </c>
      <c r="E9" s="42" t="s">
        <v>22</v>
      </c>
      <c r="F9" s="38" t="s">
        <v>157</v>
      </c>
      <c r="G9" s="39"/>
      <c r="H9" s="39"/>
      <c r="I9" s="40"/>
    </row>
    <row r="10" spans="1:9" x14ac:dyDescent="0.25">
      <c r="A10" s="35" t="s">
        <v>8</v>
      </c>
      <c r="B10" s="42" t="s">
        <v>22</v>
      </c>
      <c r="C10" s="37">
        <v>60</v>
      </c>
      <c r="D10" s="42" t="s">
        <v>22</v>
      </c>
      <c r="E10" s="43" t="s">
        <v>9</v>
      </c>
      <c r="F10" s="38" t="s">
        <v>57</v>
      </c>
      <c r="G10" s="39"/>
      <c r="H10" s="39"/>
      <c r="I10" s="40"/>
    </row>
    <row r="11" spans="1:9" x14ac:dyDescent="0.25">
      <c r="A11" s="35" t="s">
        <v>10</v>
      </c>
      <c r="B11" s="37">
        <v>35</v>
      </c>
      <c r="C11" s="37">
        <v>60</v>
      </c>
      <c r="D11" s="37">
        <v>95</v>
      </c>
      <c r="E11" s="43" t="s">
        <v>109</v>
      </c>
      <c r="F11" s="38" t="s">
        <v>57</v>
      </c>
      <c r="G11" s="39"/>
      <c r="H11" s="39"/>
      <c r="I11" s="40"/>
    </row>
    <row r="12" spans="1:9" x14ac:dyDescent="0.25">
      <c r="A12" s="35" t="s">
        <v>76</v>
      </c>
      <c r="B12" s="41">
        <f>POWER(10,$C$10/20)/(D11/1000000)/1000000</f>
        <v>10.526315789473685</v>
      </c>
      <c r="C12" s="41">
        <f>POWER(10,$C$10/20)/(C11/1000000)/1000000</f>
        <v>16.666666666666664</v>
      </c>
      <c r="D12" s="41">
        <f>POWER(10,$C$10/20)/(B11/1000000)/1000000</f>
        <v>28.571428571428573</v>
      </c>
      <c r="E12" s="43" t="s">
        <v>77</v>
      </c>
      <c r="F12" s="38" t="s">
        <v>48</v>
      </c>
      <c r="G12" s="39"/>
      <c r="H12" s="39"/>
      <c r="I12" s="40"/>
    </row>
    <row r="13" spans="1:9" x14ac:dyDescent="0.25">
      <c r="A13" s="35" t="s">
        <v>0</v>
      </c>
      <c r="B13" s="42" t="s">
        <v>22</v>
      </c>
      <c r="C13" s="120">
        <v>9</v>
      </c>
      <c r="D13" s="42" t="s">
        <v>22</v>
      </c>
      <c r="E13" s="43" t="s">
        <v>3</v>
      </c>
      <c r="F13" s="38" t="s">
        <v>57</v>
      </c>
      <c r="G13" s="39"/>
      <c r="H13" s="39"/>
      <c r="I13" s="40"/>
    </row>
    <row r="14" spans="1:9" x14ac:dyDescent="0.25">
      <c r="A14" s="35" t="s">
        <v>200</v>
      </c>
      <c r="B14" s="141">
        <v>0.2</v>
      </c>
      <c r="C14" s="42" t="s">
        <v>22</v>
      </c>
      <c r="D14" s="141">
        <v>4</v>
      </c>
      <c r="E14" s="43" t="s">
        <v>15</v>
      </c>
      <c r="F14" s="38" t="s">
        <v>55</v>
      </c>
      <c r="G14" s="39"/>
      <c r="H14" s="39"/>
      <c r="I14" s="40"/>
    </row>
    <row r="15" spans="1:9" x14ac:dyDescent="0.25">
      <c r="A15" s="35" t="s">
        <v>38</v>
      </c>
      <c r="B15" s="42">
        <v>-10</v>
      </c>
      <c r="C15" s="42" t="s">
        <v>22</v>
      </c>
      <c r="D15" s="42">
        <v>10</v>
      </c>
      <c r="E15" s="43" t="s">
        <v>24</v>
      </c>
      <c r="F15" s="38" t="s">
        <v>55</v>
      </c>
      <c r="G15" s="39"/>
      <c r="H15" s="39"/>
      <c r="I15" s="40"/>
    </row>
    <row r="16" spans="1:9" ht="18" x14ac:dyDescent="0.35">
      <c r="A16" s="35" t="s">
        <v>104</v>
      </c>
      <c r="B16" s="42" t="s">
        <v>22</v>
      </c>
      <c r="C16" s="42">
        <v>80</v>
      </c>
      <c r="D16" s="37">
        <v>160</v>
      </c>
      <c r="E16" s="43" t="s">
        <v>4</v>
      </c>
      <c r="F16" s="38" t="s">
        <v>102</v>
      </c>
      <c r="G16" s="39"/>
      <c r="H16" s="39"/>
      <c r="I16" s="40"/>
    </row>
    <row r="17" spans="1:9" ht="18" x14ac:dyDescent="0.35">
      <c r="A17" s="35" t="s">
        <v>105</v>
      </c>
      <c r="B17" s="42" t="s">
        <v>22</v>
      </c>
      <c r="C17" s="42">
        <v>100</v>
      </c>
      <c r="D17" s="37">
        <v>160</v>
      </c>
      <c r="E17" s="43" t="s">
        <v>4</v>
      </c>
      <c r="F17" s="38" t="s">
        <v>103</v>
      </c>
      <c r="G17" s="39"/>
      <c r="H17" s="39"/>
      <c r="I17" s="40"/>
    </row>
    <row r="18" spans="1:9" x14ac:dyDescent="0.25">
      <c r="A18" s="35" t="s">
        <v>197</v>
      </c>
      <c r="B18" s="42" t="s">
        <v>22</v>
      </c>
      <c r="C18" s="331">
        <v>3.5999999999999997E-2</v>
      </c>
      <c r="D18" s="42" t="s">
        <v>22</v>
      </c>
      <c r="E18" s="43" t="s">
        <v>5</v>
      </c>
      <c r="F18" s="38" t="s">
        <v>57</v>
      </c>
      <c r="G18" s="39"/>
      <c r="H18" s="39"/>
      <c r="I18" s="40"/>
    </row>
    <row r="19" spans="1:9" x14ac:dyDescent="0.25">
      <c r="A19" s="35" t="s">
        <v>99</v>
      </c>
      <c r="B19" s="42" t="s">
        <v>22</v>
      </c>
      <c r="C19" s="42" t="s">
        <v>22</v>
      </c>
      <c r="D19" s="42">
        <v>150</v>
      </c>
      <c r="E19" s="43" t="s">
        <v>98</v>
      </c>
      <c r="F19" s="38" t="s">
        <v>56</v>
      </c>
      <c r="G19" s="39"/>
      <c r="H19" s="39"/>
      <c r="I19" s="40"/>
    </row>
    <row r="20" spans="1:9" x14ac:dyDescent="0.25">
      <c r="A20" s="35" t="s">
        <v>107</v>
      </c>
      <c r="B20" s="42" t="s">
        <v>22</v>
      </c>
      <c r="C20" s="42">
        <v>0.64</v>
      </c>
      <c r="D20" s="42" t="s">
        <v>22</v>
      </c>
      <c r="E20" s="43" t="s">
        <v>108</v>
      </c>
      <c r="F20" s="38" t="s">
        <v>56</v>
      </c>
      <c r="G20" s="39"/>
      <c r="H20" s="39"/>
      <c r="I20" s="40"/>
    </row>
    <row r="21" spans="1:9" ht="18" x14ac:dyDescent="0.35">
      <c r="A21" s="35" t="s">
        <v>181</v>
      </c>
      <c r="B21" s="42" t="s">
        <v>22</v>
      </c>
      <c r="C21" s="43">
        <v>5</v>
      </c>
      <c r="D21" s="42" t="s">
        <v>22</v>
      </c>
      <c r="E21" s="43" t="s">
        <v>2</v>
      </c>
      <c r="F21" s="38" t="s">
        <v>56</v>
      </c>
      <c r="G21" s="39"/>
      <c r="H21" s="39"/>
      <c r="I21" s="40"/>
    </row>
    <row r="22" spans="1:9" x14ac:dyDescent="0.25">
      <c r="A22" s="35" t="s">
        <v>21</v>
      </c>
      <c r="B22" s="42" t="s">
        <v>22</v>
      </c>
      <c r="C22" s="42" t="s">
        <v>22</v>
      </c>
      <c r="D22" s="43">
        <v>5</v>
      </c>
      <c r="E22" s="43" t="s">
        <v>7</v>
      </c>
      <c r="F22" s="38" t="s">
        <v>56</v>
      </c>
      <c r="G22" s="39"/>
      <c r="H22" s="39"/>
      <c r="I22" s="40"/>
    </row>
    <row r="23" spans="1:9" x14ac:dyDescent="0.25">
      <c r="A23" s="35" t="s">
        <v>297</v>
      </c>
      <c r="B23" s="42" t="s">
        <v>22</v>
      </c>
      <c r="C23" s="45">
        <v>0.9</v>
      </c>
      <c r="D23" s="42" t="s">
        <v>22</v>
      </c>
      <c r="E23" s="43" t="s">
        <v>6</v>
      </c>
      <c r="F23" s="38" t="s">
        <v>184</v>
      </c>
      <c r="G23" s="39"/>
      <c r="H23" s="39"/>
      <c r="I23" s="40"/>
    </row>
    <row r="24" spans="1:9" x14ac:dyDescent="0.25">
      <c r="A24" s="35" t="s">
        <v>298</v>
      </c>
      <c r="B24" s="42" t="s">
        <v>22</v>
      </c>
      <c r="C24" s="45">
        <v>0.8</v>
      </c>
      <c r="D24" s="42" t="s">
        <v>22</v>
      </c>
      <c r="E24" s="43" t="s">
        <v>6</v>
      </c>
      <c r="F24" s="38" t="s">
        <v>184</v>
      </c>
      <c r="G24" s="39"/>
      <c r="H24" s="39"/>
      <c r="I24" s="40"/>
    </row>
    <row r="25" spans="1:9" ht="18" x14ac:dyDescent="0.35">
      <c r="A25" s="35">
        <v>5</v>
      </c>
      <c r="B25" s="45">
        <v>4</v>
      </c>
      <c r="C25" s="42" t="s">
        <v>22</v>
      </c>
      <c r="D25" s="42" t="s">
        <v>22</v>
      </c>
      <c r="E25" s="43" t="s">
        <v>11</v>
      </c>
      <c r="F25" s="38" t="s">
        <v>182</v>
      </c>
      <c r="G25" s="39"/>
      <c r="H25" s="39"/>
      <c r="I25" s="40"/>
    </row>
    <row r="26" spans="1:9" ht="18" x14ac:dyDescent="0.35">
      <c r="A26" s="35">
        <v>90</v>
      </c>
      <c r="B26" s="45">
        <v>2.8</v>
      </c>
      <c r="C26" s="42" t="s">
        <v>22</v>
      </c>
      <c r="D26" s="42" t="s">
        <v>22</v>
      </c>
      <c r="E26" s="43" t="s">
        <v>11</v>
      </c>
      <c r="F26" s="38" t="s">
        <v>183</v>
      </c>
      <c r="G26" s="39"/>
      <c r="H26" s="39"/>
      <c r="I26" s="40"/>
    </row>
    <row r="27" spans="1:9" x14ac:dyDescent="0.25">
      <c r="A27" s="117" t="s">
        <v>144</v>
      </c>
      <c r="B27" s="42" t="s">
        <v>22</v>
      </c>
      <c r="C27" s="118">
        <v>-1.06E-2</v>
      </c>
      <c r="D27" s="42" t="s">
        <v>22</v>
      </c>
      <c r="E27" s="43" t="s">
        <v>146</v>
      </c>
      <c r="F27" s="38" t="s">
        <v>185</v>
      </c>
      <c r="G27" s="39"/>
      <c r="H27" s="39"/>
      <c r="I27" s="40"/>
    </row>
    <row r="28" spans="1:9" x14ac:dyDescent="0.25">
      <c r="A28" s="117" t="s">
        <v>145</v>
      </c>
      <c r="B28" s="42" t="s">
        <v>22</v>
      </c>
      <c r="C28" s="118">
        <v>4.9528999999999996</v>
      </c>
      <c r="D28" s="42" t="s">
        <v>22</v>
      </c>
      <c r="E28" s="43" t="s">
        <v>11</v>
      </c>
      <c r="F28" s="38" t="s">
        <v>186</v>
      </c>
      <c r="G28" s="39"/>
      <c r="H28" s="39"/>
      <c r="I28" s="40"/>
    </row>
    <row r="29" spans="1:9" ht="15.75" thickBot="1" x14ac:dyDescent="0.3">
      <c r="A29" s="189" t="s">
        <v>231</v>
      </c>
      <c r="B29" s="46" t="s">
        <v>22</v>
      </c>
      <c r="C29" s="119">
        <v>0.39300000000000002</v>
      </c>
      <c r="D29" s="46" t="s">
        <v>22</v>
      </c>
      <c r="E29" s="47" t="s">
        <v>232</v>
      </c>
      <c r="F29" s="48" t="s">
        <v>238</v>
      </c>
      <c r="G29" s="49"/>
      <c r="H29" s="49"/>
      <c r="I29" s="50"/>
    </row>
    <row r="30" spans="1:9" ht="15.75" thickBot="1" x14ac:dyDescent="0.3"/>
    <row r="31" spans="1:9" s="12" customFormat="1" ht="18" customHeight="1" x14ac:dyDescent="0.25">
      <c r="A31" s="51" t="s">
        <v>306</v>
      </c>
      <c r="B31" s="52"/>
      <c r="C31" s="52"/>
      <c r="D31" s="52"/>
      <c r="E31" s="52"/>
      <c r="F31" s="53"/>
      <c r="G31" s="54"/>
    </row>
    <row r="32" spans="1:9" x14ac:dyDescent="0.25">
      <c r="A32" s="35" t="s">
        <v>111</v>
      </c>
      <c r="B32" s="43">
        <v>3.3</v>
      </c>
      <c r="C32" s="43" t="s">
        <v>2</v>
      </c>
      <c r="D32" s="55" t="s">
        <v>125</v>
      </c>
      <c r="E32" s="43"/>
      <c r="F32" s="39"/>
      <c r="G32" s="40"/>
    </row>
    <row r="33" spans="1:7" ht="18" x14ac:dyDescent="0.35">
      <c r="A33" s="35" t="s">
        <v>158</v>
      </c>
      <c r="B33" s="43">
        <v>3.5</v>
      </c>
      <c r="C33" s="43" t="s">
        <v>11</v>
      </c>
      <c r="D33" s="55" t="s">
        <v>159</v>
      </c>
      <c r="E33" s="43"/>
      <c r="F33" s="39"/>
      <c r="G33" s="40"/>
    </row>
    <row r="34" spans="1:7" x14ac:dyDescent="0.25">
      <c r="A34" s="35" t="s">
        <v>117</v>
      </c>
      <c r="B34" s="43">
        <v>1.75</v>
      </c>
      <c r="C34" s="43" t="s">
        <v>11</v>
      </c>
      <c r="D34" s="55" t="s">
        <v>151</v>
      </c>
      <c r="E34" s="43"/>
      <c r="F34" s="39"/>
      <c r="G34" s="40"/>
    </row>
    <row r="35" spans="1:7" ht="18" x14ac:dyDescent="0.35">
      <c r="A35" s="35" t="s">
        <v>160</v>
      </c>
      <c r="B35" s="114">
        <f>100*B34/B33</f>
        <v>50</v>
      </c>
      <c r="C35" s="43" t="s">
        <v>24</v>
      </c>
      <c r="D35" s="55" t="s">
        <v>163</v>
      </c>
      <c r="E35" s="43"/>
      <c r="F35" s="39"/>
      <c r="G35" s="40"/>
    </row>
    <row r="36" spans="1:7" x14ac:dyDescent="0.25">
      <c r="A36" s="35" t="s">
        <v>112</v>
      </c>
      <c r="B36" s="43">
        <v>1</v>
      </c>
      <c r="C36" s="42" t="s">
        <v>22</v>
      </c>
      <c r="D36" s="55" t="s">
        <v>164</v>
      </c>
      <c r="E36" s="43"/>
      <c r="F36" s="39"/>
      <c r="G36" s="40"/>
    </row>
    <row r="37" spans="1:7" ht="18" x14ac:dyDescent="0.35">
      <c r="A37" s="35" t="s">
        <v>127</v>
      </c>
      <c r="B37" s="43">
        <v>0.5</v>
      </c>
      <c r="C37" s="43" t="s">
        <v>15</v>
      </c>
      <c r="D37" s="55" t="s">
        <v>128</v>
      </c>
      <c r="E37" s="43"/>
      <c r="F37" s="39"/>
      <c r="G37" s="40"/>
    </row>
    <row r="38" spans="1:7" x14ac:dyDescent="0.25">
      <c r="A38" s="35" t="s">
        <v>118</v>
      </c>
      <c r="B38" s="43">
        <v>220</v>
      </c>
      <c r="C38" s="43" t="s">
        <v>19</v>
      </c>
      <c r="D38" s="55" t="s">
        <v>116</v>
      </c>
      <c r="E38" s="43"/>
      <c r="F38" s="39"/>
      <c r="G38" s="40"/>
    </row>
    <row r="39" spans="1:7" x14ac:dyDescent="0.25">
      <c r="A39" s="35" t="s">
        <v>113</v>
      </c>
      <c r="B39" s="43">
        <v>10</v>
      </c>
      <c r="C39" s="43" t="s">
        <v>24</v>
      </c>
      <c r="D39" s="55" t="s">
        <v>126</v>
      </c>
      <c r="E39" s="43"/>
      <c r="F39" s="39"/>
      <c r="G39" s="40"/>
    </row>
    <row r="40" spans="1:7" x14ac:dyDescent="0.25">
      <c r="A40" s="35" t="s">
        <v>26</v>
      </c>
      <c r="B40" s="114">
        <v>6</v>
      </c>
      <c r="C40" s="43" t="s">
        <v>114</v>
      </c>
      <c r="D40" s="55" t="s">
        <v>119</v>
      </c>
      <c r="E40" s="43"/>
      <c r="F40" s="39"/>
      <c r="G40" s="40"/>
    </row>
    <row r="41" spans="1:7" x14ac:dyDescent="0.25">
      <c r="A41" s="35" t="s">
        <v>27</v>
      </c>
      <c r="B41" s="43">
        <v>1.8</v>
      </c>
      <c r="C41" s="43" t="s">
        <v>28</v>
      </c>
      <c r="D41" s="55" t="s">
        <v>119</v>
      </c>
      <c r="E41" s="43"/>
      <c r="F41" s="39"/>
      <c r="G41" s="40"/>
    </row>
    <row r="42" spans="1:7" ht="17.25" x14ac:dyDescent="0.25">
      <c r="A42" s="88" t="s">
        <v>123</v>
      </c>
      <c r="B42" s="89" t="s">
        <v>22</v>
      </c>
      <c r="C42" s="90">
        <v>-9.5299999999999996E-4</v>
      </c>
      <c r="D42" s="89" t="s">
        <v>300</v>
      </c>
      <c r="E42" s="91" t="s">
        <v>299</v>
      </c>
      <c r="F42" s="92"/>
      <c r="G42" s="93"/>
    </row>
    <row r="43" spans="1:7" ht="17.25" x14ac:dyDescent="0.25">
      <c r="A43" s="88" t="s">
        <v>123</v>
      </c>
      <c r="B43" s="89" t="s">
        <v>22</v>
      </c>
      <c r="C43" s="90">
        <v>3.6531000000000001E-2</v>
      </c>
      <c r="D43" s="89" t="s">
        <v>167</v>
      </c>
      <c r="E43" s="91" t="s">
        <v>148</v>
      </c>
      <c r="F43" s="92"/>
      <c r="G43" s="93"/>
    </row>
    <row r="44" spans="1:7" ht="17.25" x14ac:dyDescent="0.25">
      <c r="A44" s="88" t="s">
        <v>123</v>
      </c>
      <c r="B44" s="89" t="s">
        <v>22</v>
      </c>
      <c r="C44" s="90">
        <v>-0.43844300000000003</v>
      </c>
      <c r="D44" s="89" t="s">
        <v>169</v>
      </c>
      <c r="E44" s="91" t="s">
        <v>149</v>
      </c>
      <c r="F44" s="92"/>
      <c r="G44" s="93"/>
    </row>
    <row r="45" spans="1:7" x14ac:dyDescent="0.25">
      <c r="A45" s="88" t="s">
        <v>123</v>
      </c>
      <c r="B45" s="89" t="s">
        <v>22</v>
      </c>
      <c r="C45" s="90">
        <v>0.83666499999999999</v>
      </c>
      <c r="D45" s="89" t="s">
        <v>168</v>
      </c>
      <c r="E45" s="91" t="s">
        <v>150</v>
      </c>
      <c r="F45" s="92"/>
      <c r="G45" s="93"/>
    </row>
    <row r="46" spans="1:7" ht="15.75" thickBot="1" x14ac:dyDescent="0.3">
      <c r="A46" s="94" t="s">
        <v>123</v>
      </c>
      <c r="B46" s="95" t="s">
        <v>22</v>
      </c>
      <c r="C46" s="96">
        <v>16.362507999999998</v>
      </c>
      <c r="D46" s="95" t="s">
        <v>115</v>
      </c>
      <c r="E46" s="97" t="s">
        <v>170</v>
      </c>
      <c r="F46" s="98"/>
      <c r="G46" s="99"/>
    </row>
    <row r="47" spans="1:7" x14ac:dyDescent="0.25">
      <c r="A47" s="35" t="s">
        <v>303</v>
      </c>
      <c r="B47" s="114">
        <v>0</v>
      </c>
      <c r="C47" s="45">
        <v>16</v>
      </c>
      <c r="D47" s="42" t="s">
        <v>166</v>
      </c>
      <c r="E47" s="55" t="s">
        <v>120</v>
      </c>
      <c r="F47" s="39"/>
      <c r="G47" s="40"/>
    </row>
    <row r="48" spans="1:7" x14ac:dyDescent="0.25">
      <c r="A48" s="35" t="s">
        <v>303</v>
      </c>
      <c r="B48" s="114">
        <v>0.08</v>
      </c>
      <c r="C48" s="45">
        <v>16.123665954468596</v>
      </c>
      <c r="D48" s="42" t="s">
        <v>166</v>
      </c>
      <c r="E48" s="55" t="s">
        <v>120</v>
      </c>
      <c r="F48" s="39"/>
      <c r="G48" s="40"/>
    </row>
    <row r="49" spans="1:7" x14ac:dyDescent="0.25">
      <c r="A49" s="35" t="s">
        <v>303</v>
      </c>
      <c r="B49" s="114">
        <v>0.16</v>
      </c>
      <c r="C49" s="45">
        <v>16.236819826111848</v>
      </c>
      <c r="D49" s="42" t="s">
        <v>166</v>
      </c>
      <c r="E49" s="55" t="s">
        <v>120</v>
      </c>
      <c r="F49" s="39"/>
      <c r="G49" s="40"/>
    </row>
    <row r="50" spans="1:7" x14ac:dyDescent="0.25">
      <c r="A50" s="35" t="s">
        <v>303</v>
      </c>
      <c r="B50" s="114">
        <v>0.24</v>
      </c>
      <c r="C50" s="45">
        <v>16.339886667558634</v>
      </c>
      <c r="D50" s="42" t="s">
        <v>166</v>
      </c>
      <c r="E50" s="55" t="s">
        <v>120</v>
      </c>
      <c r="F50" s="39"/>
      <c r="G50" s="40"/>
    </row>
    <row r="51" spans="1:7" x14ac:dyDescent="0.25">
      <c r="A51" s="35" t="s">
        <v>303</v>
      </c>
      <c r="B51" s="114">
        <v>0.32</v>
      </c>
      <c r="C51" s="45">
        <v>16.433269875782248</v>
      </c>
      <c r="D51" s="42" t="s">
        <v>166</v>
      </c>
      <c r="E51" s="55" t="s">
        <v>120</v>
      </c>
      <c r="F51" s="39"/>
      <c r="G51" s="40"/>
    </row>
    <row r="52" spans="1:7" x14ac:dyDescent="0.25">
      <c r="A52" s="35" t="s">
        <v>303</v>
      </c>
      <c r="B52" s="114">
        <v>0.4</v>
      </c>
      <c r="C52" s="45">
        <v>16.517352736731056</v>
      </c>
      <c r="D52" s="42" t="s">
        <v>166</v>
      </c>
      <c r="E52" s="55" t="s">
        <v>120</v>
      </c>
      <c r="F52" s="39"/>
      <c r="G52" s="40"/>
    </row>
    <row r="53" spans="1:7" x14ac:dyDescent="0.25">
      <c r="A53" s="35" t="s">
        <v>303</v>
      </c>
      <c r="B53" s="114">
        <v>0.48</v>
      </c>
      <c r="C53" s="45">
        <v>16.592499898496577</v>
      </c>
      <c r="D53" s="42" t="s">
        <v>166</v>
      </c>
      <c r="E53" s="55" t="s">
        <v>120</v>
      </c>
      <c r="F53" s="39"/>
      <c r="G53" s="40"/>
    </row>
    <row r="54" spans="1:7" x14ac:dyDescent="0.25">
      <c r="A54" s="35" t="s">
        <v>303</v>
      </c>
      <c r="B54" s="114">
        <v>0.56000000000000005</v>
      </c>
      <c r="C54" s="45">
        <v>16.659058762734489</v>
      </c>
      <c r="D54" s="42" t="s">
        <v>166</v>
      </c>
      <c r="E54" s="55" t="s">
        <v>120</v>
      </c>
      <c r="F54" s="39"/>
      <c r="G54" s="40"/>
    </row>
    <row r="55" spans="1:7" x14ac:dyDescent="0.25">
      <c r="A55" s="35" t="s">
        <v>303</v>
      </c>
      <c r="B55" s="114">
        <v>0.64</v>
      </c>
      <c r="C55" s="45">
        <v>16.717360788359734</v>
      </c>
      <c r="D55" s="42" t="s">
        <v>166</v>
      </c>
      <c r="E55" s="55" t="s">
        <v>120</v>
      </c>
      <c r="F55" s="39"/>
      <c r="G55" s="40"/>
    </row>
    <row r="56" spans="1:7" x14ac:dyDescent="0.25">
      <c r="A56" s="35" t="s">
        <v>303</v>
      </c>
      <c r="B56" s="114">
        <v>0.72</v>
      </c>
      <c r="C56" s="45">
        <v>16.767722704809984</v>
      </c>
      <c r="D56" s="42" t="s">
        <v>166</v>
      </c>
      <c r="E56" s="55" t="s">
        <v>120</v>
      </c>
      <c r="F56" s="39"/>
      <c r="G56" s="40"/>
    </row>
    <row r="57" spans="1:7" x14ac:dyDescent="0.25">
      <c r="A57" s="35" t="s">
        <v>303</v>
      </c>
      <c r="B57" s="114">
        <v>0.8</v>
      </c>
      <c r="C57" s="45">
        <v>16.810447634623721</v>
      </c>
      <c r="D57" s="42" t="s">
        <v>166</v>
      </c>
      <c r="E57" s="55" t="s">
        <v>120</v>
      </c>
      <c r="F57" s="39"/>
      <c r="G57" s="40"/>
    </row>
    <row r="58" spans="1:7" x14ac:dyDescent="0.25">
      <c r="A58" s="35" t="s">
        <v>303</v>
      </c>
      <c r="B58" s="114">
        <v>0.88</v>
      </c>
      <c r="C58" s="45">
        <v>16.845826126891417</v>
      </c>
      <c r="D58" s="42" t="s">
        <v>166</v>
      </c>
      <c r="E58" s="55" t="s">
        <v>120</v>
      </c>
      <c r="F58" s="39"/>
      <c r="G58" s="40"/>
    </row>
    <row r="59" spans="1:7" x14ac:dyDescent="0.25">
      <c r="A59" s="35" t="s">
        <v>303</v>
      </c>
      <c r="B59" s="114">
        <v>0.96</v>
      </c>
      <c r="C59" s="45">
        <v>16.874137104440166</v>
      </c>
      <c r="D59" s="42" t="s">
        <v>166</v>
      </c>
      <c r="E59" s="55" t="s">
        <v>120</v>
      </c>
      <c r="F59" s="39"/>
      <c r="G59" s="40"/>
    </row>
    <row r="60" spans="1:7" x14ac:dyDescent="0.25">
      <c r="A60" s="35" t="s">
        <v>303</v>
      </c>
      <c r="B60" s="114">
        <v>1.04</v>
      </c>
      <c r="C60" s="45">
        <v>16.895648728525039</v>
      </c>
      <c r="D60" s="42" t="s">
        <v>166</v>
      </c>
      <c r="E60" s="55" t="s">
        <v>120</v>
      </c>
      <c r="F60" s="39"/>
      <c r="G60" s="40"/>
    </row>
    <row r="61" spans="1:7" x14ac:dyDescent="0.25">
      <c r="A61" s="35" t="s">
        <v>303</v>
      </c>
      <c r="B61" s="114">
        <v>1.1200000000000001</v>
      </c>
      <c r="C61" s="45">
        <v>16.910619185401959</v>
      </c>
      <c r="D61" s="42" t="s">
        <v>166</v>
      </c>
      <c r="E61" s="55" t="s">
        <v>120</v>
      </c>
      <c r="F61" s="39"/>
      <c r="G61" s="40"/>
    </row>
    <row r="62" spans="1:7" x14ac:dyDescent="0.25">
      <c r="A62" s="35" t="s">
        <v>303</v>
      </c>
      <c r="B62" s="114">
        <v>1.2</v>
      </c>
      <c r="C62" s="45">
        <v>16.919297399526716</v>
      </c>
      <c r="D62" s="42" t="s">
        <v>166</v>
      </c>
      <c r="E62" s="55" t="s">
        <v>120</v>
      </c>
      <c r="F62" s="39"/>
      <c r="G62" s="40"/>
    </row>
    <row r="63" spans="1:7" x14ac:dyDescent="0.25">
      <c r="A63" s="35" t="s">
        <v>303</v>
      </c>
      <c r="B63" s="114">
        <v>1.28</v>
      </c>
      <c r="C63" s="45">
        <v>16.921923678311423</v>
      </c>
      <c r="D63" s="42" t="s">
        <v>166</v>
      </c>
      <c r="E63" s="55" t="s">
        <v>120</v>
      </c>
      <c r="F63" s="39"/>
      <c r="G63" s="40"/>
    </row>
    <row r="64" spans="1:7" x14ac:dyDescent="0.25">
      <c r="A64" s="35" t="s">
        <v>303</v>
      </c>
      <c r="B64" s="114">
        <v>1.36</v>
      </c>
      <c r="C64" s="45">
        <v>16.918730293421302</v>
      </c>
      <c r="D64" s="42" t="s">
        <v>166</v>
      </c>
      <c r="E64" s="55" t="s">
        <v>120</v>
      </c>
      <c r="F64" s="39"/>
      <c r="G64" s="40"/>
    </row>
    <row r="65" spans="1:7" x14ac:dyDescent="0.25">
      <c r="A65" s="35" t="s">
        <v>303</v>
      </c>
      <c r="B65" s="114">
        <v>1.44</v>
      </c>
      <c r="C65" s="45">
        <v>16.909942003543204</v>
      </c>
      <c r="D65" s="42" t="s">
        <v>166</v>
      </c>
      <c r="E65" s="55" t="s">
        <v>120</v>
      </c>
      <c r="F65" s="39"/>
      <c r="G65" s="40"/>
    </row>
    <row r="66" spans="1:7" x14ac:dyDescent="0.25">
      <c r="A66" s="35" t="s">
        <v>303</v>
      </c>
      <c r="B66" s="114">
        <v>1.52</v>
      </c>
      <c r="C66" s="45">
        <v>16.895776523434069</v>
      </c>
      <c r="D66" s="42" t="s">
        <v>166</v>
      </c>
      <c r="E66" s="55" t="s">
        <v>120</v>
      </c>
      <c r="F66" s="39"/>
      <c r="G66" s="40"/>
    </row>
    <row r="67" spans="1:7" x14ac:dyDescent="0.25">
      <c r="A67" s="35" t="s">
        <v>303</v>
      </c>
      <c r="B67" s="114">
        <v>1.6</v>
      </c>
      <c r="C67" s="45">
        <v>16.876444943876123</v>
      </c>
      <c r="D67" s="42" t="s">
        <v>166</v>
      </c>
      <c r="E67" s="55" t="s">
        <v>120</v>
      </c>
      <c r="F67" s="39"/>
      <c r="G67" s="40"/>
    </row>
    <row r="68" spans="1:7" x14ac:dyDescent="0.25">
      <c r="A68" s="35" t="s">
        <v>303</v>
      </c>
      <c r="B68" s="114">
        <v>1.68</v>
      </c>
      <c r="C68" s="45">
        <v>16.852152106954872</v>
      </c>
      <c r="D68" s="42" t="s">
        <v>166</v>
      </c>
      <c r="E68" s="55" t="s">
        <v>120</v>
      </c>
      <c r="F68" s="39"/>
      <c r="G68" s="40"/>
    </row>
    <row r="69" spans="1:7" x14ac:dyDescent="0.25">
      <c r="A69" s="35" t="s">
        <v>303</v>
      </c>
      <c r="B69" s="114">
        <v>1.76</v>
      </c>
      <c r="C69" s="45">
        <v>16.823096940833629</v>
      </c>
      <c r="D69" s="42" t="s">
        <v>166</v>
      </c>
      <c r="E69" s="55" t="s">
        <v>120</v>
      </c>
      <c r="F69" s="39"/>
      <c r="G69" s="40"/>
    </row>
    <row r="70" spans="1:7" x14ac:dyDescent="0.25">
      <c r="A70" s="35" t="s">
        <v>303</v>
      </c>
      <c r="B70" s="114">
        <v>1.84</v>
      </c>
      <c r="C70" s="45">
        <v>16.789472757948865</v>
      </c>
      <c r="D70" s="42" t="s">
        <v>166</v>
      </c>
      <c r="E70" s="55" t="s">
        <v>120</v>
      </c>
      <c r="F70" s="39"/>
      <c r="G70" s="40"/>
    </row>
    <row r="71" spans="1:7" x14ac:dyDescent="0.25">
      <c r="A71" s="35" t="s">
        <v>303</v>
      </c>
      <c r="B71" s="114">
        <v>1.92</v>
      </c>
      <c r="C71" s="45">
        <v>16.751467520291907</v>
      </c>
      <c r="D71" s="42" t="s">
        <v>166</v>
      </c>
      <c r="E71" s="55" t="s">
        <v>120</v>
      </c>
      <c r="F71" s="39"/>
      <c r="G71" s="40"/>
    </row>
    <row r="72" spans="1:7" x14ac:dyDescent="0.25">
      <c r="A72" s="35" t="s">
        <v>303</v>
      </c>
      <c r="B72" s="114">
        <v>2</v>
      </c>
      <c r="C72" s="45">
        <v>16.709264075184812</v>
      </c>
      <c r="D72" s="42" t="s">
        <v>166</v>
      </c>
      <c r="E72" s="55" t="s">
        <v>120</v>
      </c>
      <c r="F72" s="39"/>
      <c r="G72" s="40"/>
    </row>
    <row r="73" spans="1:7" x14ac:dyDescent="0.25">
      <c r="A73" s="35" t="s">
        <v>303</v>
      </c>
      <c r="B73" s="114">
        <v>2.08</v>
      </c>
      <c r="C73" s="45">
        <v>16.663040364701413</v>
      </c>
      <c r="D73" s="42" t="s">
        <v>166</v>
      </c>
      <c r="E73" s="55" t="s">
        <v>120</v>
      </c>
      <c r="F73" s="39"/>
      <c r="G73" s="40"/>
    </row>
    <row r="74" spans="1:7" x14ac:dyDescent="0.25">
      <c r="A74" s="35" t="s">
        <v>303</v>
      </c>
      <c r="B74" s="114">
        <v>2.16</v>
      </c>
      <c r="C74" s="45">
        <v>16.612969611641727</v>
      </c>
      <c r="D74" s="42" t="s">
        <v>166</v>
      </c>
      <c r="E74" s="55" t="s">
        <v>120</v>
      </c>
      <c r="F74" s="39"/>
      <c r="G74" s="40"/>
    </row>
    <row r="75" spans="1:7" x14ac:dyDescent="0.25">
      <c r="A75" s="35" t="s">
        <v>303</v>
      </c>
      <c r="B75" s="114">
        <v>2.2400000000000002</v>
      </c>
      <c r="C75" s="45">
        <v>16.559220484725426</v>
      </c>
      <c r="D75" s="42" t="s">
        <v>166</v>
      </c>
      <c r="E75" s="55" t="s">
        <v>120</v>
      </c>
      <c r="F75" s="39"/>
      <c r="G75" s="40"/>
    </row>
    <row r="76" spans="1:7" x14ac:dyDescent="0.25">
      <c r="A76" s="35" t="s">
        <v>303</v>
      </c>
      <c r="B76" s="114">
        <v>2.3199999999999998</v>
      </c>
      <c r="C76" s="45">
        <v>16.501957245445372</v>
      </c>
      <c r="D76" s="42" t="s">
        <v>166</v>
      </c>
      <c r="E76" s="55" t="s">
        <v>120</v>
      </c>
      <c r="F76" s="39"/>
      <c r="G76" s="40"/>
    </row>
    <row r="77" spans="1:7" x14ac:dyDescent="0.25">
      <c r="A77" s="35" t="s">
        <v>303</v>
      </c>
      <c r="B77" s="114">
        <v>2.4</v>
      </c>
      <c r="C77" s="45">
        <v>16.441339878807337</v>
      </c>
      <c r="D77" s="42" t="s">
        <v>166</v>
      </c>
      <c r="E77" s="55" t="s">
        <v>120</v>
      </c>
      <c r="F77" s="39"/>
      <c r="G77" s="40"/>
    </row>
    <row r="78" spans="1:7" x14ac:dyDescent="0.25">
      <c r="A78" s="35" t="s">
        <v>303</v>
      </c>
      <c r="B78" s="114">
        <v>2.48</v>
      </c>
      <c r="C78" s="45">
        <v>16.37752420997732</v>
      </c>
      <c r="D78" s="42" t="s">
        <v>166</v>
      </c>
      <c r="E78" s="55" t="s">
        <v>120</v>
      </c>
      <c r="F78" s="39"/>
      <c r="G78" s="40"/>
    </row>
    <row r="79" spans="1:7" x14ac:dyDescent="0.25">
      <c r="A79" s="35" t="s">
        <v>303</v>
      </c>
      <c r="B79" s="114">
        <v>2.56</v>
      </c>
      <c r="C79" s="45">
        <v>16.310662008668714</v>
      </c>
      <c r="D79" s="42" t="s">
        <v>166</v>
      </c>
      <c r="E79" s="55" t="s">
        <v>120</v>
      </c>
      <c r="F79" s="39"/>
      <c r="G79" s="40"/>
    </row>
    <row r="80" spans="1:7" x14ac:dyDescent="0.25">
      <c r="A80" s="35" t="s">
        <v>303</v>
      </c>
      <c r="B80" s="114">
        <v>2.64</v>
      </c>
      <c r="C80" s="45">
        <v>16.240901082922832</v>
      </c>
      <c r="D80" s="42" t="s">
        <v>166</v>
      </c>
      <c r="E80" s="55" t="s">
        <v>120</v>
      </c>
      <c r="F80" s="39"/>
      <c r="G80" s="40"/>
    </row>
    <row r="81" spans="1:7" x14ac:dyDescent="0.25">
      <c r="A81" s="35" t="s">
        <v>303</v>
      </c>
      <c r="B81" s="114">
        <v>2.72</v>
      </c>
      <c r="C81" s="45">
        <v>16.168385363773801</v>
      </c>
      <c r="D81" s="42" t="s">
        <v>166</v>
      </c>
      <c r="E81" s="55" t="s">
        <v>120</v>
      </c>
      <c r="F81" s="39"/>
      <c r="G81" s="40"/>
    </row>
    <row r="82" spans="1:7" x14ac:dyDescent="0.25">
      <c r="A82" s="35" t="s">
        <v>303</v>
      </c>
      <c r="B82" s="114">
        <v>2.8</v>
      </c>
      <c r="C82" s="45">
        <v>16.093254982128915</v>
      </c>
      <c r="D82" s="42" t="s">
        <v>166</v>
      </c>
      <c r="E82" s="55" t="s">
        <v>120</v>
      </c>
      <c r="F82" s="39"/>
      <c r="G82" s="40"/>
    </row>
    <row r="83" spans="1:7" x14ac:dyDescent="0.25">
      <c r="A83" s="35" t="s">
        <v>303</v>
      </c>
      <c r="B83" s="114">
        <v>2.88</v>
      </c>
      <c r="C83" s="45">
        <v>16.015646339062378</v>
      </c>
      <c r="D83" s="42" t="s">
        <v>166</v>
      </c>
      <c r="E83" s="55" t="s">
        <v>120</v>
      </c>
      <c r="F83" s="39"/>
      <c r="G83" s="40"/>
    </row>
    <row r="84" spans="1:7" x14ac:dyDescent="0.25">
      <c r="A84" s="35" t="s">
        <v>303</v>
      </c>
      <c r="B84" s="114">
        <v>2.96</v>
      </c>
      <c r="C84" s="45">
        <v>15.93569217058146</v>
      </c>
      <c r="D84" s="42" t="s">
        <v>166</v>
      </c>
      <c r="E84" s="55" t="s">
        <v>120</v>
      </c>
      <c r="F84" s="39"/>
      <c r="G84" s="40"/>
    </row>
    <row r="85" spans="1:7" x14ac:dyDescent="0.25">
      <c r="A85" s="35" t="s">
        <v>303</v>
      </c>
      <c r="B85" s="114">
        <v>3.04</v>
      </c>
      <c r="C85" s="45">
        <v>15.853521607810661</v>
      </c>
      <c r="D85" s="42" t="s">
        <v>166</v>
      </c>
      <c r="E85" s="55" t="s">
        <v>120</v>
      </c>
      <c r="F85" s="39"/>
      <c r="G85" s="40"/>
    </row>
    <row r="86" spans="1:7" x14ac:dyDescent="0.25">
      <c r="A86" s="35" t="s">
        <v>303</v>
      </c>
      <c r="B86" s="114">
        <v>3.12</v>
      </c>
      <c r="C86" s="45">
        <v>15.769260233423358</v>
      </c>
      <c r="D86" s="42" t="s">
        <v>166</v>
      </c>
      <c r="E86" s="55" t="s">
        <v>120</v>
      </c>
      <c r="F86" s="39"/>
      <c r="G86" s="40"/>
    </row>
    <row r="87" spans="1:7" x14ac:dyDescent="0.25">
      <c r="A87" s="35" t="s">
        <v>303</v>
      </c>
      <c r="B87" s="114">
        <v>3.2</v>
      </c>
      <c r="C87" s="45">
        <v>15.68303013505518</v>
      </c>
      <c r="D87" s="42" t="s">
        <v>166</v>
      </c>
      <c r="E87" s="55" t="s">
        <v>120</v>
      </c>
      <c r="F87" s="39"/>
      <c r="G87" s="40"/>
    </row>
    <row r="88" spans="1:7" x14ac:dyDescent="0.25">
      <c r="A88" s="35" t="s">
        <v>303</v>
      </c>
      <c r="B88" s="114">
        <v>3.28</v>
      </c>
      <c r="C88" s="45">
        <v>15.594949956336631</v>
      </c>
      <c r="D88" s="42" t="s">
        <v>166</v>
      </c>
      <c r="E88" s="55" t="s">
        <v>120</v>
      </c>
      <c r="F88" s="39"/>
      <c r="G88" s="40"/>
    </row>
    <row r="89" spans="1:7" x14ac:dyDescent="0.25">
      <c r="A89" s="35" t="s">
        <v>303</v>
      </c>
      <c r="B89" s="114">
        <v>3.36</v>
      </c>
      <c r="C89" s="45">
        <v>15.50513494610442</v>
      </c>
      <c r="D89" s="42" t="s">
        <v>166</v>
      </c>
      <c r="E89" s="55" t="s">
        <v>120</v>
      </c>
      <c r="F89" s="39"/>
      <c r="G89" s="40"/>
    </row>
    <row r="90" spans="1:7" x14ac:dyDescent="0.25">
      <c r="A90" s="35" t="s">
        <v>303</v>
      </c>
      <c r="B90" s="114">
        <v>3.44</v>
      </c>
      <c r="C90" s="45">
        <v>15.413697006267899</v>
      </c>
      <c r="D90" s="42" t="s">
        <v>166</v>
      </c>
      <c r="E90" s="55" t="s">
        <v>120</v>
      </c>
      <c r="F90" s="39"/>
      <c r="G90" s="40"/>
    </row>
    <row r="91" spans="1:7" x14ac:dyDescent="0.25">
      <c r="A91" s="35" t="s">
        <v>303</v>
      </c>
      <c r="B91" s="114">
        <v>3.52</v>
      </c>
      <c r="C91" s="45">
        <v>15.320744738746658</v>
      </c>
      <c r="D91" s="42" t="s">
        <v>166</v>
      </c>
      <c r="E91" s="55" t="s">
        <v>120</v>
      </c>
      <c r="F91" s="39"/>
      <c r="G91" s="40"/>
    </row>
    <row r="92" spans="1:7" x14ac:dyDescent="0.25">
      <c r="A92" s="35" t="s">
        <v>303</v>
      </c>
      <c r="B92" s="114">
        <v>3.6</v>
      </c>
      <c r="C92" s="45">
        <v>15.226383491824285</v>
      </c>
      <c r="D92" s="42" t="s">
        <v>166</v>
      </c>
      <c r="E92" s="55" t="s">
        <v>120</v>
      </c>
      <c r="F92" s="39"/>
      <c r="G92" s="40"/>
    </row>
    <row r="93" spans="1:7" x14ac:dyDescent="0.25">
      <c r="A93" s="35" t="s">
        <v>303</v>
      </c>
      <c r="B93" s="114">
        <v>3.68</v>
      </c>
      <c r="C93" s="45">
        <v>15.130715406219572</v>
      </c>
      <c r="D93" s="42" t="s">
        <v>166</v>
      </c>
      <c r="E93" s="55" t="s">
        <v>120</v>
      </c>
      <c r="F93" s="39"/>
      <c r="G93" s="40"/>
    </row>
    <row r="94" spans="1:7" x14ac:dyDescent="0.25">
      <c r="A94" s="35" t="s">
        <v>303</v>
      </c>
      <c r="B94" s="114">
        <v>3.76</v>
      </c>
      <c r="C94" s="45">
        <v>15.033839461112004</v>
      </c>
      <c r="D94" s="42" t="s">
        <v>166</v>
      </c>
      <c r="E94" s="55" t="s">
        <v>120</v>
      </c>
      <c r="F94" s="39"/>
      <c r="G94" s="40"/>
    </row>
    <row r="95" spans="1:7" x14ac:dyDescent="0.25">
      <c r="A95" s="35" t="s">
        <v>303</v>
      </c>
      <c r="B95" s="114">
        <v>3.84</v>
      </c>
      <c r="C95" s="45">
        <v>14.935851520326372</v>
      </c>
      <c r="D95" s="42" t="s">
        <v>166</v>
      </c>
      <c r="E95" s="55" t="s">
        <v>120</v>
      </c>
      <c r="F95" s="39"/>
      <c r="G95" s="40"/>
    </row>
    <row r="96" spans="1:7" x14ac:dyDescent="0.25">
      <c r="A96" s="35" t="s">
        <v>303</v>
      </c>
      <c r="B96" s="114">
        <v>3.92</v>
      </c>
      <c r="C96" s="45">
        <v>14.83684437883249</v>
      </c>
      <c r="D96" s="42" t="s">
        <v>166</v>
      </c>
      <c r="E96" s="55" t="s">
        <v>120</v>
      </c>
      <c r="F96" s="39"/>
      <c r="G96" s="40"/>
    </row>
    <row r="97" spans="1:7" x14ac:dyDescent="0.25">
      <c r="A97" s="35" t="s">
        <v>303</v>
      </c>
      <c r="B97" s="114">
        <v>4</v>
      </c>
      <c r="C97" s="45">
        <v>14.736907809689647</v>
      </c>
      <c r="D97" s="42" t="s">
        <v>166</v>
      </c>
      <c r="E97" s="55" t="s">
        <v>120</v>
      </c>
      <c r="F97" s="39"/>
      <c r="G97" s="40"/>
    </row>
    <row r="98" spans="1:7" x14ac:dyDescent="0.25">
      <c r="A98" s="35" t="s">
        <v>303</v>
      </c>
      <c r="B98" s="114">
        <v>4.08</v>
      </c>
      <c r="C98" s="45">
        <v>14.636128611523228</v>
      </c>
      <c r="D98" s="42" t="s">
        <v>166</v>
      </c>
      <c r="E98" s="55" t="s">
        <v>120</v>
      </c>
      <c r="F98" s="39"/>
      <c r="G98" s="40"/>
    </row>
    <row r="99" spans="1:7" x14ac:dyDescent="0.25">
      <c r="A99" s="35" t="s">
        <v>303</v>
      </c>
      <c r="B99" s="114">
        <v>4.16</v>
      </c>
      <c r="C99" s="45">
        <v>14.534590656602752</v>
      </c>
      <c r="D99" s="42" t="s">
        <v>166</v>
      </c>
      <c r="E99" s="55" t="s">
        <v>120</v>
      </c>
      <c r="F99" s="39"/>
      <c r="G99" s="40"/>
    </row>
    <row r="100" spans="1:7" x14ac:dyDescent="0.25">
      <c r="A100" s="35" t="s">
        <v>303</v>
      </c>
      <c r="B100" s="114">
        <v>4.24</v>
      </c>
      <c r="C100" s="45">
        <v>14.432374939561489</v>
      </c>
      <c r="D100" s="42" t="s">
        <v>166</v>
      </c>
      <c r="E100" s="55" t="s">
        <v>120</v>
      </c>
      <c r="F100" s="39"/>
      <c r="G100" s="40"/>
    </row>
    <row r="101" spans="1:7" x14ac:dyDescent="0.25">
      <c r="A101" s="35" t="s">
        <v>303</v>
      </c>
      <c r="B101" s="114">
        <v>4.32</v>
      </c>
      <c r="C101" s="45">
        <v>14.329559626780288</v>
      </c>
      <c r="D101" s="42" t="s">
        <v>166</v>
      </c>
      <c r="E101" s="55" t="s">
        <v>120</v>
      </c>
      <c r="F101" s="39"/>
      <c r="G101" s="40"/>
    </row>
    <row r="102" spans="1:7" x14ac:dyDescent="0.25">
      <c r="A102" s="35" t="s">
        <v>303</v>
      </c>
      <c r="B102" s="114">
        <v>4.4000000000000004</v>
      </c>
      <c r="C102" s="45">
        <v>14.226220106435727</v>
      </c>
      <c r="D102" s="42" t="s">
        <v>166</v>
      </c>
      <c r="E102" s="55" t="s">
        <v>120</v>
      </c>
      <c r="F102" s="39"/>
      <c r="G102" s="40"/>
    </row>
    <row r="103" spans="1:7" x14ac:dyDescent="0.25">
      <c r="A103" s="35" t="s">
        <v>303</v>
      </c>
      <c r="B103" s="114">
        <v>4.4800000000000004</v>
      </c>
      <c r="C103" s="45">
        <v>14.122429039201553</v>
      </c>
      <c r="D103" s="42" t="s">
        <v>166</v>
      </c>
      <c r="E103" s="55" t="s">
        <v>120</v>
      </c>
      <c r="F103" s="39"/>
      <c r="G103" s="40"/>
    </row>
    <row r="104" spans="1:7" x14ac:dyDescent="0.25">
      <c r="A104" s="35" t="s">
        <v>303</v>
      </c>
      <c r="B104" s="114">
        <v>4.5599999999999996</v>
      </c>
      <c r="C104" s="45">
        <v>14.01825640957664</v>
      </c>
      <c r="D104" s="42" t="s">
        <v>166</v>
      </c>
      <c r="E104" s="55" t="s">
        <v>120</v>
      </c>
      <c r="F104" s="39"/>
      <c r="G104" s="40"/>
    </row>
    <row r="105" spans="1:7" x14ac:dyDescent="0.25">
      <c r="A105" s="35" t="s">
        <v>303</v>
      </c>
      <c r="B105" s="114">
        <v>4.6399999999999997</v>
      </c>
      <c r="C105" s="45">
        <v>13.913769577802416</v>
      </c>
      <c r="D105" s="42" t="s">
        <v>166</v>
      </c>
      <c r="E105" s="55" t="s">
        <v>120</v>
      </c>
      <c r="F105" s="39"/>
      <c r="G105" s="40"/>
    </row>
    <row r="106" spans="1:7" x14ac:dyDescent="0.25">
      <c r="A106" s="35" t="s">
        <v>303</v>
      </c>
      <c r="B106" s="114">
        <v>4.72</v>
      </c>
      <c r="C106" s="45">
        <v>13.809033332323633</v>
      </c>
      <c r="D106" s="42" t="s">
        <v>166</v>
      </c>
      <c r="E106" s="55" t="s">
        <v>120</v>
      </c>
      <c r="F106" s="39"/>
      <c r="G106" s="40"/>
    </row>
    <row r="107" spans="1:7" x14ac:dyDescent="0.25">
      <c r="A107" s="35" t="s">
        <v>303</v>
      </c>
      <c r="B107" s="114">
        <v>4.8</v>
      </c>
      <c r="C107" s="45">
        <v>13.704109942737697</v>
      </c>
      <c r="D107" s="42" t="s">
        <v>166</v>
      </c>
      <c r="E107" s="55" t="s">
        <v>120</v>
      </c>
      <c r="F107" s="39"/>
      <c r="G107" s="40"/>
    </row>
    <row r="108" spans="1:7" x14ac:dyDescent="0.25">
      <c r="A108" s="35" t="s">
        <v>303</v>
      </c>
      <c r="B108" s="114">
        <v>4.88</v>
      </c>
      <c r="C108" s="45">
        <v>13.599059213175007</v>
      </c>
      <c r="D108" s="42" t="s">
        <v>166</v>
      </c>
      <c r="E108" s="55" t="s">
        <v>120</v>
      </c>
      <c r="F108" s="39"/>
      <c r="G108" s="40"/>
    </row>
    <row r="109" spans="1:7" x14ac:dyDescent="0.25">
      <c r="A109" s="35" t="s">
        <v>303</v>
      </c>
      <c r="B109" s="114">
        <v>4.96</v>
      </c>
      <c r="C109" s="45">
        <v>13.493938536042272</v>
      </c>
      <c r="D109" s="42" t="s">
        <v>166</v>
      </c>
      <c r="E109" s="55" t="s">
        <v>120</v>
      </c>
      <c r="F109" s="39"/>
      <c r="G109" s="40"/>
    </row>
    <row r="110" spans="1:7" x14ac:dyDescent="0.25">
      <c r="A110" s="35" t="s">
        <v>303</v>
      </c>
      <c r="B110" s="114">
        <v>5.04</v>
      </c>
      <c r="C110" s="45">
        <v>13.388802946065679</v>
      </c>
      <c r="D110" s="42" t="s">
        <v>166</v>
      </c>
      <c r="E110" s="55" t="s">
        <v>120</v>
      </c>
      <c r="F110" s="39"/>
      <c r="G110" s="40"/>
    </row>
    <row r="111" spans="1:7" x14ac:dyDescent="0.25">
      <c r="A111" s="35" t="s">
        <v>303</v>
      </c>
      <c r="B111" s="114">
        <v>5.12</v>
      </c>
      <c r="C111" s="45">
        <v>13.283705174559536</v>
      </c>
      <c r="D111" s="42" t="s">
        <v>166</v>
      </c>
      <c r="E111" s="55" t="s">
        <v>120</v>
      </c>
      <c r="F111" s="39"/>
      <c r="G111" s="40"/>
    </row>
    <row r="112" spans="1:7" x14ac:dyDescent="0.25">
      <c r="A112" s="35" t="s">
        <v>303</v>
      </c>
      <c r="B112" s="114">
        <v>5.2</v>
      </c>
      <c r="C112" s="45">
        <v>13.178695703850448</v>
      </c>
      <c r="D112" s="42" t="s">
        <v>166</v>
      </c>
      <c r="E112" s="55" t="s">
        <v>120</v>
      </c>
      <c r="F112" s="39"/>
      <c r="G112" s="40"/>
    </row>
    <row r="113" spans="1:7" x14ac:dyDescent="0.25">
      <c r="A113" s="35" t="s">
        <v>303</v>
      </c>
      <c r="B113" s="114">
        <v>5.28</v>
      </c>
      <c r="C113" s="45">
        <v>13.073822821785583</v>
      </c>
      <c r="D113" s="42" t="s">
        <v>166</v>
      </c>
      <c r="E113" s="55" t="s">
        <v>120</v>
      </c>
      <c r="F113" s="39"/>
      <c r="G113" s="40"/>
    </row>
    <row r="114" spans="1:7" x14ac:dyDescent="0.25">
      <c r="A114" s="35" t="s">
        <v>303</v>
      </c>
      <c r="B114" s="114">
        <v>5.36</v>
      </c>
      <c r="C114" s="45">
        <v>12.969132676253729</v>
      </c>
      <c r="D114" s="42" t="s">
        <v>166</v>
      </c>
      <c r="E114" s="55" t="s">
        <v>120</v>
      </c>
      <c r="F114" s="39"/>
      <c r="G114" s="40"/>
    </row>
    <row r="115" spans="1:7" x14ac:dyDescent="0.25">
      <c r="A115" s="35" t="s">
        <v>303</v>
      </c>
      <c r="B115" s="114">
        <v>5.44</v>
      </c>
      <c r="C115" s="45">
        <v>12.864669329642961</v>
      </c>
      <c r="D115" s="42" t="s">
        <v>166</v>
      </c>
      <c r="E115" s="55" t="s">
        <v>120</v>
      </c>
      <c r="F115" s="39"/>
      <c r="G115" s="40"/>
    </row>
    <row r="116" spans="1:7" x14ac:dyDescent="0.25">
      <c r="A116" s="35" t="s">
        <v>303</v>
      </c>
      <c r="B116" s="114">
        <v>5.52</v>
      </c>
      <c r="C116" s="45">
        <v>12.760474813173744</v>
      </c>
      <c r="D116" s="42" t="s">
        <v>166</v>
      </c>
      <c r="E116" s="55" t="s">
        <v>120</v>
      </c>
      <c r="F116" s="39"/>
      <c r="G116" s="40"/>
    </row>
    <row r="117" spans="1:7" x14ac:dyDescent="0.25">
      <c r="A117" s="35" t="s">
        <v>303</v>
      </c>
      <c r="B117" s="114">
        <v>5.6</v>
      </c>
      <c r="C117" s="45">
        <v>12.656589181028895</v>
      </c>
      <c r="D117" s="42" t="s">
        <v>166</v>
      </c>
      <c r="E117" s="55" t="s">
        <v>120</v>
      </c>
      <c r="F117" s="39"/>
      <c r="G117" s="40"/>
    </row>
    <row r="118" spans="1:7" x14ac:dyDescent="0.25">
      <c r="A118" s="35" t="s">
        <v>303</v>
      </c>
      <c r="B118" s="114">
        <v>5.68</v>
      </c>
      <c r="C118" s="45">
        <v>12.553050564224559</v>
      </c>
      <c r="D118" s="42" t="s">
        <v>166</v>
      </c>
      <c r="E118" s="55" t="s">
        <v>120</v>
      </c>
      <c r="F118" s="39"/>
      <c r="G118" s="40"/>
    </row>
    <row r="119" spans="1:7" x14ac:dyDescent="0.25">
      <c r="A119" s="35" t="s">
        <v>303</v>
      </c>
      <c r="B119" s="114">
        <v>5.76</v>
      </c>
      <c r="C119" s="45">
        <v>12.449895224150849</v>
      </c>
      <c r="D119" s="42" t="s">
        <v>166</v>
      </c>
      <c r="E119" s="55" t="s">
        <v>120</v>
      </c>
      <c r="F119" s="39"/>
      <c r="G119" s="40"/>
    </row>
    <row r="120" spans="1:7" x14ac:dyDescent="0.25">
      <c r="A120" s="35" t="s">
        <v>303</v>
      </c>
      <c r="B120" s="114">
        <v>5.84</v>
      </c>
      <c r="C120" s="45">
        <v>12.347157605724256</v>
      </c>
      <c r="D120" s="42" t="s">
        <v>166</v>
      </c>
      <c r="E120" s="55" t="s">
        <v>120</v>
      </c>
      <c r="F120" s="39"/>
      <c r="G120" s="40"/>
    </row>
    <row r="121" spans="1:7" x14ac:dyDescent="0.25">
      <c r="A121" s="35" t="s">
        <v>303</v>
      </c>
      <c r="B121" s="114">
        <v>5.92</v>
      </c>
      <c r="C121" s="45">
        <v>12.244870390095183</v>
      </c>
      <c r="D121" s="42" t="s">
        <v>166</v>
      </c>
      <c r="E121" s="55" t="s">
        <v>120</v>
      </c>
      <c r="F121" s="39"/>
      <c r="G121" s="40"/>
    </row>
    <row r="122" spans="1:7" x14ac:dyDescent="0.25">
      <c r="A122" s="35" t="s">
        <v>303</v>
      </c>
      <c r="B122" s="114">
        <v>6</v>
      </c>
      <c r="C122" s="45">
        <v>12.143064546853072</v>
      </c>
      <c r="D122" s="42" t="s">
        <v>166</v>
      </c>
      <c r="E122" s="55" t="s">
        <v>120</v>
      </c>
      <c r="F122" s="39"/>
      <c r="G122" s="40"/>
    </row>
    <row r="123" spans="1:7" x14ac:dyDescent="0.25">
      <c r="A123" s="35" t="s">
        <v>303</v>
      </c>
      <c r="B123" s="114">
        <v>6.08</v>
      </c>
      <c r="C123" s="45">
        <v>12.041769385678815</v>
      </c>
      <c r="D123" s="42" t="s">
        <v>166</v>
      </c>
      <c r="E123" s="55" t="s">
        <v>120</v>
      </c>
      <c r="F123" s="39"/>
      <c r="G123" s="40"/>
    </row>
    <row r="124" spans="1:7" x14ac:dyDescent="0.25">
      <c r="A124" s="35" t="s">
        <v>303</v>
      </c>
      <c r="B124" s="114">
        <v>6.16</v>
      </c>
      <c r="C124" s="45">
        <v>11.941012607395713</v>
      </c>
      <c r="D124" s="42" t="s">
        <v>166</v>
      </c>
      <c r="E124" s="55" t="s">
        <v>120</v>
      </c>
      <c r="F124" s="39"/>
      <c r="G124" s="40"/>
    </row>
    <row r="125" spans="1:7" x14ac:dyDescent="0.25">
      <c r="A125" s="35" t="s">
        <v>303</v>
      </c>
      <c r="B125" s="114">
        <v>6.24</v>
      </c>
      <c r="C125" s="45">
        <v>11.84082035437384</v>
      </c>
      <c r="D125" s="42" t="s">
        <v>166</v>
      </c>
      <c r="E125" s="55" t="s">
        <v>120</v>
      </c>
      <c r="F125" s="39"/>
      <c r="G125" s="40"/>
    </row>
    <row r="126" spans="1:7" x14ac:dyDescent="0.25">
      <c r="A126" s="35" t="s">
        <v>303</v>
      </c>
      <c r="B126" s="114">
        <v>6.32</v>
      </c>
      <c r="C126" s="45">
        <v>11.741217260245632</v>
      </c>
      <c r="D126" s="42" t="s">
        <v>166</v>
      </c>
      <c r="E126" s="55" t="s">
        <v>120</v>
      </c>
      <c r="F126" s="39"/>
      <c r="G126" s="40"/>
    </row>
    <row r="127" spans="1:7" x14ac:dyDescent="0.25">
      <c r="A127" s="35" t="s">
        <v>303</v>
      </c>
      <c r="B127" s="114">
        <v>6.4</v>
      </c>
      <c r="C127" s="45">
        <v>11.642226498894654</v>
      </c>
      <c r="D127" s="42" t="s">
        <v>166</v>
      </c>
      <c r="E127" s="55" t="s">
        <v>120</v>
      </c>
      <c r="F127" s="39"/>
      <c r="G127" s="40"/>
    </row>
    <row r="128" spans="1:7" x14ac:dyDescent="0.25">
      <c r="A128" s="35" t="s">
        <v>303</v>
      </c>
      <c r="B128" s="114">
        <v>6.48</v>
      </c>
      <c r="C128" s="45">
        <v>11.543869832682095</v>
      </c>
      <c r="D128" s="42" t="s">
        <v>166</v>
      </c>
      <c r="E128" s="55" t="s">
        <v>120</v>
      </c>
      <c r="F128" s="39"/>
      <c r="G128" s="40"/>
    </row>
    <row r="129" spans="1:7" x14ac:dyDescent="0.25">
      <c r="A129" s="35" t="s">
        <v>303</v>
      </c>
      <c r="B129" s="114">
        <v>6.56</v>
      </c>
      <c r="C129" s="45">
        <v>11.446167659877855</v>
      </c>
      <c r="D129" s="42" t="s">
        <v>166</v>
      </c>
      <c r="E129" s="55" t="s">
        <v>120</v>
      </c>
      <c r="F129" s="39"/>
      <c r="G129" s="40"/>
    </row>
    <row r="130" spans="1:7" x14ac:dyDescent="0.25">
      <c r="A130" s="35" t="s">
        <v>303</v>
      </c>
      <c r="B130" s="114">
        <v>6.64</v>
      </c>
      <c r="C130" s="45">
        <v>11.349139061271281</v>
      </c>
      <c r="D130" s="42" t="s">
        <v>166</v>
      </c>
      <c r="E130" s="55" t="s">
        <v>120</v>
      </c>
      <c r="F130" s="39"/>
      <c r="G130" s="40"/>
    </row>
    <row r="131" spans="1:7" x14ac:dyDescent="0.25">
      <c r="A131" s="35" t="s">
        <v>303</v>
      </c>
      <c r="B131" s="114">
        <v>6.72</v>
      </c>
      <c r="C131" s="45">
        <v>11.252801845929184</v>
      </c>
      <c r="D131" s="42" t="s">
        <v>166</v>
      </c>
      <c r="E131" s="55" t="s">
        <v>120</v>
      </c>
      <c r="F131" s="39"/>
      <c r="G131" s="40"/>
    </row>
    <row r="132" spans="1:7" x14ac:dyDescent="0.25">
      <c r="A132" s="35" t="s">
        <v>303</v>
      </c>
      <c r="B132" s="114">
        <v>6.8</v>
      </c>
      <c r="C132" s="45">
        <v>11.15717259608528</v>
      </c>
      <c r="D132" s="42" t="s">
        <v>166</v>
      </c>
      <c r="E132" s="55" t="s">
        <v>120</v>
      </c>
      <c r="F132" s="39"/>
      <c r="G132" s="40"/>
    </row>
    <row r="133" spans="1:7" x14ac:dyDescent="0.25">
      <c r="A133" s="35" t="s">
        <v>303</v>
      </c>
      <c r="B133" s="114">
        <v>6.88</v>
      </c>
      <c r="C133" s="45">
        <v>11.0622667111372</v>
      </c>
      <c r="D133" s="42" t="s">
        <v>166</v>
      </c>
      <c r="E133" s="55" t="s">
        <v>120</v>
      </c>
      <c r="F133" s="39"/>
      <c r="G133" s="40"/>
    </row>
    <row r="134" spans="1:7" x14ac:dyDescent="0.25">
      <c r="A134" s="35" t="s">
        <v>303</v>
      </c>
      <c r="B134" s="114">
        <v>6.96</v>
      </c>
      <c r="C134" s="45">
        <v>10.96809845073456</v>
      </c>
      <c r="D134" s="42" t="s">
        <v>166</v>
      </c>
      <c r="E134" s="55" t="s">
        <v>120</v>
      </c>
      <c r="F134" s="39"/>
      <c r="G134" s="40"/>
    </row>
    <row r="135" spans="1:7" x14ac:dyDescent="0.25">
      <c r="A135" s="35" t="s">
        <v>303</v>
      </c>
      <c r="B135" s="114">
        <v>7.04</v>
      </c>
      <c r="C135" s="45">
        <v>10.874680976945136</v>
      </c>
      <c r="D135" s="42" t="s">
        <v>166</v>
      </c>
      <c r="E135" s="55" t="s">
        <v>120</v>
      </c>
      <c r="F135" s="39"/>
      <c r="G135" s="40"/>
    </row>
    <row r="136" spans="1:7" x14ac:dyDescent="0.25">
      <c r="A136" s="35" t="s">
        <v>303</v>
      </c>
      <c r="B136" s="114">
        <v>7.12</v>
      </c>
      <c r="C136" s="45">
        <v>10.782026395486433</v>
      </c>
      <c r="D136" s="42" t="s">
        <v>166</v>
      </c>
      <c r="E136" s="55" t="s">
        <v>120</v>
      </c>
      <c r="F136" s="39"/>
      <c r="G136" s="40"/>
    </row>
    <row r="137" spans="1:7" x14ac:dyDescent="0.25">
      <c r="A137" s="35" t="s">
        <v>303</v>
      </c>
      <c r="B137" s="114">
        <v>7.2</v>
      </c>
      <c r="C137" s="45">
        <v>10.690145796013489</v>
      </c>
      <c r="D137" s="42" t="s">
        <v>166</v>
      </c>
      <c r="E137" s="55" t="s">
        <v>120</v>
      </c>
      <c r="F137" s="39"/>
      <c r="G137" s="40"/>
    </row>
    <row r="138" spans="1:7" x14ac:dyDescent="0.25">
      <c r="A138" s="35" t="s">
        <v>303</v>
      </c>
      <c r="B138" s="114">
        <v>7.28</v>
      </c>
      <c r="C138" s="45">
        <v>10.599049291454751</v>
      </c>
      <c r="D138" s="42" t="s">
        <v>166</v>
      </c>
      <c r="E138" s="55" t="s">
        <v>120</v>
      </c>
      <c r="F138" s="39"/>
      <c r="G138" s="40"/>
    </row>
    <row r="139" spans="1:7" x14ac:dyDescent="0.25">
      <c r="A139" s="35" t="s">
        <v>303</v>
      </c>
      <c r="B139" s="114">
        <v>7.36</v>
      </c>
      <c r="C139" s="45">
        <v>10.5087460563952</v>
      </c>
      <c r="D139" s="42" t="s">
        <v>166</v>
      </c>
      <c r="E139" s="55" t="s">
        <v>120</v>
      </c>
      <c r="F139" s="39"/>
      <c r="G139" s="40"/>
    </row>
    <row r="140" spans="1:7" x14ac:dyDescent="0.25">
      <c r="A140" s="35" t="s">
        <v>303</v>
      </c>
      <c r="B140" s="114">
        <v>7.44</v>
      </c>
      <c r="C140" s="45">
        <v>10.419244364499056</v>
      </c>
      <c r="D140" s="42" t="s">
        <v>166</v>
      </c>
      <c r="E140" s="55" t="s">
        <v>120</v>
      </c>
      <c r="F140" s="39"/>
      <c r="G140" s="40"/>
    </row>
    <row r="141" spans="1:7" x14ac:dyDescent="0.25">
      <c r="A141" s="35" t="s">
        <v>303</v>
      </c>
      <c r="B141" s="114">
        <v>7.52</v>
      </c>
      <c r="C141" s="45">
        <v>10.330551624974799</v>
      </c>
      <c r="D141" s="42" t="s">
        <v>166</v>
      </c>
      <c r="E141" s="55" t="s">
        <v>120</v>
      </c>
      <c r="F141" s="39"/>
      <c r="G141" s="40"/>
    </row>
    <row r="142" spans="1:7" x14ac:dyDescent="0.25">
      <c r="A142" s="35" t="s">
        <v>303</v>
      </c>
      <c r="B142" s="114">
        <v>7.6</v>
      </c>
      <c r="C142" s="45">
        <v>10.242674418082625</v>
      </c>
      <c r="D142" s="42" t="s">
        <v>166</v>
      </c>
      <c r="E142" s="55" t="s">
        <v>120</v>
      </c>
      <c r="F142" s="39"/>
      <c r="G142" s="40"/>
    </row>
    <row r="143" spans="1:7" x14ac:dyDescent="0.25">
      <c r="A143" s="35" t="s">
        <v>303</v>
      </c>
      <c r="B143" s="114">
        <v>7.68</v>
      </c>
      <c r="C143" s="45">
        <v>10.155618529686624</v>
      </c>
      <c r="D143" s="42" t="s">
        <v>166</v>
      </c>
      <c r="E143" s="55" t="s">
        <v>120</v>
      </c>
      <c r="F143" s="39"/>
      <c r="G143" s="40"/>
    </row>
    <row r="144" spans="1:7" x14ac:dyDescent="0.25">
      <c r="A144" s="35" t="s">
        <v>303</v>
      </c>
      <c r="B144" s="114">
        <v>7.76</v>
      </c>
      <c r="C144" s="45">
        <v>10.069388984857632</v>
      </c>
      <c r="D144" s="42" t="s">
        <v>166</v>
      </c>
      <c r="E144" s="55" t="s">
        <v>120</v>
      </c>
      <c r="F144" s="39"/>
      <c r="G144" s="40"/>
    </row>
    <row r="145" spans="1:7" x14ac:dyDescent="0.25">
      <c r="A145" s="35" t="s">
        <v>303</v>
      </c>
      <c r="B145" s="114">
        <v>7.84</v>
      </c>
      <c r="C145" s="45">
        <v>9.9839900805315835</v>
      </c>
      <c r="D145" s="42" t="s">
        <v>166</v>
      </c>
      <c r="E145" s="55" t="s">
        <v>120</v>
      </c>
      <c r="F145" s="39"/>
      <c r="G145" s="40"/>
    </row>
    <row r="146" spans="1:7" x14ac:dyDescent="0.25">
      <c r="A146" s="35" t="s">
        <v>303</v>
      </c>
      <c r="B146" s="114">
        <v>7.92</v>
      </c>
      <c r="C146" s="45">
        <v>9.8994254172298888</v>
      </c>
      <c r="D146" s="42" t="s">
        <v>166</v>
      </c>
      <c r="E146" s="55" t="s">
        <v>120</v>
      </c>
      <c r="F146" s="39"/>
      <c r="G146" s="40"/>
    </row>
    <row r="147" spans="1:7" x14ac:dyDescent="0.25">
      <c r="A147" s="35" t="s">
        <v>303</v>
      </c>
      <c r="B147" s="114">
        <v>8</v>
      </c>
      <c r="C147" s="45">
        <v>9.8156979298536164</v>
      </c>
      <c r="D147" s="42" t="s">
        <v>166</v>
      </c>
      <c r="E147" s="55" t="s">
        <v>120</v>
      </c>
      <c r="F147" s="39"/>
      <c r="G147" s="40"/>
    </row>
    <row r="148" spans="1:7" x14ac:dyDescent="0.25">
      <c r="A148" s="35" t="s">
        <v>303</v>
      </c>
      <c r="B148" s="114">
        <v>8.08</v>
      </c>
      <c r="C148" s="45">
        <v>9.7328099175580007</v>
      </c>
      <c r="D148" s="42" t="s">
        <v>166</v>
      </c>
      <c r="E148" s="55" t="s">
        <v>120</v>
      </c>
      <c r="F148" s="39"/>
      <c r="G148" s="40"/>
    </row>
    <row r="149" spans="1:7" x14ac:dyDescent="0.25">
      <c r="A149" s="35" t="s">
        <v>303</v>
      </c>
      <c r="B149" s="114">
        <v>8.16</v>
      </c>
      <c r="C149" s="45">
        <v>9.6507630727190872</v>
      </c>
      <c r="D149" s="42" t="s">
        <v>166</v>
      </c>
      <c r="E149" s="55" t="s">
        <v>120</v>
      </c>
      <c r="F149" s="39"/>
      <c r="G149" s="40"/>
    </row>
    <row r="150" spans="1:7" x14ac:dyDescent="0.25">
      <c r="A150" s="35" t="s">
        <v>303</v>
      </c>
      <c r="B150" s="114">
        <v>8.24</v>
      </c>
      <c r="C150" s="45">
        <v>9.5695585090061446</v>
      </c>
      <c r="D150" s="42" t="s">
        <v>166</v>
      </c>
      <c r="E150" s="55" t="s">
        <v>120</v>
      </c>
      <c r="F150" s="39"/>
      <c r="G150" s="40"/>
    </row>
    <row r="151" spans="1:7" x14ac:dyDescent="0.25">
      <c r="A151" s="35" t="s">
        <v>303</v>
      </c>
      <c r="B151" s="114">
        <v>8.32</v>
      </c>
      <c r="C151" s="45">
        <v>9.4891967885687674</v>
      </c>
      <c r="D151" s="42" t="s">
        <v>166</v>
      </c>
      <c r="E151" s="55" t="s">
        <v>120</v>
      </c>
      <c r="F151" s="39"/>
      <c r="G151" s="40"/>
    </row>
    <row r="152" spans="1:7" x14ac:dyDescent="0.25">
      <c r="A152" s="35" t="s">
        <v>303</v>
      </c>
      <c r="B152" s="114">
        <v>8.4</v>
      </c>
      <c r="C152" s="45">
        <v>9.4096779483573751</v>
      </c>
      <c r="D152" s="42" t="s">
        <v>166</v>
      </c>
      <c r="E152" s="55" t="s">
        <v>120</v>
      </c>
      <c r="F152" s="39"/>
      <c r="G152" s="40"/>
    </row>
    <row r="153" spans="1:7" x14ac:dyDescent="0.25">
      <c r="A153" s="35" t="s">
        <v>303</v>
      </c>
      <c r="B153" s="114">
        <v>8.48</v>
      </c>
      <c r="C153" s="45">
        <v>9.3310015255859522</v>
      </c>
      <c r="D153" s="42" t="s">
        <v>166</v>
      </c>
      <c r="E153" s="55" t="s">
        <v>120</v>
      </c>
      <c r="F153" s="39"/>
      <c r="G153" s="40"/>
    </row>
    <row r="154" spans="1:7" x14ac:dyDescent="0.25">
      <c r="A154" s="35" t="s">
        <v>303</v>
      </c>
      <c r="B154" s="114">
        <v>8.56</v>
      </c>
      <c r="C154" s="45">
        <v>9.2531665823552967</v>
      </c>
      <c r="D154" s="42" t="s">
        <v>166</v>
      </c>
      <c r="E154" s="55" t="s">
        <v>120</v>
      </c>
      <c r="F154" s="39"/>
      <c r="G154" s="40"/>
    </row>
    <row r="155" spans="1:7" x14ac:dyDescent="0.25">
      <c r="A155" s="35" t="s">
        <v>303</v>
      </c>
      <c r="B155" s="114">
        <v>8.64</v>
      </c>
      <c r="C155" s="45">
        <v>9.1761717294509761</v>
      </c>
      <c r="D155" s="42" t="s">
        <v>166</v>
      </c>
      <c r="E155" s="55" t="s">
        <v>120</v>
      </c>
      <c r="F155" s="39"/>
      <c r="G155" s="40"/>
    </row>
    <row r="156" spans="1:7" x14ac:dyDescent="0.25">
      <c r="A156" s="35" t="s">
        <v>303</v>
      </c>
      <c r="B156" s="114">
        <v>8.7200000000000006</v>
      </c>
      <c r="C156" s="45">
        <v>9.1000151493324637</v>
      </c>
      <c r="D156" s="42" t="s">
        <v>166</v>
      </c>
      <c r="E156" s="55" t="s">
        <v>120</v>
      </c>
      <c r="F156" s="39"/>
      <c r="G156" s="40"/>
    </row>
    <row r="157" spans="1:7" x14ac:dyDescent="0.25">
      <c r="A157" s="35" t="s">
        <v>303</v>
      </c>
      <c r="B157" s="114">
        <v>8.8000000000000007</v>
      </c>
      <c r="C157" s="45">
        <v>9.0246946183291517</v>
      </c>
      <c r="D157" s="42" t="s">
        <v>166</v>
      </c>
      <c r="E157" s="55" t="s">
        <v>120</v>
      </c>
      <c r="F157" s="39"/>
      <c r="G157" s="40"/>
    </row>
    <row r="158" spans="1:7" x14ac:dyDescent="0.25">
      <c r="A158" s="35" t="s">
        <v>303</v>
      </c>
      <c r="B158" s="114">
        <v>8.8800000000000008</v>
      </c>
      <c r="C158" s="45">
        <v>8.950207528058943</v>
      </c>
      <c r="D158" s="42" t="s">
        <v>166</v>
      </c>
      <c r="E158" s="55" t="s">
        <v>120</v>
      </c>
      <c r="F158" s="39"/>
      <c r="G158" s="40"/>
    </row>
    <row r="159" spans="1:7" x14ac:dyDescent="0.25">
      <c r="A159" s="35" t="s">
        <v>303</v>
      </c>
      <c r="B159" s="114">
        <v>8.9600000000000009</v>
      </c>
      <c r="C159" s="45">
        <v>8.8765509060881751</v>
      </c>
      <c r="D159" s="42" t="s">
        <v>166</v>
      </c>
      <c r="E159" s="55" t="s">
        <v>120</v>
      </c>
      <c r="F159" s="39"/>
      <c r="G159" s="40"/>
    </row>
    <row r="160" spans="1:7" x14ac:dyDescent="0.25">
      <c r="A160" s="35" t="s">
        <v>303</v>
      </c>
      <c r="B160" s="114">
        <v>9.0399999999999991</v>
      </c>
      <c r="C160" s="45">
        <v>8.803721435849809</v>
      </c>
      <c r="D160" s="42" t="s">
        <v>166</v>
      </c>
      <c r="E160" s="55" t="s">
        <v>120</v>
      </c>
      <c r="F160" s="39"/>
      <c r="G160" s="40"/>
    </row>
    <row r="161" spans="1:7" x14ac:dyDescent="0.25">
      <c r="A161" s="35" t="s">
        <v>303</v>
      </c>
      <c r="B161" s="114">
        <v>9.1199999999999992</v>
      </c>
      <c r="C161" s="45">
        <v>8.7317154758350704</v>
      </c>
      <c r="D161" s="42" t="s">
        <v>166</v>
      </c>
      <c r="E161" s="55" t="s">
        <v>120</v>
      </c>
      <c r="F161" s="39"/>
      <c r="G161" s="40"/>
    </row>
    <row r="162" spans="1:7" x14ac:dyDescent="0.25">
      <c r="A162" s="35" t="s">
        <v>303</v>
      </c>
      <c r="B162" s="114">
        <v>9.1999999999999993</v>
      </c>
      <c r="C162" s="45">
        <v>8.6605290780774702</v>
      </c>
      <c r="D162" s="42" t="s">
        <v>166</v>
      </c>
      <c r="E162" s="55" t="s">
        <v>120</v>
      </c>
      <c r="F162" s="39"/>
      <c r="G162" s="40"/>
    </row>
    <row r="163" spans="1:7" x14ac:dyDescent="0.25">
      <c r="A163" s="35" t="s">
        <v>303</v>
      </c>
      <c r="B163" s="114">
        <v>9.2799999999999994</v>
      </c>
      <c r="C163" s="45">
        <v>8.5901580059477123</v>
      </c>
      <c r="D163" s="42" t="s">
        <v>166</v>
      </c>
      <c r="E163" s="55" t="s">
        <v>120</v>
      </c>
      <c r="F163" s="39"/>
      <c r="G163" s="40"/>
    </row>
    <row r="164" spans="1:7" x14ac:dyDescent="0.25">
      <c r="A164" s="35" t="s">
        <v>303</v>
      </c>
      <c r="B164" s="114">
        <v>9.36</v>
      </c>
      <c r="C164" s="45">
        <v>8.5205977512749271</v>
      </c>
      <c r="D164" s="42" t="s">
        <v>166</v>
      </c>
      <c r="E164" s="55" t="s">
        <v>120</v>
      </c>
      <c r="F164" s="39"/>
      <c r="G164" s="40"/>
    </row>
    <row r="165" spans="1:7" x14ac:dyDescent="0.25">
      <c r="A165" s="35" t="s">
        <v>303</v>
      </c>
      <c r="B165" s="114">
        <v>9.44</v>
      </c>
      <c r="C165" s="45">
        <v>8.4518435508121925</v>
      </c>
      <c r="D165" s="42" t="s">
        <v>166</v>
      </c>
      <c r="E165" s="55" t="s">
        <v>120</v>
      </c>
      <c r="F165" s="39"/>
      <c r="G165" s="40"/>
    </row>
    <row r="166" spans="1:7" x14ac:dyDescent="0.25">
      <c r="A166" s="35" t="s">
        <v>303</v>
      </c>
      <c r="B166" s="114">
        <v>9.52</v>
      </c>
      <c r="C166" s="45">
        <v>8.3838904020652318</v>
      </c>
      <c r="D166" s="42" t="s">
        <v>166</v>
      </c>
      <c r="E166" s="55" t="s">
        <v>120</v>
      </c>
      <c r="F166" s="39"/>
      <c r="G166" s="40"/>
    </row>
    <row r="167" spans="1:7" x14ac:dyDescent="0.25">
      <c r="A167" s="35" t="s">
        <v>303</v>
      </c>
      <c r="B167" s="114">
        <v>9.6</v>
      </c>
      <c r="C167" s="45">
        <v>8.3167330785007678</v>
      </c>
      <c r="D167" s="42" t="s">
        <v>166</v>
      </c>
      <c r="E167" s="55" t="s">
        <v>120</v>
      </c>
      <c r="F167" s="39"/>
      <c r="G167" s="40"/>
    </row>
    <row r="168" spans="1:7" x14ac:dyDescent="0.25">
      <c r="A168" s="35" t="s">
        <v>303</v>
      </c>
      <c r="B168" s="114">
        <v>9.68</v>
      </c>
      <c r="C168" s="45">
        <v>8.2503661441496003</v>
      </c>
      <c r="D168" s="42" t="s">
        <v>166</v>
      </c>
      <c r="E168" s="55" t="s">
        <v>120</v>
      </c>
      <c r="F168" s="39"/>
      <c r="G168" s="40"/>
    </row>
    <row r="169" spans="1:7" x14ac:dyDescent="0.25">
      <c r="A169" s="35" t="s">
        <v>303</v>
      </c>
      <c r="B169" s="114">
        <v>9.76</v>
      </c>
      <c r="C169" s="45">
        <v>8.1847839676273111</v>
      </c>
      <c r="D169" s="42" t="s">
        <v>166</v>
      </c>
      <c r="E169" s="55" t="s">
        <v>120</v>
      </c>
      <c r="F169" s="39"/>
      <c r="G169" s="40"/>
    </row>
    <row r="170" spans="1:7" x14ac:dyDescent="0.25">
      <c r="A170" s="35" t="s">
        <v>303</v>
      </c>
      <c r="B170" s="114">
        <v>9.84</v>
      </c>
      <c r="C170" s="45">
        <v>8.1199807355825921</v>
      </c>
      <c r="D170" s="42" t="s">
        <v>166</v>
      </c>
      <c r="E170" s="55" t="s">
        <v>120</v>
      </c>
      <c r="F170" s="39"/>
      <c r="G170" s="40"/>
    </row>
    <row r="171" spans="1:7" x14ac:dyDescent="0.25">
      <c r="A171" s="35" t="s">
        <v>303</v>
      </c>
      <c r="B171" s="114">
        <v>9.92</v>
      </c>
      <c r="C171" s="45">
        <v>8.055950465594961</v>
      </c>
      <c r="D171" s="42" t="s">
        <v>166</v>
      </c>
      <c r="E171" s="55" t="s">
        <v>120</v>
      </c>
      <c r="F171" s="39"/>
      <c r="G171" s="40"/>
    </row>
    <row r="172" spans="1:7" x14ac:dyDescent="0.25">
      <c r="A172" s="35" t="s">
        <v>303</v>
      </c>
      <c r="B172" s="114">
        <v>10</v>
      </c>
      <c r="C172" s="45">
        <v>7.9926870185373442</v>
      </c>
      <c r="D172" s="42" t="s">
        <v>166</v>
      </c>
      <c r="E172" s="55" t="s">
        <v>120</v>
      </c>
      <c r="F172" s="39"/>
      <c r="G172" s="40"/>
    </row>
    <row r="173" spans="1:7" x14ac:dyDescent="0.25">
      <c r="A173" s="35" t="s">
        <v>303</v>
      </c>
      <c r="B173" s="114">
        <v>10.08</v>
      </c>
      <c r="C173" s="45">
        <v>7.9301841104176169</v>
      </c>
      <c r="D173" s="42" t="s">
        <v>166</v>
      </c>
      <c r="E173" s="55" t="s">
        <v>120</v>
      </c>
      <c r="F173" s="39"/>
      <c r="G173" s="40"/>
    </row>
    <row r="174" spans="1:7" x14ac:dyDescent="0.25">
      <c r="A174" s="35" t="s">
        <v>303</v>
      </c>
      <c r="B174" s="114">
        <v>10.16</v>
      </c>
      <c r="C174" s="45">
        <v>7.8684353237191367</v>
      </c>
      <c r="D174" s="42" t="s">
        <v>166</v>
      </c>
      <c r="E174" s="55" t="s">
        <v>120</v>
      </c>
      <c r="F174" s="39"/>
      <c r="G174" s="40"/>
    </row>
    <row r="175" spans="1:7" x14ac:dyDescent="0.25">
      <c r="A175" s="35" t="s">
        <v>303</v>
      </c>
      <c r="B175" s="114">
        <v>10.24</v>
      </c>
      <c r="C175" s="45">
        <v>7.8074341182528961</v>
      </c>
      <c r="D175" s="42" t="s">
        <v>166</v>
      </c>
      <c r="E175" s="55" t="s">
        <v>120</v>
      </c>
      <c r="F175" s="39"/>
      <c r="G175" s="40"/>
    </row>
    <row r="176" spans="1:7" x14ac:dyDescent="0.25">
      <c r="A176" s="35" t="s">
        <v>303</v>
      </c>
      <c r="B176" s="114">
        <v>10.32</v>
      </c>
      <c r="C176" s="45">
        <v>7.7471738415378084</v>
      </c>
      <c r="D176" s="42" t="s">
        <v>166</v>
      </c>
      <c r="E176" s="55" t="s">
        <v>120</v>
      </c>
      <c r="F176" s="39"/>
      <c r="G176" s="40"/>
    </row>
    <row r="177" spans="1:7" x14ac:dyDescent="0.25">
      <c r="A177" s="35" t="s">
        <v>303</v>
      </c>
      <c r="B177" s="114">
        <v>10.4</v>
      </c>
      <c r="C177" s="45">
        <v>7.6876477387262714</v>
      </c>
      <c r="D177" s="42" t="s">
        <v>166</v>
      </c>
      <c r="E177" s="55" t="s">
        <v>120</v>
      </c>
      <c r="F177" s="39"/>
      <c r="G177" s="40"/>
    </row>
    <row r="178" spans="1:7" x14ac:dyDescent="0.25">
      <c r="A178" s="35" t="s">
        <v>303</v>
      </c>
      <c r="B178" s="114">
        <v>10.48</v>
      </c>
      <c r="C178" s="45">
        <v>7.6288489620864954</v>
      </c>
      <c r="D178" s="42" t="s">
        <v>166</v>
      </c>
      <c r="E178" s="55" t="s">
        <v>120</v>
      </c>
      <c r="F178" s="39"/>
      <c r="G178" s="40"/>
    </row>
    <row r="179" spans="1:7" x14ac:dyDescent="0.25">
      <c r="A179" s="35" t="s">
        <v>303</v>
      </c>
      <c r="B179" s="114">
        <v>10.56</v>
      </c>
      <c r="C179" s="45">
        <v>7.5707705800603513</v>
      </c>
      <c r="D179" s="42" t="s">
        <v>166</v>
      </c>
      <c r="E179" s="55" t="s">
        <v>120</v>
      </c>
      <c r="F179" s="39"/>
      <c r="G179" s="40"/>
    </row>
    <row r="180" spans="1:7" x14ac:dyDescent="0.25">
      <c r="A180" s="35" t="s">
        <v>303</v>
      </c>
      <c r="B180" s="114">
        <v>10.64</v>
      </c>
      <c r="C180" s="45">
        <v>7.513405585907968</v>
      </c>
      <c r="D180" s="42" t="s">
        <v>166</v>
      </c>
      <c r="E180" s="55" t="s">
        <v>120</v>
      </c>
      <c r="F180" s="39"/>
      <c r="G180" s="40"/>
    </row>
    <row r="181" spans="1:7" x14ac:dyDescent="0.25">
      <c r="A181" s="35" t="s">
        <v>303</v>
      </c>
      <c r="B181" s="114">
        <v>10.72</v>
      </c>
      <c r="C181" s="45">
        <v>7.4567469059544162</v>
      </c>
      <c r="D181" s="42" t="s">
        <v>166</v>
      </c>
      <c r="E181" s="55" t="s">
        <v>120</v>
      </c>
      <c r="F181" s="39"/>
      <c r="G181" s="40"/>
    </row>
    <row r="182" spans="1:7" x14ac:dyDescent="0.25">
      <c r="A182" s="35" t="s">
        <v>303</v>
      </c>
      <c r="B182" s="114">
        <v>10.8</v>
      </c>
      <c r="C182" s="45">
        <v>7.400787407453441</v>
      </c>
      <c r="D182" s="42" t="s">
        <v>166</v>
      </c>
      <c r="E182" s="55" t="s">
        <v>120</v>
      </c>
      <c r="F182" s="39"/>
      <c r="G182" s="40"/>
    </row>
    <row r="183" spans="1:7" x14ac:dyDescent="0.25">
      <c r="A183" s="35" t="s">
        <v>303</v>
      </c>
      <c r="B183" s="114">
        <v>10.88</v>
      </c>
      <c r="C183" s="45">
        <v>7.3455199060799359</v>
      </c>
      <c r="D183" s="42" t="s">
        <v>166</v>
      </c>
      <c r="E183" s="55" t="s">
        <v>120</v>
      </c>
      <c r="F183" s="39"/>
      <c r="G183" s="40"/>
    </row>
    <row r="184" spans="1:7" x14ac:dyDescent="0.25">
      <c r="A184" s="35" t="s">
        <v>303</v>
      </c>
      <c r="B184" s="114">
        <v>10.96</v>
      </c>
      <c r="C184" s="45">
        <v>7.2909371730643038</v>
      </c>
      <c r="D184" s="42" t="s">
        <v>166</v>
      </c>
      <c r="E184" s="55" t="s">
        <v>120</v>
      </c>
      <c r="F184" s="39"/>
      <c r="G184" s="40"/>
    </row>
    <row r="185" spans="1:7" x14ac:dyDescent="0.25">
      <c r="A185" s="35" t="s">
        <v>303</v>
      </c>
      <c r="B185" s="114">
        <v>11.04</v>
      </c>
      <c r="C185" s="45">
        <v>7.2370319419840641</v>
      </c>
      <c r="D185" s="42" t="s">
        <v>166</v>
      </c>
      <c r="E185" s="55" t="s">
        <v>120</v>
      </c>
      <c r="F185" s="39"/>
      <c r="G185" s="40"/>
    </row>
    <row r="186" spans="1:7" x14ac:dyDescent="0.25">
      <c r="A186" s="35" t="s">
        <v>303</v>
      </c>
      <c r="B186" s="114">
        <v>11.12</v>
      </c>
      <c r="C186" s="45">
        <v>7.1837969152221763</v>
      </c>
      <c r="D186" s="42" t="s">
        <v>166</v>
      </c>
      <c r="E186" s="55" t="s">
        <v>120</v>
      </c>
      <c r="F186" s="39"/>
      <c r="G186" s="40"/>
    </row>
    <row r="187" spans="1:7" x14ac:dyDescent="0.25">
      <c r="A187" s="35" t="s">
        <v>303</v>
      </c>
      <c r="B187" s="114">
        <v>11.2</v>
      </c>
      <c r="C187" s="45">
        <v>7.1312247701053266</v>
      </c>
      <c r="D187" s="42" t="s">
        <v>166</v>
      </c>
      <c r="E187" s="55" t="s">
        <v>120</v>
      </c>
      <c r="F187" s="39"/>
      <c r="G187" s="40"/>
    </row>
    <row r="188" spans="1:7" x14ac:dyDescent="0.25">
      <c r="A188" s="35" t="s">
        <v>303</v>
      </c>
      <c r="B188" s="114">
        <v>11.28</v>
      </c>
      <c r="C188" s="45">
        <v>7.0793081647360481</v>
      </c>
      <c r="D188" s="42" t="s">
        <v>166</v>
      </c>
      <c r="E188" s="55" t="s">
        <v>120</v>
      </c>
      <c r="F188" s="39"/>
      <c r="G188" s="40"/>
    </row>
    <row r="189" spans="1:7" x14ac:dyDescent="0.25">
      <c r="A189" s="35" t="s">
        <v>303</v>
      </c>
      <c r="B189" s="114">
        <v>11.36</v>
      </c>
      <c r="C189" s="45">
        <v>7.0280397435265769</v>
      </c>
      <c r="D189" s="42" t="s">
        <v>166</v>
      </c>
      <c r="E189" s="55" t="s">
        <v>120</v>
      </c>
      <c r="F189" s="39"/>
      <c r="G189" s="40"/>
    </row>
    <row r="190" spans="1:7" x14ac:dyDescent="0.25">
      <c r="A190" s="35" t="s">
        <v>303</v>
      </c>
      <c r="B190" s="114">
        <v>11.44</v>
      </c>
      <c r="C190" s="45">
        <v>6.9774121424482569</v>
      </c>
      <c r="D190" s="42" t="s">
        <v>166</v>
      </c>
      <c r="E190" s="55" t="s">
        <v>120</v>
      </c>
      <c r="F190" s="39"/>
      <c r="G190" s="40"/>
    </row>
    <row r="191" spans="1:7" x14ac:dyDescent="0.25">
      <c r="A191" s="35" t="s">
        <v>303</v>
      </c>
      <c r="B191" s="114">
        <v>11.52</v>
      </c>
      <c r="C191" s="45">
        <v>6.9274179940078717</v>
      </c>
      <c r="D191" s="42" t="s">
        <v>166</v>
      </c>
      <c r="E191" s="55" t="s">
        <v>120</v>
      </c>
      <c r="F191" s="39"/>
      <c r="G191" s="40"/>
    </row>
    <row r="192" spans="1:7" x14ac:dyDescent="0.25">
      <c r="A192" s="35" t="s">
        <v>303</v>
      </c>
      <c r="B192" s="114">
        <v>11.6</v>
      </c>
      <c r="C192" s="45">
        <v>6.8780499319582074</v>
      </c>
      <c r="D192" s="42" t="s">
        <v>166</v>
      </c>
      <c r="E192" s="55" t="s">
        <v>120</v>
      </c>
      <c r="F192" s="39"/>
      <c r="G192" s="40"/>
    </row>
    <row r="193" spans="1:7" x14ac:dyDescent="0.25">
      <c r="A193" s="35" t="s">
        <v>303</v>
      </c>
      <c r="B193" s="114">
        <v>11.68</v>
      </c>
      <c r="C193" s="45">
        <v>6.8293005957578234</v>
      </c>
      <c r="D193" s="42" t="s">
        <v>166</v>
      </c>
      <c r="E193" s="55" t="s">
        <v>120</v>
      </c>
      <c r="F193" s="39"/>
      <c r="G193" s="40"/>
    </row>
    <row r="194" spans="1:7" x14ac:dyDescent="0.25">
      <c r="A194" s="35" t="s">
        <v>303</v>
      </c>
      <c r="B194" s="114">
        <v>11.76</v>
      </c>
      <c r="C194" s="45">
        <v>6.7811626347854563</v>
      </c>
      <c r="D194" s="42" t="s">
        <v>166</v>
      </c>
      <c r="E194" s="55" t="s">
        <v>120</v>
      </c>
      <c r="F194" s="39"/>
      <c r="G194" s="40"/>
    </row>
    <row r="195" spans="1:7" x14ac:dyDescent="0.25">
      <c r="A195" s="35" t="s">
        <v>303</v>
      </c>
      <c r="B195" s="114">
        <v>11.84</v>
      </c>
      <c r="C195" s="45">
        <v>6.7336287123219201</v>
      </c>
      <c r="D195" s="42" t="s">
        <v>166</v>
      </c>
      <c r="E195" s="55" t="s">
        <v>120</v>
      </c>
      <c r="F195" s="39"/>
      <c r="G195" s="40"/>
    </row>
    <row r="196" spans="1:7" x14ac:dyDescent="0.25">
      <c r="A196" s="35" t="s">
        <v>303</v>
      </c>
      <c r="B196" s="114">
        <v>11.92</v>
      </c>
      <c r="C196" s="45">
        <v>6.6866915093077441</v>
      </c>
      <c r="D196" s="42" t="s">
        <v>166</v>
      </c>
      <c r="E196" s="55" t="s">
        <v>120</v>
      </c>
      <c r="F196" s="39"/>
      <c r="G196" s="40"/>
    </row>
    <row r="197" spans="1:7" x14ac:dyDescent="0.25">
      <c r="A197" s="35" t="s">
        <v>303</v>
      </c>
      <c r="B197" s="114">
        <v>12</v>
      </c>
      <c r="C197" s="45">
        <v>6.640343727885103</v>
      </c>
      <c r="D197" s="42" t="s">
        <v>166</v>
      </c>
      <c r="E197" s="55" t="s">
        <v>120</v>
      </c>
      <c r="F197" s="39"/>
      <c r="G197" s="40"/>
    </row>
    <row r="198" spans="1:7" x14ac:dyDescent="0.25">
      <c r="A198" s="35" t="s">
        <v>303</v>
      </c>
      <c r="B198" s="114">
        <v>12.08</v>
      </c>
      <c r="C198" s="45">
        <v>6.5945780947342403</v>
      </c>
      <c r="D198" s="42" t="s">
        <v>166</v>
      </c>
      <c r="E198" s="55" t="s">
        <v>120</v>
      </c>
      <c r="F198" s="39"/>
      <c r="G198" s="40"/>
    </row>
    <row r="199" spans="1:7" x14ac:dyDescent="0.25">
      <c r="A199" s="35" t="s">
        <v>303</v>
      </c>
      <c r="B199" s="114">
        <v>12.16</v>
      </c>
      <c r="C199" s="45">
        <v>6.549387364211313</v>
      </c>
      <c r="D199" s="42" t="s">
        <v>166</v>
      </c>
      <c r="E199" s="55" t="s">
        <v>120</v>
      </c>
      <c r="F199" s="39"/>
      <c r="G199" s="40"/>
    </row>
    <row r="200" spans="1:7" x14ac:dyDescent="0.25">
      <c r="A200" s="35" t="s">
        <v>303</v>
      </c>
      <c r="B200" s="114">
        <v>12.24</v>
      </c>
      <c r="C200" s="45">
        <v>6.5047643212975359</v>
      </c>
      <c r="D200" s="42" t="s">
        <v>166</v>
      </c>
      <c r="E200" s="55" t="s">
        <v>120</v>
      </c>
      <c r="F200" s="39"/>
      <c r="G200" s="40"/>
    </row>
    <row r="201" spans="1:7" x14ac:dyDescent="0.25">
      <c r="A201" s="35" t="s">
        <v>303</v>
      </c>
      <c r="B201" s="114">
        <v>12.32</v>
      </c>
      <c r="C201" s="45">
        <v>6.4607017843654724</v>
      </c>
      <c r="D201" s="42" t="s">
        <v>166</v>
      </c>
      <c r="E201" s="55" t="s">
        <v>120</v>
      </c>
      <c r="F201" s="39"/>
      <c r="G201" s="40"/>
    </row>
    <row r="202" spans="1:7" x14ac:dyDescent="0.25">
      <c r="A202" s="35" t="s">
        <v>303</v>
      </c>
      <c r="B202" s="114">
        <v>12.4</v>
      </c>
      <c r="C202" s="45">
        <v>6.4171926077731367</v>
      </c>
      <c r="D202" s="42" t="s">
        <v>166</v>
      </c>
      <c r="E202" s="55" t="s">
        <v>120</v>
      </c>
      <c r="F202" s="39"/>
      <c r="G202" s="40"/>
    </row>
    <row r="203" spans="1:7" x14ac:dyDescent="0.25">
      <c r="A203" s="35" t="s">
        <v>303</v>
      </c>
      <c r="B203" s="114">
        <v>12.48</v>
      </c>
      <c r="C203" s="45">
        <v>6.3742296842903041</v>
      </c>
      <c r="D203" s="42" t="s">
        <v>166</v>
      </c>
      <c r="E203" s="55" t="s">
        <v>120</v>
      </c>
      <c r="F203" s="39"/>
      <c r="G203" s="40"/>
    </row>
    <row r="204" spans="1:7" x14ac:dyDescent="0.25">
      <c r="A204" s="35" t="s">
        <v>303</v>
      </c>
      <c r="B204" s="114">
        <v>12.56</v>
      </c>
      <c r="C204" s="45">
        <v>6.3318059473661279</v>
      </c>
      <c r="D204" s="42" t="s">
        <v>166</v>
      </c>
      <c r="E204" s="55" t="s">
        <v>120</v>
      </c>
      <c r="F204" s="39"/>
      <c r="G204" s="40"/>
    </row>
    <row r="205" spans="1:7" x14ac:dyDescent="0.25">
      <c r="A205" s="35" t="s">
        <v>303</v>
      </c>
      <c r="B205" s="114">
        <v>12.64</v>
      </c>
      <c r="C205" s="45">
        <v>6.2899143732440645</v>
      </c>
      <c r="D205" s="42" t="s">
        <v>166</v>
      </c>
      <c r="E205" s="55" t="s">
        <v>120</v>
      </c>
      <c r="F205" s="39"/>
      <c r="G205" s="40"/>
    </row>
    <row r="206" spans="1:7" x14ac:dyDescent="0.25">
      <c r="A206" s="35" t="s">
        <v>303</v>
      </c>
      <c r="B206" s="114">
        <v>12.72</v>
      </c>
      <c r="C206" s="45">
        <v>6.2485479829325925</v>
      </c>
      <c r="D206" s="42" t="s">
        <v>166</v>
      </c>
      <c r="E206" s="55" t="s">
        <v>120</v>
      </c>
      <c r="F206" s="39"/>
      <c r="G206" s="40"/>
    </row>
    <row r="207" spans="1:7" x14ac:dyDescent="0.25">
      <c r="A207" s="35" t="s">
        <v>303</v>
      </c>
      <c r="B207" s="114">
        <v>12.8</v>
      </c>
      <c r="C207" s="45">
        <v>6.2076998440341278</v>
      </c>
      <c r="D207" s="42" t="s">
        <v>166</v>
      </c>
      <c r="E207" s="55" t="s">
        <v>120</v>
      </c>
      <c r="F207" s="39"/>
      <c r="G207" s="40"/>
    </row>
    <row r="208" spans="1:7" x14ac:dyDescent="0.25">
      <c r="A208" s="35" t="s">
        <v>303</v>
      </c>
      <c r="B208" s="114">
        <v>12.88</v>
      </c>
      <c r="C208" s="45">
        <v>6.1673630724439832</v>
      </c>
      <c r="D208" s="42" t="s">
        <v>166</v>
      </c>
      <c r="E208" s="55" t="s">
        <v>120</v>
      </c>
      <c r="F208" s="39"/>
      <c r="G208" s="40"/>
    </row>
    <row r="209" spans="1:7" x14ac:dyDescent="0.25">
      <c r="A209" s="35" t="s">
        <v>303</v>
      </c>
      <c r="B209" s="114">
        <v>12.96</v>
      </c>
      <c r="C209" s="45">
        <v>6.1275308339206394</v>
      </c>
      <c r="D209" s="42" t="s">
        <v>166</v>
      </c>
      <c r="E209" s="55" t="s">
        <v>120</v>
      </c>
      <c r="F209" s="39"/>
      <c r="G209" s="40"/>
    </row>
    <row r="210" spans="1:7" x14ac:dyDescent="0.25">
      <c r="A210" s="35" t="s">
        <v>303</v>
      </c>
      <c r="B210" s="114">
        <v>13.04</v>
      </c>
      <c r="C210" s="45">
        <v>6.0881963455352643</v>
      </c>
      <c r="D210" s="42" t="s">
        <v>166</v>
      </c>
      <c r="E210" s="55" t="s">
        <v>120</v>
      </c>
      <c r="F210" s="39"/>
      <c r="G210" s="40"/>
    </row>
    <row r="211" spans="1:7" x14ac:dyDescent="0.25">
      <c r="A211" s="35" t="s">
        <v>303</v>
      </c>
      <c r="B211" s="114">
        <v>13.12</v>
      </c>
      <c r="C211" s="45">
        <v>6.049352877006017</v>
      </c>
      <c r="D211" s="42" t="s">
        <v>166</v>
      </c>
      <c r="E211" s="55" t="s">
        <v>120</v>
      </c>
      <c r="F211" s="39"/>
      <c r="G211" s="40"/>
    </row>
    <row r="212" spans="1:7" x14ac:dyDescent="0.25">
      <c r="A212" s="35" t="s">
        <v>303</v>
      </c>
      <c r="B212" s="114">
        <v>13.2</v>
      </c>
      <c r="C212" s="45">
        <v>6.0109937519215997</v>
      </c>
      <c r="D212" s="42" t="s">
        <v>166</v>
      </c>
      <c r="E212" s="55" t="s">
        <v>120</v>
      </c>
      <c r="F212" s="39"/>
      <c r="G212" s="40"/>
    </row>
    <row r="213" spans="1:7" x14ac:dyDescent="0.25">
      <c r="A213" s="35" t="s">
        <v>303</v>
      </c>
      <c r="B213" s="114">
        <v>13.28</v>
      </c>
      <c r="C213" s="45">
        <v>5.9731123488609121</v>
      </c>
      <c r="D213" s="42" t="s">
        <v>166</v>
      </c>
      <c r="E213" s="55" t="s">
        <v>120</v>
      </c>
      <c r="F213" s="39"/>
      <c r="G213" s="40"/>
    </row>
    <row r="214" spans="1:7" x14ac:dyDescent="0.25">
      <c r="A214" s="35" t="s">
        <v>303</v>
      </c>
      <c r="B214" s="114">
        <v>13.36</v>
      </c>
      <c r="C214" s="45">
        <v>5.9357021024116161</v>
      </c>
      <c r="D214" s="42" t="s">
        <v>166</v>
      </c>
      <c r="E214" s="55" t="s">
        <v>120</v>
      </c>
      <c r="F214" s="39"/>
      <c r="G214" s="40"/>
    </row>
    <row r="215" spans="1:7" x14ac:dyDescent="0.25">
      <c r="A215" s="35" t="s">
        <v>303</v>
      </c>
      <c r="B215" s="114">
        <v>13.44</v>
      </c>
      <c r="C215" s="45">
        <v>5.8987565040939529</v>
      </c>
      <c r="D215" s="42" t="s">
        <v>166</v>
      </c>
      <c r="E215" s="55" t="s">
        <v>120</v>
      </c>
      <c r="F215" s="39"/>
      <c r="G215" s="40"/>
    </row>
    <row r="216" spans="1:7" x14ac:dyDescent="0.25">
      <c r="A216" s="35" t="s">
        <v>303</v>
      </c>
      <c r="B216" s="114">
        <v>13.52</v>
      </c>
      <c r="C216" s="45">
        <v>5.8622691031938068</v>
      </c>
      <c r="D216" s="42" t="s">
        <v>166</v>
      </c>
      <c r="E216" s="55" t="s">
        <v>120</v>
      </c>
      <c r="F216" s="39"/>
      <c r="G216" s="40"/>
    </row>
    <row r="217" spans="1:7" x14ac:dyDescent="0.25">
      <c r="A217" s="35" t="s">
        <v>303</v>
      </c>
      <c r="B217" s="114">
        <v>13.6</v>
      </c>
      <c r="C217" s="45">
        <v>5.8262335075098068</v>
      </c>
      <c r="D217" s="42" t="s">
        <v>166</v>
      </c>
      <c r="E217" s="55" t="s">
        <v>120</v>
      </c>
      <c r="F217" s="39"/>
      <c r="G217" s="40"/>
    </row>
    <row r="218" spans="1:7" x14ac:dyDescent="0.25">
      <c r="A218" s="35" t="s">
        <v>303</v>
      </c>
      <c r="B218" s="114">
        <v>13.68</v>
      </c>
      <c r="C218" s="45">
        <v>5.7906433840183187</v>
      </c>
      <c r="D218" s="42" t="s">
        <v>166</v>
      </c>
      <c r="E218" s="55" t="s">
        <v>120</v>
      </c>
      <c r="F218" s="39"/>
      <c r="G218" s="40"/>
    </row>
    <row r="219" spans="1:7" x14ac:dyDescent="0.25">
      <c r="A219" s="35" t="s">
        <v>303</v>
      </c>
      <c r="B219" s="114">
        <v>13.76</v>
      </c>
      <c r="C219" s="45">
        <v>5.7554924594609425</v>
      </c>
      <c r="D219" s="42" t="s">
        <v>166</v>
      </c>
      <c r="E219" s="55" t="s">
        <v>120</v>
      </c>
      <c r="F219" s="39"/>
      <c r="G219" s="40"/>
    </row>
    <row r="220" spans="1:7" x14ac:dyDescent="0.25">
      <c r="A220" s="35" t="s">
        <v>303</v>
      </c>
      <c r="B220" s="114">
        <v>13.84</v>
      </c>
      <c r="C220" s="45">
        <v>5.7207745208574554</v>
      </c>
      <c r="D220" s="42" t="s">
        <v>166</v>
      </c>
      <c r="E220" s="55" t="s">
        <v>120</v>
      </c>
      <c r="F220" s="39"/>
      <c r="G220" s="40"/>
    </row>
    <row r="221" spans="1:7" x14ac:dyDescent="0.25">
      <c r="A221" s="35" t="s">
        <v>303</v>
      </c>
      <c r="B221" s="114">
        <v>13.92</v>
      </c>
      <c r="C221" s="45">
        <v>5.6864834159488797</v>
      </c>
      <c r="D221" s="42" t="s">
        <v>166</v>
      </c>
      <c r="E221" s="55" t="s">
        <v>120</v>
      </c>
      <c r="F221" s="39"/>
      <c r="G221" s="40"/>
    </row>
    <row r="222" spans="1:7" x14ac:dyDescent="0.25">
      <c r="A222" s="35" t="s">
        <v>303</v>
      </c>
      <c r="B222" s="114">
        <v>14</v>
      </c>
      <c r="C222" s="45">
        <v>5.6526130535748003</v>
      </c>
      <c r="D222" s="42" t="s">
        <v>166</v>
      </c>
      <c r="E222" s="55" t="s">
        <v>120</v>
      </c>
      <c r="F222" s="39"/>
      <c r="G222" s="40"/>
    </row>
    <row r="223" spans="1:7" x14ac:dyDescent="0.25">
      <c r="A223" s="35" t="s">
        <v>303</v>
      </c>
      <c r="B223" s="114">
        <v>14.08</v>
      </c>
      <c r="C223" s="45">
        <v>5.6191574039864332</v>
      </c>
      <c r="D223" s="42" t="s">
        <v>166</v>
      </c>
      <c r="E223" s="55" t="s">
        <v>120</v>
      </c>
      <c r="F223" s="39"/>
      <c r="G223" s="40"/>
    </row>
    <row r="224" spans="1:7" x14ac:dyDescent="0.25">
      <c r="A224" s="35" t="s">
        <v>303</v>
      </c>
      <c r="B224" s="114">
        <v>14.16</v>
      </c>
      <c r="C224" s="45">
        <v>5.5861104991003057</v>
      </c>
      <c r="D224" s="42" t="s">
        <v>166</v>
      </c>
      <c r="E224" s="55" t="s">
        <v>120</v>
      </c>
      <c r="F224" s="39"/>
      <c r="G224" s="40"/>
    </row>
    <row r="225" spans="1:7" x14ac:dyDescent="0.25">
      <c r="A225" s="35" t="s">
        <v>303</v>
      </c>
      <c r="B225" s="114">
        <v>14.24</v>
      </c>
      <c r="C225" s="45">
        <v>5.5534664326964958</v>
      </c>
      <c r="D225" s="42" t="s">
        <v>166</v>
      </c>
      <c r="E225" s="55" t="s">
        <v>120</v>
      </c>
      <c r="F225" s="39"/>
      <c r="G225" s="40"/>
    </row>
    <row r="226" spans="1:7" x14ac:dyDescent="0.25">
      <c r="A226" s="35" t="s">
        <v>303</v>
      </c>
      <c r="B226" s="114">
        <v>14.32</v>
      </c>
      <c r="C226" s="45">
        <v>5.5212193605618243</v>
      </c>
      <c r="D226" s="42" t="s">
        <v>166</v>
      </c>
      <c r="E226" s="55" t="s">
        <v>120</v>
      </c>
      <c r="F226" s="39"/>
      <c r="G226" s="40"/>
    </row>
    <row r="227" spans="1:7" x14ac:dyDescent="0.25">
      <c r="A227" s="35" t="s">
        <v>303</v>
      </c>
      <c r="B227" s="114">
        <v>14.4</v>
      </c>
      <c r="C227" s="45">
        <v>5.4893635005836003</v>
      </c>
      <c r="D227" s="42" t="s">
        <v>166</v>
      </c>
      <c r="E227" s="55" t="s">
        <v>120</v>
      </c>
      <c r="F227" s="39"/>
      <c r="G227" s="40"/>
    </row>
    <row r="228" spans="1:7" x14ac:dyDescent="0.25">
      <c r="A228" s="35" t="s">
        <v>303</v>
      </c>
      <c r="B228" s="114">
        <v>14.48</v>
      </c>
      <c r="C228" s="45">
        <v>5.4578931327957907</v>
      </c>
      <c r="D228" s="42" t="s">
        <v>166</v>
      </c>
      <c r="E228" s="55" t="s">
        <v>120</v>
      </c>
      <c r="F228" s="39"/>
      <c r="G228" s="40"/>
    </row>
    <row r="229" spans="1:7" x14ac:dyDescent="0.25">
      <c r="A229" s="35" t="s">
        <v>303</v>
      </c>
      <c r="B229" s="114">
        <v>14.56</v>
      </c>
      <c r="C229" s="45">
        <v>5.4268025993782096</v>
      </c>
      <c r="D229" s="42" t="s">
        <v>166</v>
      </c>
      <c r="E229" s="55" t="s">
        <v>120</v>
      </c>
      <c r="F229" s="39"/>
      <c r="G229" s="40"/>
    </row>
    <row r="230" spans="1:7" x14ac:dyDescent="0.25">
      <c r="A230" s="35" t="s">
        <v>303</v>
      </c>
      <c r="B230" s="114">
        <v>14.64</v>
      </c>
      <c r="C230" s="45">
        <v>5.3960863046172154</v>
      </c>
      <c r="D230" s="42" t="s">
        <v>166</v>
      </c>
      <c r="E230" s="55" t="s">
        <v>120</v>
      </c>
      <c r="F230" s="39"/>
      <c r="G230" s="40"/>
    </row>
    <row r="231" spans="1:7" x14ac:dyDescent="0.25">
      <c r="A231" s="35" t="s">
        <v>303</v>
      </c>
      <c r="B231" s="114">
        <v>14.72</v>
      </c>
      <c r="C231" s="45">
        <v>5.3657387148224647</v>
      </c>
      <c r="D231" s="42" t="s">
        <v>166</v>
      </c>
      <c r="E231" s="55" t="s">
        <v>120</v>
      </c>
      <c r="F231" s="39"/>
      <c r="G231" s="40"/>
    </row>
    <row r="232" spans="1:7" x14ac:dyDescent="0.25">
      <c r="A232" s="35" t="s">
        <v>303</v>
      </c>
      <c r="B232" s="114">
        <v>14.8</v>
      </c>
      <c r="C232" s="45">
        <v>5.3357543582076001</v>
      </c>
      <c r="D232" s="42" t="s">
        <v>166</v>
      </c>
      <c r="E232" s="55" t="s">
        <v>120</v>
      </c>
      <c r="F232" s="39"/>
      <c r="G232" s="40"/>
    </row>
    <row r="233" spans="1:7" x14ac:dyDescent="0.25">
      <c r="A233" s="35" t="s">
        <v>303</v>
      </c>
      <c r="B233" s="114">
        <v>14.88</v>
      </c>
      <c r="C233" s="45">
        <v>5.3061278247372154</v>
      </c>
      <c r="D233" s="42" t="s">
        <v>166</v>
      </c>
      <c r="E233" s="55" t="s">
        <v>120</v>
      </c>
      <c r="F233" s="39"/>
      <c r="G233" s="40"/>
    </row>
    <row r="234" spans="1:7" x14ac:dyDescent="0.25">
      <c r="A234" s="35" t="s">
        <v>303</v>
      </c>
      <c r="B234" s="114">
        <v>14.96</v>
      </c>
      <c r="C234" s="45">
        <v>5.2768537659375347</v>
      </c>
      <c r="D234" s="42" t="s">
        <v>166</v>
      </c>
      <c r="E234" s="55" t="s">
        <v>120</v>
      </c>
      <c r="F234" s="39"/>
      <c r="G234" s="40"/>
    </row>
    <row r="235" spans="1:7" x14ac:dyDescent="0.25">
      <c r="A235" s="35" t="s">
        <v>303</v>
      </c>
      <c r="B235" s="114">
        <v>15.04</v>
      </c>
      <c r="C235" s="45">
        <v>5.2479268946791038</v>
      </c>
      <c r="D235" s="42" t="s">
        <v>166</v>
      </c>
      <c r="E235" s="55" t="s">
        <v>120</v>
      </c>
      <c r="F235" s="39"/>
      <c r="G235" s="40"/>
    </row>
    <row r="236" spans="1:7" x14ac:dyDescent="0.25">
      <c r="A236" s="35" t="s">
        <v>303</v>
      </c>
      <c r="B236" s="114">
        <v>15.12</v>
      </c>
      <c r="C236" s="45">
        <v>5.2193419849279366</v>
      </c>
      <c r="D236" s="42" t="s">
        <v>166</v>
      </c>
      <c r="E236" s="55" t="s">
        <v>120</v>
      </c>
      <c r="F236" s="39"/>
      <c r="G236" s="40"/>
    </row>
    <row r="237" spans="1:7" x14ac:dyDescent="0.25">
      <c r="A237" s="35" t="s">
        <v>303</v>
      </c>
      <c r="B237" s="114">
        <v>15.2</v>
      </c>
      <c r="C237" s="45">
        <v>5.1910938714711055</v>
      </c>
      <c r="D237" s="42" t="s">
        <v>166</v>
      </c>
      <c r="E237" s="55" t="s">
        <v>120</v>
      </c>
      <c r="F237" s="39"/>
      <c r="G237" s="40"/>
    </row>
    <row r="238" spans="1:7" x14ac:dyDescent="0.25">
      <c r="A238" s="35" t="s">
        <v>303</v>
      </c>
      <c r="B238" s="114">
        <v>15.28</v>
      </c>
      <c r="C238" s="45">
        <v>5.1631774496158709</v>
      </c>
      <c r="D238" s="42" t="s">
        <v>166</v>
      </c>
      <c r="E238" s="55" t="s">
        <v>120</v>
      </c>
      <c r="F238" s="39"/>
      <c r="G238" s="40"/>
    </row>
    <row r="239" spans="1:7" x14ac:dyDescent="0.25">
      <c r="A239" s="35" t="s">
        <v>303</v>
      </c>
      <c r="B239" s="114">
        <v>15.36</v>
      </c>
      <c r="C239" s="45">
        <v>5.1355876748662723</v>
      </c>
      <c r="D239" s="42" t="s">
        <v>166</v>
      </c>
      <c r="E239" s="55" t="s">
        <v>120</v>
      </c>
      <c r="F239" s="39"/>
      <c r="G239" s="40"/>
    </row>
    <row r="240" spans="1:7" x14ac:dyDescent="0.25">
      <c r="A240" s="35" t="s">
        <v>303</v>
      </c>
      <c r="B240" s="114">
        <v>15.44</v>
      </c>
      <c r="C240" s="45">
        <v>5.1083195625762237</v>
      </c>
      <c r="D240" s="42" t="s">
        <v>166</v>
      </c>
      <c r="E240" s="55" t="s">
        <v>120</v>
      </c>
      <c r="F240" s="39"/>
      <c r="G240" s="40"/>
    </row>
    <row r="241" spans="1:7" x14ac:dyDescent="0.25">
      <c r="A241" s="35" t="s">
        <v>303</v>
      </c>
      <c r="B241" s="114">
        <v>15.52</v>
      </c>
      <c r="C241" s="45">
        <v>5.0813681875834895</v>
      </c>
      <c r="D241" s="42" t="s">
        <v>166</v>
      </c>
      <c r="E241" s="55" t="s">
        <v>120</v>
      </c>
      <c r="F241" s="39"/>
      <c r="G241" s="40"/>
    </row>
    <row r="242" spans="1:7" x14ac:dyDescent="0.25">
      <c r="A242" s="35" t="s">
        <v>303</v>
      </c>
      <c r="B242" s="114">
        <v>15.6</v>
      </c>
      <c r="C242" s="45">
        <v>5.0547286838237433</v>
      </c>
      <c r="D242" s="42" t="s">
        <v>166</v>
      </c>
      <c r="E242" s="55" t="s">
        <v>120</v>
      </c>
      <c r="F242" s="39"/>
      <c r="G242" s="40"/>
    </row>
    <row r="243" spans="1:7" x14ac:dyDescent="0.25">
      <c r="A243" s="35" t="s">
        <v>303</v>
      </c>
      <c r="B243" s="114">
        <v>15.68</v>
      </c>
      <c r="C243" s="45">
        <v>5.0283962439276646</v>
      </c>
      <c r="D243" s="42" t="s">
        <v>166</v>
      </c>
      <c r="E243" s="55" t="s">
        <v>120</v>
      </c>
      <c r="F243" s="39"/>
      <c r="G243" s="40"/>
    </row>
    <row r="244" spans="1:7" x14ac:dyDescent="0.25">
      <c r="A244" s="35" t="s">
        <v>303</v>
      </c>
      <c r="B244" s="114">
        <v>15.76</v>
      </c>
      <c r="C244" s="45">
        <v>5.0023661188012962</v>
      </c>
      <c r="D244" s="42" t="s">
        <v>166</v>
      </c>
      <c r="E244" s="55" t="s">
        <v>120</v>
      </c>
      <c r="F244" s="39"/>
      <c r="G244" s="40"/>
    </row>
    <row r="245" spans="1:7" x14ac:dyDescent="0.25">
      <c r="A245" s="35" t="s">
        <v>303</v>
      </c>
      <c r="B245" s="114">
        <v>15.84</v>
      </c>
      <c r="C245" s="45">
        <v>4.9766336171930234</v>
      </c>
      <c r="D245" s="42" t="s">
        <v>166</v>
      </c>
      <c r="E245" s="55" t="s">
        <v>120</v>
      </c>
      <c r="F245" s="39"/>
      <c r="G245" s="40"/>
    </row>
    <row r="246" spans="1:7" x14ac:dyDescent="0.25">
      <c r="A246" s="35" t="s">
        <v>303</v>
      </c>
      <c r="B246" s="114">
        <v>15.92</v>
      </c>
      <c r="C246" s="45">
        <v>4.9511941052439834</v>
      </c>
      <c r="D246" s="42" t="s">
        <v>166</v>
      </c>
      <c r="E246" s="55" t="s">
        <v>120</v>
      </c>
      <c r="F246" s="39"/>
      <c r="G246" s="40"/>
    </row>
    <row r="247" spans="1:7" x14ac:dyDescent="0.25">
      <c r="A247" s="35" t="s">
        <v>303</v>
      </c>
      <c r="B247" s="114">
        <v>16</v>
      </c>
      <c r="C247" s="45">
        <v>4.9260430060292464</v>
      </c>
      <c r="D247" s="42" t="s">
        <v>166</v>
      </c>
      <c r="E247" s="55" t="s">
        <v>120</v>
      </c>
      <c r="F247" s="39"/>
      <c r="G247" s="40"/>
    </row>
    <row r="248" spans="1:7" x14ac:dyDescent="0.25">
      <c r="F248" s="1"/>
    </row>
  </sheetData>
  <sheetProtection password="CA84" sheet="1" objects="1" scenarios="1" selectLockedCells="1"/>
  <mergeCells count="2">
    <mergeCell ref="F2:I2"/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Design</vt:lpstr>
      <vt:lpstr>Snubber</vt:lpstr>
      <vt:lpstr>Efficiency</vt:lpstr>
      <vt:lpstr>Dropout</vt:lpstr>
      <vt:lpstr>Constants</vt:lpstr>
      <vt:lpstr>Design!Print_Area</vt:lpstr>
      <vt:lpstr>Snubber!Print_Area</vt:lpstr>
    </vt:vector>
  </TitlesOfParts>
  <Company>Allegro MicroSystems,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J. Reicher</dc:creator>
  <cp:lastModifiedBy>Garvey, Richard</cp:lastModifiedBy>
  <cp:lastPrinted>2012-02-02T03:45:48Z</cp:lastPrinted>
  <dcterms:created xsi:type="dcterms:W3CDTF">2012-01-10T15:56:57Z</dcterms:created>
  <dcterms:modified xsi:type="dcterms:W3CDTF">2015-09-08T11:05:30Z</dcterms:modified>
</cp:coreProperties>
</file>