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eicher\Documents\A8589\Design Tool\"/>
    </mc:Choice>
  </mc:AlternateContent>
  <bookViews>
    <workbookView xWindow="5676" yWindow="3468" windowWidth="19152" windowHeight="8580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</sheets>
  <definedNames>
    <definedName name="_xlnm.Print_Area" localSheetId="0">Design!$A$1:$I$93</definedName>
    <definedName name="_xlnm.Print_Area" localSheetId="1">Snubber!$A$2:$I$34</definedName>
  </definedNames>
  <calcPr calcId="152511" iterate="1" iterateCount="1000"/>
</workbook>
</file>

<file path=xl/calcChain.xml><?xml version="1.0" encoding="utf-8"?>
<calcChain xmlns="http://schemas.openxmlformats.org/spreadsheetml/2006/main">
  <c r="B76" i="1" l="1"/>
  <c r="B68" i="1"/>
  <c r="C37" i="1" l="1"/>
  <c r="B37" i="1"/>
  <c r="B34" i="1"/>
  <c r="AW19" i="12"/>
  <c r="AW20" i="12"/>
  <c r="AW21" i="12"/>
  <c r="AW22" i="12"/>
  <c r="AW23" i="12"/>
  <c r="AW24" i="12"/>
  <c r="AW10" i="12"/>
  <c r="AW11" i="12"/>
  <c r="AW12" i="12"/>
  <c r="AW13" i="12"/>
  <c r="AC19" i="12"/>
  <c r="AC20" i="12"/>
  <c r="AC21" i="12"/>
  <c r="AC22" i="12"/>
  <c r="AC23" i="12"/>
  <c r="AC24" i="12"/>
  <c r="AC10" i="12"/>
  <c r="AC11" i="12"/>
  <c r="AC12" i="12"/>
  <c r="AC13" i="12"/>
  <c r="A19" i="12"/>
  <c r="I19" i="12"/>
  <c r="A20" i="12"/>
  <c r="I20" i="12"/>
  <c r="A21" i="12"/>
  <c r="I21" i="12"/>
  <c r="A22" i="12"/>
  <c r="I22" i="12"/>
  <c r="A23" i="12"/>
  <c r="I23" i="12"/>
  <c r="A24" i="12"/>
  <c r="I24" i="12"/>
  <c r="I10" i="12"/>
  <c r="I11" i="12"/>
  <c r="I12" i="12"/>
  <c r="I13" i="12"/>
  <c r="G61" i="2" l="1"/>
  <c r="C65" i="2" s="1"/>
  <c r="B75" i="1"/>
  <c r="I60" i="2"/>
  <c r="B35" i="2" s="1"/>
  <c r="H60" i="2"/>
  <c r="G60" i="2"/>
  <c r="B65" i="2" l="1"/>
  <c r="H66" i="2"/>
  <c r="H65" i="2"/>
  <c r="H64" i="2"/>
  <c r="C67" i="2" s="1"/>
  <c r="F4" i="1"/>
  <c r="H114" i="7"/>
  <c r="H113" i="7"/>
  <c r="B53" i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" i="7"/>
  <c r="A47" i="7"/>
  <c r="AU88" i="7"/>
  <c r="AQ2" i="12"/>
  <c r="W2" i="12"/>
  <c r="C2" i="12"/>
  <c r="AP16" i="12"/>
  <c r="AP17" i="12" s="1"/>
  <c r="V16" i="12"/>
  <c r="V17" i="12" s="1"/>
  <c r="B16" i="12"/>
  <c r="B17" i="12" s="1"/>
  <c r="AP5" i="12"/>
  <c r="AP6" i="12" s="1"/>
  <c r="V5" i="12"/>
  <c r="V6" i="12" s="1"/>
  <c r="V7" i="12" s="1"/>
  <c r="B5" i="12"/>
  <c r="B6" i="12" s="1"/>
  <c r="A18" i="12"/>
  <c r="A17" i="12"/>
  <c r="A16" i="12"/>
  <c r="A15" i="12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G87" i="7"/>
  <c r="R87" i="7"/>
  <c r="C87" i="7"/>
  <c r="B87" i="7"/>
  <c r="AG86" i="7"/>
  <c r="R86" i="7"/>
  <c r="C86" i="7"/>
  <c r="AG85" i="7"/>
  <c r="R85" i="7"/>
  <c r="C85" i="7"/>
  <c r="AG84" i="7"/>
  <c r="R84" i="7"/>
  <c r="C84" i="7"/>
  <c r="AG83" i="7"/>
  <c r="R83" i="7"/>
  <c r="C83" i="7"/>
  <c r="AG82" i="7"/>
  <c r="R82" i="7"/>
  <c r="C82" i="7"/>
  <c r="AG81" i="7"/>
  <c r="R81" i="7"/>
  <c r="C81" i="7"/>
  <c r="AG80" i="7"/>
  <c r="R80" i="7"/>
  <c r="C80" i="7"/>
  <c r="AG79" i="7"/>
  <c r="R79" i="7"/>
  <c r="C79" i="7"/>
  <c r="AG78" i="7"/>
  <c r="R78" i="7"/>
  <c r="C78" i="7"/>
  <c r="AG77" i="7"/>
  <c r="R77" i="7"/>
  <c r="C77" i="7"/>
  <c r="AG76" i="7"/>
  <c r="R76" i="7"/>
  <c r="C76" i="7"/>
  <c r="AG75" i="7"/>
  <c r="R75" i="7"/>
  <c r="C75" i="7"/>
  <c r="AG74" i="7"/>
  <c r="R74" i="7"/>
  <c r="C74" i="7"/>
  <c r="AG73" i="7"/>
  <c r="R73" i="7"/>
  <c r="C73" i="7"/>
  <c r="AG72" i="7"/>
  <c r="R72" i="7"/>
  <c r="C72" i="7"/>
  <c r="AG71" i="7"/>
  <c r="R71" i="7"/>
  <c r="C71" i="7"/>
  <c r="AG70" i="7"/>
  <c r="R70" i="7"/>
  <c r="C70" i="7"/>
  <c r="AG69" i="7"/>
  <c r="R69" i="7"/>
  <c r="C69" i="7"/>
  <c r="AG68" i="7"/>
  <c r="R68" i="7"/>
  <c r="C68" i="7"/>
  <c r="AG67" i="7"/>
  <c r="R67" i="7"/>
  <c r="C67" i="7"/>
  <c r="AG66" i="7"/>
  <c r="R66" i="7"/>
  <c r="C66" i="7"/>
  <c r="AG65" i="7"/>
  <c r="R65" i="7"/>
  <c r="C65" i="7"/>
  <c r="AG64" i="7"/>
  <c r="R64" i="7"/>
  <c r="C64" i="7"/>
  <c r="AG63" i="7"/>
  <c r="R63" i="7"/>
  <c r="C63" i="7"/>
  <c r="AG62" i="7"/>
  <c r="R62" i="7"/>
  <c r="C62" i="7"/>
  <c r="AG61" i="7"/>
  <c r="R61" i="7"/>
  <c r="C61" i="7"/>
  <c r="AG60" i="7"/>
  <c r="R60" i="7"/>
  <c r="C60" i="7"/>
  <c r="AG59" i="7"/>
  <c r="R59" i="7"/>
  <c r="C59" i="7"/>
  <c r="AG58" i="7"/>
  <c r="R58" i="7"/>
  <c r="C58" i="7"/>
  <c r="AG57" i="7"/>
  <c r="R57" i="7"/>
  <c r="C57" i="7"/>
  <c r="AG56" i="7"/>
  <c r="R56" i="7"/>
  <c r="C56" i="7"/>
  <c r="AG55" i="7"/>
  <c r="R55" i="7"/>
  <c r="C55" i="7"/>
  <c r="AG54" i="7"/>
  <c r="R54" i="7"/>
  <c r="C54" i="7"/>
  <c r="AG53" i="7"/>
  <c r="R53" i="7"/>
  <c r="C53" i="7"/>
  <c r="AG52" i="7"/>
  <c r="R52" i="7"/>
  <c r="C52" i="7"/>
  <c r="AG51" i="7"/>
  <c r="R51" i="7"/>
  <c r="C51" i="7"/>
  <c r="AG50" i="7"/>
  <c r="R50" i="7"/>
  <c r="C50" i="7"/>
  <c r="AG49" i="7"/>
  <c r="R49" i="7"/>
  <c r="C49" i="7"/>
  <c r="AG48" i="7"/>
  <c r="R48" i="7"/>
  <c r="C48" i="7"/>
  <c r="AG47" i="7"/>
  <c r="R47" i="7"/>
  <c r="C47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" i="7"/>
  <c r="B4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" i="7"/>
  <c r="C5" i="8"/>
  <c r="B15" i="8" s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" i="7"/>
  <c r="BA19" i="12" l="1"/>
  <c r="BA20" i="12"/>
  <c r="BA21" i="12"/>
  <c r="BA22" i="12"/>
  <c r="BA23" i="12"/>
  <c r="BA24" i="12"/>
  <c r="BA10" i="12"/>
  <c r="BA11" i="12"/>
  <c r="BA12" i="12"/>
  <c r="BA13" i="12"/>
  <c r="AT19" i="12"/>
  <c r="AT20" i="12"/>
  <c r="AT21" i="12"/>
  <c r="AT22" i="12"/>
  <c r="AT23" i="12"/>
  <c r="AT24" i="12"/>
  <c r="AT10" i="12"/>
  <c r="AT11" i="12"/>
  <c r="AT12" i="12"/>
  <c r="AT13" i="12"/>
  <c r="AU22" i="12"/>
  <c r="AU24" i="12"/>
  <c r="AG16" i="12"/>
  <c r="AG19" i="12"/>
  <c r="AG20" i="12"/>
  <c r="AG21" i="12"/>
  <c r="AG22" i="12"/>
  <c r="AG23" i="12"/>
  <c r="AG24" i="12"/>
  <c r="AG10" i="12"/>
  <c r="AG11" i="12"/>
  <c r="AG12" i="12"/>
  <c r="AG13" i="12"/>
  <c r="Z19" i="12"/>
  <c r="Z20" i="12"/>
  <c r="Z21" i="12"/>
  <c r="Z22" i="12"/>
  <c r="Z23" i="12"/>
  <c r="Z24" i="12"/>
  <c r="Z10" i="12"/>
  <c r="Z11" i="12"/>
  <c r="Z12" i="12"/>
  <c r="Z13" i="12"/>
  <c r="AA23" i="12"/>
  <c r="AA20" i="12"/>
  <c r="AA22" i="12"/>
  <c r="F21" i="12"/>
  <c r="F22" i="12"/>
  <c r="F24" i="12"/>
  <c r="F19" i="12"/>
  <c r="G12" i="12"/>
  <c r="F10" i="12"/>
  <c r="F11" i="12"/>
  <c r="F12" i="12"/>
  <c r="F13" i="12"/>
  <c r="G10" i="12"/>
  <c r="M19" i="12"/>
  <c r="M20" i="12"/>
  <c r="M21" i="12"/>
  <c r="M22" i="12"/>
  <c r="M23" i="12"/>
  <c r="M24" i="12"/>
  <c r="M10" i="12"/>
  <c r="M11" i="12"/>
  <c r="M12" i="12"/>
  <c r="M13" i="12"/>
  <c r="F20" i="12"/>
  <c r="F23" i="12"/>
  <c r="B12" i="8"/>
  <c r="B13" i="8" s="1"/>
  <c r="B66" i="2"/>
  <c r="C66" i="2"/>
  <c r="B67" i="2"/>
  <c r="H67" i="2"/>
  <c r="D56" i="1" s="1"/>
  <c r="B72" i="1"/>
  <c r="B73" i="1"/>
  <c r="AG5" i="12"/>
  <c r="AG9" i="12"/>
  <c r="AG17" i="12"/>
  <c r="AG6" i="12"/>
  <c r="AG4" i="12"/>
  <c r="AG18" i="12"/>
  <c r="AG7" i="12"/>
  <c r="AG15" i="12"/>
  <c r="B86" i="7"/>
  <c r="B85" i="7" s="1"/>
  <c r="B84" i="7" s="1"/>
  <c r="AG8" i="12"/>
  <c r="BA6" i="12"/>
  <c r="BA4" i="12"/>
  <c r="BA7" i="12"/>
  <c r="BA16" i="12"/>
  <c r="BA8" i="12"/>
  <c r="BA15" i="12"/>
  <c r="BA17" i="12"/>
  <c r="BA9" i="12"/>
  <c r="BA5" i="12"/>
  <c r="BA18" i="12"/>
  <c r="M7" i="12"/>
  <c r="M16" i="12"/>
  <c r="M15" i="12"/>
  <c r="M9" i="12"/>
  <c r="M5" i="12"/>
  <c r="M18" i="12"/>
  <c r="M8" i="12"/>
  <c r="M17" i="12"/>
  <c r="M4" i="12"/>
  <c r="M6" i="12"/>
  <c r="V18" i="12"/>
  <c r="V19" i="12" s="1"/>
  <c r="V20" i="12" s="1"/>
  <c r="V21" i="12" s="1"/>
  <c r="V22" i="12" s="1"/>
  <c r="V23" i="12" s="1"/>
  <c r="V24" i="12" s="1"/>
  <c r="AA24" i="12" s="1"/>
  <c r="B18" i="12"/>
  <c r="B19" i="12" s="1"/>
  <c r="B20" i="12" s="1"/>
  <c r="B7" i="12"/>
  <c r="B8" i="12" s="1"/>
  <c r="B9" i="12" s="1"/>
  <c r="B10" i="12" s="1"/>
  <c r="B11" i="12" s="1"/>
  <c r="B12" i="12" s="1"/>
  <c r="B13" i="12" s="1"/>
  <c r="G13" i="12" s="1"/>
  <c r="AP18" i="12"/>
  <c r="AP19" i="12" s="1"/>
  <c r="AP20" i="12" s="1"/>
  <c r="AP21" i="12" s="1"/>
  <c r="AP22" i="12" s="1"/>
  <c r="AP23" i="12" s="1"/>
  <c r="AP24" i="12" s="1"/>
  <c r="AP7" i="12"/>
  <c r="AP8" i="12" s="1"/>
  <c r="V8" i="12"/>
  <c r="B43" i="7"/>
  <c r="AA21" i="12" l="1"/>
  <c r="AU19" i="12"/>
  <c r="G11" i="12"/>
  <c r="AA19" i="12"/>
  <c r="AU20" i="12"/>
  <c r="AU23" i="12"/>
  <c r="AU21" i="12"/>
  <c r="G19" i="12"/>
  <c r="B21" i="12"/>
  <c r="G20" i="12"/>
  <c r="B68" i="2"/>
  <c r="B55" i="1" s="1"/>
  <c r="C68" i="2"/>
  <c r="B56" i="1" s="1"/>
  <c r="AP9" i="12"/>
  <c r="AP10" i="12" s="1"/>
  <c r="V9" i="12"/>
  <c r="V10" i="12" s="1"/>
  <c r="B83" i="7"/>
  <c r="B42" i="7"/>
  <c r="B42" i="2"/>
  <c r="V11" i="12" l="1"/>
  <c r="AA10" i="12"/>
  <c r="AP11" i="12"/>
  <c r="AU10" i="12"/>
  <c r="B22" i="12"/>
  <c r="G21" i="12"/>
  <c r="B82" i="7"/>
  <c r="B41" i="7"/>
  <c r="B12" i="2"/>
  <c r="D12" i="2"/>
  <c r="C12" i="2"/>
  <c r="B23" i="1"/>
  <c r="B25" i="1" s="1"/>
  <c r="C27" i="1" s="1"/>
  <c r="B63" i="1"/>
  <c r="B65" i="1" s="1"/>
  <c r="D4" i="2"/>
  <c r="B4" i="2"/>
  <c r="AP12" i="12" l="1"/>
  <c r="AU11" i="12"/>
  <c r="V12" i="12"/>
  <c r="AA11" i="12"/>
  <c r="G22" i="12"/>
  <c r="B23" i="12"/>
  <c r="B27" i="1"/>
  <c r="B81" i="7"/>
  <c r="B40" i="7"/>
  <c r="C29" i="1"/>
  <c r="B66" i="1"/>
  <c r="B29" i="1"/>
  <c r="D29" i="1"/>
  <c r="V13" i="12" l="1"/>
  <c r="AA13" i="12" s="1"/>
  <c r="AA12" i="12"/>
  <c r="AP13" i="12"/>
  <c r="AU13" i="12" s="1"/>
  <c r="AU12" i="12"/>
  <c r="B24" i="12"/>
  <c r="G24" i="12" s="1"/>
  <c r="G23" i="12"/>
  <c r="B80" i="7"/>
  <c r="B79" i="7" s="1"/>
  <c r="B39" i="7"/>
  <c r="B78" i="7" l="1"/>
  <c r="B38" i="7"/>
  <c r="B77" i="7" l="1"/>
  <c r="B37" i="7"/>
  <c r="B76" i="7" l="1"/>
  <c r="B36" i="7"/>
  <c r="B75" i="7" l="1"/>
  <c r="B35" i="7"/>
  <c r="B74" i="7" l="1"/>
  <c r="B34" i="7"/>
  <c r="B73" i="7" l="1"/>
  <c r="B33" i="7"/>
  <c r="B72" i="7" l="1"/>
  <c r="B32" i="7"/>
  <c r="B71" i="7" l="1"/>
  <c r="B31" i="7"/>
  <c r="B70" i="7" l="1"/>
  <c r="B30" i="7"/>
  <c r="B69" i="7" l="1"/>
  <c r="B29" i="7"/>
  <c r="B68" i="7" l="1"/>
  <c r="B28" i="7"/>
  <c r="B67" i="7" l="1"/>
  <c r="B27" i="7"/>
  <c r="B66" i="7" l="1"/>
  <c r="B26" i="7"/>
  <c r="B65" i="7" l="1"/>
  <c r="B25" i="7"/>
  <c r="B64" i="7" l="1"/>
  <c r="B24" i="7"/>
  <c r="B63" i="7" l="1"/>
  <c r="B23" i="7"/>
  <c r="B62" i="7" l="1"/>
  <c r="B22" i="7"/>
  <c r="B61" i="7" l="1"/>
  <c r="B21" i="7"/>
  <c r="B60" i="7" l="1"/>
  <c r="B20" i="7"/>
  <c r="B59" i="7" l="1"/>
  <c r="B19" i="7"/>
  <c r="B58" i="7" l="1"/>
  <c r="B18" i="7"/>
  <c r="B57" i="7" l="1"/>
  <c r="B17" i="7"/>
  <c r="B56" i="7" l="1"/>
  <c r="B16" i="7"/>
  <c r="B55" i="7" l="1"/>
  <c r="B15" i="7"/>
  <c r="B54" i="7" l="1"/>
  <c r="B14" i="7"/>
  <c r="B53" i="7" l="1"/>
  <c r="B13" i="7"/>
  <c r="B52" i="7" l="1"/>
  <c r="B12" i="7"/>
  <c r="B51" i="7" l="1"/>
  <c r="B11" i="7"/>
  <c r="B50" i="7" l="1"/>
  <c r="B10" i="7"/>
  <c r="B49" i="7" l="1"/>
  <c r="B9" i="7"/>
  <c r="B48" i="7" l="1"/>
  <c r="B8" i="7"/>
  <c r="B47" i="7" l="1"/>
  <c r="B7" i="7"/>
  <c r="B6" i="7" l="1"/>
  <c r="B5" i="7" l="1"/>
  <c r="B4" i="7" l="1"/>
  <c r="B35" i="1" l="1"/>
  <c r="C35" i="1"/>
  <c r="B36" i="1"/>
  <c r="C36" i="1"/>
  <c r="B51" i="1"/>
  <c r="G4" i="7"/>
  <c r="H4" i="7"/>
  <c r="J4" i="7"/>
  <c r="V4" i="7"/>
  <c r="W4" i="7"/>
  <c r="Y4" i="7"/>
  <c r="AK4" i="7"/>
  <c r="AL4" i="7"/>
  <c r="AN4" i="7"/>
  <c r="G5" i="7"/>
  <c r="H5" i="7"/>
  <c r="J5" i="7"/>
  <c r="V5" i="7"/>
  <c r="W5" i="7"/>
  <c r="Y5" i="7"/>
  <c r="AK5" i="7"/>
  <c r="AL5" i="7"/>
  <c r="AN5" i="7"/>
  <c r="G6" i="7"/>
  <c r="H6" i="7"/>
  <c r="J6" i="7"/>
  <c r="V6" i="7"/>
  <c r="W6" i="7"/>
  <c r="Y6" i="7"/>
  <c r="AK6" i="7"/>
  <c r="AL6" i="7"/>
  <c r="AN6" i="7"/>
  <c r="G7" i="7"/>
  <c r="H7" i="7"/>
  <c r="J7" i="7"/>
  <c r="V7" i="7"/>
  <c r="W7" i="7"/>
  <c r="Y7" i="7"/>
  <c r="AK7" i="7"/>
  <c r="AL7" i="7"/>
  <c r="AN7" i="7"/>
  <c r="G8" i="7"/>
  <c r="H8" i="7"/>
  <c r="J8" i="7"/>
  <c r="V8" i="7"/>
  <c r="W8" i="7"/>
  <c r="Y8" i="7"/>
  <c r="AK8" i="7"/>
  <c r="AL8" i="7"/>
  <c r="AN8" i="7"/>
  <c r="G9" i="7"/>
  <c r="H9" i="7"/>
  <c r="J9" i="7"/>
  <c r="V9" i="7"/>
  <c r="W9" i="7"/>
  <c r="Y9" i="7"/>
  <c r="AK9" i="7"/>
  <c r="AL9" i="7"/>
  <c r="AN9" i="7"/>
  <c r="G10" i="7"/>
  <c r="H10" i="7"/>
  <c r="J10" i="7"/>
  <c r="V10" i="7"/>
  <c r="W10" i="7"/>
  <c r="Y10" i="7"/>
  <c r="AK10" i="7"/>
  <c r="AL10" i="7"/>
  <c r="AN10" i="7"/>
  <c r="G11" i="7"/>
  <c r="H11" i="7"/>
  <c r="J11" i="7"/>
  <c r="V11" i="7"/>
  <c r="W11" i="7"/>
  <c r="Y11" i="7"/>
  <c r="AK11" i="7"/>
  <c r="AL11" i="7"/>
  <c r="AN11" i="7"/>
  <c r="G12" i="7"/>
  <c r="H12" i="7"/>
  <c r="J12" i="7"/>
  <c r="V12" i="7"/>
  <c r="W12" i="7"/>
  <c r="Y12" i="7"/>
  <c r="AK12" i="7"/>
  <c r="AL12" i="7"/>
  <c r="AN12" i="7"/>
  <c r="G13" i="7"/>
  <c r="H13" i="7"/>
  <c r="J13" i="7"/>
  <c r="V13" i="7"/>
  <c r="W13" i="7"/>
  <c r="Y13" i="7"/>
  <c r="AK13" i="7"/>
  <c r="AL13" i="7"/>
  <c r="AN13" i="7"/>
  <c r="G14" i="7"/>
  <c r="H14" i="7"/>
  <c r="J14" i="7"/>
  <c r="V14" i="7"/>
  <c r="W14" i="7"/>
  <c r="Y14" i="7"/>
  <c r="AK14" i="7"/>
  <c r="AL14" i="7"/>
  <c r="AN14" i="7"/>
  <c r="G15" i="7"/>
  <c r="H15" i="7"/>
  <c r="J15" i="7"/>
  <c r="V15" i="7"/>
  <c r="W15" i="7"/>
  <c r="Y15" i="7"/>
  <c r="AK15" i="7"/>
  <c r="AL15" i="7"/>
  <c r="AN15" i="7"/>
  <c r="G16" i="7"/>
  <c r="H16" i="7"/>
  <c r="J16" i="7"/>
  <c r="V16" i="7"/>
  <c r="W16" i="7"/>
  <c r="Y16" i="7"/>
  <c r="AK16" i="7"/>
  <c r="AL16" i="7"/>
  <c r="AN16" i="7"/>
  <c r="G17" i="7"/>
  <c r="H17" i="7"/>
  <c r="J17" i="7"/>
  <c r="V17" i="7"/>
  <c r="W17" i="7"/>
  <c r="Y17" i="7"/>
  <c r="AK17" i="7"/>
  <c r="AL17" i="7"/>
  <c r="AN17" i="7"/>
  <c r="G18" i="7"/>
  <c r="H18" i="7"/>
  <c r="J18" i="7"/>
  <c r="V18" i="7"/>
  <c r="W18" i="7"/>
  <c r="Y18" i="7"/>
  <c r="AK18" i="7"/>
  <c r="AL18" i="7"/>
  <c r="AN18" i="7"/>
  <c r="G19" i="7"/>
  <c r="H19" i="7"/>
  <c r="J19" i="7"/>
  <c r="V19" i="7"/>
  <c r="W19" i="7"/>
  <c r="Y19" i="7"/>
  <c r="AK19" i="7"/>
  <c r="AL19" i="7"/>
  <c r="AN19" i="7"/>
  <c r="G20" i="7"/>
  <c r="H20" i="7"/>
  <c r="J20" i="7"/>
  <c r="V20" i="7"/>
  <c r="W20" i="7"/>
  <c r="Y20" i="7"/>
  <c r="AK20" i="7"/>
  <c r="AL20" i="7"/>
  <c r="AN20" i="7"/>
  <c r="G21" i="7"/>
  <c r="H21" i="7"/>
  <c r="J21" i="7"/>
  <c r="V21" i="7"/>
  <c r="W21" i="7"/>
  <c r="Y21" i="7"/>
  <c r="AK21" i="7"/>
  <c r="AL21" i="7"/>
  <c r="AN21" i="7"/>
  <c r="G22" i="7"/>
  <c r="H22" i="7"/>
  <c r="J22" i="7"/>
  <c r="V22" i="7"/>
  <c r="W22" i="7"/>
  <c r="Y22" i="7"/>
  <c r="AK22" i="7"/>
  <c r="AL22" i="7"/>
  <c r="AN22" i="7"/>
  <c r="G23" i="7"/>
  <c r="H23" i="7"/>
  <c r="J23" i="7"/>
  <c r="V23" i="7"/>
  <c r="W23" i="7"/>
  <c r="Y23" i="7"/>
  <c r="AK23" i="7"/>
  <c r="AL23" i="7"/>
  <c r="AN23" i="7"/>
  <c r="G24" i="7"/>
  <c r="H24" i="7"/>
  <c r="J24" i="7"/>
  <c r="V24" i="7"/>
  <c r="W24" i="7"/>
  <c r="Y24" i="7"/>
  <c r="AK24" i="7"/>
  <c r="AL24" i="7"/>
  <c r="AN24" i="7"/>
  <c r="G25" i="7"/>
  <c r="H25" i="7"/>
  <c r="J25" i="7"/>
  <c r="V25" i="7"/>
  <c r="W25" i="7"/>
  <c r="Y25" i="7"/>
  <c r="AK25" i="7"/>
  <c r="AL25" i="7"/>
  <c r="AN25" i="7"/>
  <c r="G26" i="7"/>
  <c r="H26" i="7"/>
  <c r="J26" i="7"/>
  <c r="V26" i="7"/>
  <c r="W26" i="7"/>
  <c r="Y26" i="7"/>
  <c r="AK26" i="7"/>
  <c r="AL26" i="7"/>
  <c r="AN26" i="7"/>
  <c r="G27" i="7"/>
  <c r="H27" i="7"/>
  <c r="J27" i="7"/>
  <c r="V27" i="7"/>
  <c r="W27" i="7"/>
  <c r="Y27" i="7"/>
  <c r="AK27" i="7"/>
  <c r="AL27" i="7"/>
  <c r="AN27" i="7"/>
  <c r="G28" i="7"/>
  <c r="H28" i="7"/>
  <c r="J28" i="7"/>
  <c r="V28" i="7"/>
  <c r="W28" i="7"/>
  <c r="Y28" i="7"/>
  <c r="AK28" i="7"/>
  <c r="AL28" i="7"/>
  <c r="AN28" i="7"/>
  <c r="G29" i="7"/>
  <c r="H29" i="7"/>
  <c r="J29" i="7"/>
  <c r="V29" i="7"/>
  <c r="W29" i="7"/>
  <c r="Y29" i="7"/>
  <c r="AK29" i="7"/>
  <c r="AL29" i="7"/>
  <c r="AN29" i="7"/>
  <c r="G30" i="7"/>
  <c r="H30" i="7"/>
  <c r="J30" i="7"/>
  <c r="V30" i="7"/>
  <c r="W30" i="7"/>
  <c r="Y30" i="7"/>
  <c r="AK30" i="7"/>
  <c r="AL30" i="7"/>
  <c r="AN30" i="7"/>
  <c r="G31" i="7"/>
  <c r="H31" i="7"/>
  <c r="J31" i="7"/>
  <c r="V31" i="7"/>
  <c r="W31" i="7"/>
  <c r="Y31" i="7"/>
  <c r="AK31" i="7"/>
  <c r="AL31" i="7"/>
  <c r="AN31" i="7"/>
  <c r="G32" i="7"/>
  <c r="H32" i="7"/>
  <c r="J32" i="7"/>
  <c r="V32" i="7"/>
  <c r="W32" i="7"/>
  <c r="Y32" i="7"/>
  <c r="AK32" i="7"/>
  <c r="AL32" i="7"/>
  <c r="AN32" i="7"/>
  <c r="G33" i="7"/>
  <c r="H33" i="7"/>
  <c r="J33" i="7"/>
  <c r="V33" i="7"/>
  <c r="W33" i="7"/>
  <c r="Y33" i="7"/>
  <c r="AK33" i="7"/>
  <c r="AL33" i="7"/>
  <c r="AN33" i="7"/>
  <c r="G34" i="7"/>
  <c r="H34" i="7"/>
  <c r="J34" i="7"/>
  <c r="V34" i="7"/>
  <c r="W34" i="7"/>
  <c r="Y34" i="7"/>
  <c r="AK34" i="7"/>
  <c r="AL34" i="7"/>
  <c r="AN34" i="7"/>
  <c r="G35" i="7"/>
  <c r="H35" i="7"/>
  <c r="J35" i="7"/>
  <c r="V35" i="7"/>
  <c r="W35" i="7"/>
  <c r="Y35" i="7"/>
  <c r="AK35" i="7"/>
  <c r="AL35" i="7"/>
  <c r="AN35" i="7"/>
  <c r="G36" i="7"/>
  <c r="H36" i="7"/>
  <c r="J36" i="7"/>
  <c r="V36" i="7"/>
  <c r="W36" i="7"/>
  <c r="Y36" i="7"/>
  <c r="AK36" i="7"/>
  <c r="AL36" i="7"/>
  <c r="AN36" i="7"/>
  <c r="G37" i="7"/>
  <c r="H37" i="7"/>
  <c r="J37" i="7"/>
  <c r="V37" i="7"/>
  <c r="W37" i="7"/>
  <c r="Y37" i="7"/>
  <c r="AK37" i="7"/>
  <c r="AL37" i="7"/>
  <c r="AN37" i="7"/>
  <c r="G38" i="7"/>
  <c r="H38" i="7"/>
  <c r="J38" i="7"/>
  <c r="V38" i="7"/>
  <c r="W38" i="7"/>
  <c r="Y38" i="7"/>
  <c r="AK38" i="7"/>
  <c r="AL38" i="7"/>
  <c r="AN38" i="7"/>
  <c r="G39" i="7"/>
  <c r="H39" i="7"/>
  <c r="J39" i="7"/>
  <c r="V39" i="7"/>
  <c r="W39" i="7"/>
  <c r="Y39" i="7"/>
  <c r="AK39" i="7"/>
  <c r="AL39" i="7"/>
  <c r="AN39" i="7"/>
  <c r="G40" i="7"/>
  <c r="H40" i="7"/>
  <c r="J40" i="7"/>
  <c r="V40" i="7"/>
  <c r="W40" i="7"/>
  <c r="Y40" i="7"/>
  <c r="AK40" i="7"/>
  <c r="AL40" i="7"/>
  <c r="AN40" i="7"/>
  <c r="G41" i="7"/>
  <c r="H41" i="7"/>
  <c r="J41" i="7"/>
  <c r="V41" i="7"/>
  <c r="W41" i="7"/>
  <c r="Y41" i="7"/>
  <c r="AK41" i="7"/>
  <c r="AL41" i="7"/>
  <c r="AN41" i="7"/>
  <c r="G42" i="7"/>
  <c r="H42" i="7"/>
  <c r="J42" i="7"/>
  <c r="V42" i="7"/>
  <c r="W42" i="7"/>
  <c r="Y42" i="7"/>
  <c r="AK42" i="7"/>
  <c r="AL42" i="7"/>
  <c r="AN42" i="7"/>
  <c r="G43" i="7"/>
  <c r="H43" i="7"/>
  <c r="J43" i="7"/>
  <c r="V43" i="7"/>
  <c r="W43" i="7"/>
  <c r="Y43" i="7"/>
  <c r="AK43" i="7"/>
  <c r="AL43" i="7"/>
  <c r="AN43" i="7"/>
  <c r="G44" i="7"/>
  <c r="H44" i="7"/>
  <c r="J44" i="7"/>
  <c r="V44" i="7"/>
  <c r="W44" i="7"/>
  <c r="Y44" i="7"/>
  <c r="AK44" i="7"/>
  <c r="AL44" i="7"/>
  <c r="AN44" i="7"/>
  <c r="G47" i="7"/>
  <c r="H47" i="7"/>
  <c r="J47" i="7"/>
  <c r="V47" i="7"/>
  <c r="W47" i="7"/>
  <c r="Y47" i="7"/>
  <c r="AK47" i="7"/>
  <c r="AL47" i="7"/>
  <c r="AN47" i="7"/>
  <c r="G48" i="7"/>
  <c r="H48" i="7"/>
  <c r="J48" i="7"/>
  <c r="V48" i="7"/>
  <c r="W48" i="7"/>
  <c r="Y48" i="7"/>
  <c r="AK48" i="7"/>
  <c r="AL48" i="7"/>
  <c r="AN48" i="7"/>
  <c r="G49" i="7"/>
  <c r="H49" i="7"/>
  <c r="J49" i="7"/>
  <c r="V49" i="7"/>
  <c r="W49" i="7"/>
  <c r="Y49" i="7"/>
  <c r="AK49" i="7"/>
  <c r="AL49" i="7"/>
  <c r="AN49" i="7"/>
  <c r="G50" i="7"/>
  <c r="H50" i="7"/>
  <c r="J50" i="7"/>
  <c r="V50" i="7"/>
  <c r="W50" i="7"/>
  <c r="Y50" i="7"/>
  <c r="AK50" i="7"/>
  <c r="AL50" i="7"/>
  <c r="AN50" i="7"/>
  <c r="G51" i="7"/>
  <c r="H51" i="7"/>
  <c r="J51" i="7"/>
  <c r="V51" i="7"/>
  <c r="W51" i="7"/>
  <c r="Y51" i="7"/>
  <c r="AK51" i="7"/>
  <c r="AL51" i="7"/>
  <c r="AN51" i="7"/>
  <c r="G52" i="7"/>
  <c r="H52" i="7"/>
  <c r="J52" i="7"/>
  <c r="V52" i="7"/>
  <c r="W52" i="7"/>
  <c r="Y52" i="7"/>
  <c r="AK52" i="7"/>
  <c r="AL52" i="7"/>
  <c r="AN52" i="7"/>
  <c r="G53" i="7"/>
  <c r="H53" i="7"/>
  <c r="J53" i="7"/>
  <c r="V53" i="7"/>
  <c r="W53" i="7"/>
  <c r="Y53" i="7"/>
  <c r="AK53" i="7"/>
  <c r="AL53" i="7"/>
  <c r="AN53" i="7"/>
  <c r="G54" i="7"/>
  <c r="H54" i="7"/>
  <c r="J54" i="7"/>
  <c r="V54" i="7"/>
  <c r="W54" i="7"/>
  <c r="Y54" i="7"/>
  <c r="AK54" i="7"/>
  <c r="AL54" i="7"/>
  <c r="AN54" i="7"/>
  <c r="G55" i="7"/>
  <c r="H55" i="7"/>
  <c r="J55" i="7"/>
  <c r="V55" i="7"/>
  <c r="W55" i="7"/>
  <c r="Y55" i="7"/>
  <c r="AK55" i="7"/>
  <c r="AL55" i="7"/>
  <c r="AN55" i="7"/>
  <c r="G56" i="7"/>
  <c r="H56" i="7"/>
  <c r="J56" i="7"/>
  <c r="V56" i="7"/>
  <c r="W56" i="7"/>
  <c r="Y56" i="7"/>
  <c r="AK56" i="7"/>
  <c r="AL56" i="7"/>
  <c r="AN56" i="7"/>
  <c r="G57" i="7"/>
  <c r="H57" i="7"/>
  <c r="J57" i="7"/>
  <c r="V57" i="7"/>
  <c r="W57" i="7"/>
  <c r="Y57" i="7"/>
  <c r="AK57" i="7"/>
  <c r="AL57" i="7"/>
  <c r="AN57" i="7"/>
  <c r="G58" i="7"/>
  <c r="H58" i="7"/>
  <c r="J58" i="7"/>
  <c r="V58" i="7"/>
  <c r="W58" i="7"/>
  <c r="Y58" i="7"/>
  <c r="AK58" i="7"/>
  <c r="AL58" i="7"/>
  <c r="AN58" i="7"/>
  <c r="G59" i="7"/>
  <c r="H59" i="7"/>
  <c r="J59" i="7"/>
  <c r="V59" i="7"/>
  <c r="W59" i="7"/>
  <c r="Y59" i="7"/>
  <c r="AK59" i="7"/>
  <c r="AL59" i="7"/>
  <c r="AN59" i="7"/>
  <c r="G60" i="7"/>
  <c r="H60" i="7"/>
  <c r="J60" i="7"/>
  <c r="V60" i="7"/>
  <c r="W60" i="7"/>
  <c r="Y60" i="7"/>
  <c r="AK60" i="7"/>
  <c r="AL60" i="7"/>
  <c r="AN60" i="7"/>
  <c r="G61" i="7"/>
  <c r="H61" i="7"/>
  <c r="J61" i="7"/>
  <c r="V61" i="7"/>
  <c r="W61" i="7"/>
  <c r="Y61" i="7"/>
  <c r="AK61" i="7"/>
  <c r="AL61" i="7"/>
  <c r="AN61" i="7"/>
  <c r="G62" i="7"/>
  <c r="H62" i="7"/>
  <c r="J62" i="7"/>
  <c r="V62" i="7"/>
  <c r="W62" i="7"/>
  <c r="Y62" i="7"/>
  <c r="AK62" i="7"/>
  <c r="AL62" i="7"/>
  <c r="AN62" i="7"/>
  <c r="G63" i="7"/>
  <c r="H63" i="7"/>
  <c r="J63" i="7"/>
  <c r="V63" i="7"/>
  <c r="W63" i="7"/>
  <c r="Y63" i="7"/>
  <c r="AK63" i="7"/>
  <c r="AL63" i="7"/>
  <c r="AN63" i="7"/>
  <c r="G64" i="7"/>
  <c r="H64" i="7"/>
  <c r="J64" i="7"/>
  <c r="V64" i="7"/>
  <c r="W64" i="7"/>
  <c r="Y64" i="7"/>
  <c r="AK64" i="7"/>
  <c r="AL64" i="7"/>
  <c r="AN64" i="7"/>
  <c r="G65" i="7"/>
  <c r="H65" i="7"/>
  <c r="J65" i="7"/>
  <c r="V65" i="7"/>
  <c r="W65" i="7"/>
  <c r="Y65" i="7"/>
  <c r="AK65" i="7"/>
  <c r="AL65" i="7"/>
  <c r="AN65" i="7"/>
  <c r="G66" i="7"/>
  <c r="H66" i="7"/>
  <c r="J66" i="7"/>
  <c r="V66" i="7"/>
  <c r="W66" i="7"/>
  <c r="Y66" i="7"/>
  <c r="AK66" i="7"/>
  <c r="AL66" i="7"/>
  <c r="AN66" i="7"/>
  <c r="G67" i="7"/>
  <c r="H67" i="7"/>
  <c r="J67" i="7"/>
  <c r="V67" i="7"/>
  <c r="W67" i="7"/>
  <c r="Y67" i="7"/>
  <c r="AK67" i="7"/>
  <c r="AL67" i="7"/>
  <c r="AN67" i="7"/>
  <c r="G68" i="7"/>
  <c r="H68" i="7"/>
  <c r="J68" i="7"/>
  <c r="V68" i="7"/>
  <c r="W68" i="7"/>
  <c r="Y68" i="7"/>
  <c r="AK68" i="7"/>
  <c r="AL68" i="7"/>
  <c r="AN68" i="7"/>
  <c r="G69" i="7"/>
  <c r="H69" i="7"/>
  <c r="J69" i="7"/>
  <c r="V69" i="7"/>
  <c r="W69" i="7"/>
  <c r="Y69" i="7"/>
  <c r="AK69" i="7"/>
  <c r="AL69" i="7"/>
  <c r="AN69" i="7"/>
  <c r="G70" i="7"/>
  <c r="H70" i="7"/>
  <c r="J70" i="7"/>
  <c r="V70" i="7"/>
  <c r="W70" i="7"/>
  <c r="Y70" i="7"/>
  <c r="AK70" i="7"/>
  <c r="AL70" i="7"/>
  <c r="AN70" i="7"/>
  <c r="G71" i="7"/>
  <c r="H71" i="7"/>
  <c r="J71" i="7"/>
  <c r="V71" i="7"/>
  <c r="W71" i="7"/>
  <c r="Y71" i="7"/>
  <c r="AK71" i="7"/>
  <c r="AL71" i="7"/>
  <c r="AN71" i="7"/>
  <c r="G72" i="7"/>
  <c r="H72" i="7"/>
  <c r="J72" i="7"/>
  <c r="V72" i="7"/>
  <c r="W72" i="7"/>
  <c r="Y72" i="7"/>
  <c r="AK72" i="7"/>
  <c r="AL72" i="7"/>
  <c r="AN72" i="7"/>
  <c r="G73" i="7"/>
  <c r="H73" i="7"/>
  <c r="J73" i="7"/>
  <c r="V73" i="7"/>
  <c r="W73" i="7"/>
  <c r="Y73" i="7"/>
  <c r="AK73" i="7"/>
  <c r="AL73" i="7"/>
  <c r="AN73" i="7"/>
  <c r="G74" i="7"/>
  <c r="H74" i="7"/>
  <c r="J74" i="7"/>
  <c r="V74" i="7"/>
  <c r="W74" i="7"/>
  <c r="Y74" i="7"/>
  <c r="AK74" i="7"/>
  <c r="AL74" i="7"/>
  <c r="AN74" i="7"/>
  <c r="G75" i="7"/>
  <c r="H75" i="7"/>
  <c r="J75" i="7"/>
  <c r="V75" i="7"/>
  <c r="W75" i="7"/>
  <c r="Y75" i="7"/>
  <c r="AK75" i="7"/>
  <c r="AL75" i="7"/>
  <c r="AN75" i="7"/>
  <c r="G76" i="7"/>
  <c r="H76" i="7"/>
  <c r="J76" i="7"/>
  <c r="V76" i="7"/>
  <c r="W76" i="7"/>
  <c r="Y76" i="7"/>
  <c r="AK76" i="7"/>
  <c r="AL76" i="7"/>
  <c r="AN76" i="7"/>
  <c r="G77" i="7"/>
  <c r="H77" i="7"/>
  <c r="J77" i="7"/>
  <c r="V77" i="7"/>
  <c r="W77" i="7"/>
  <c r="Y77" i="7"/>
  <c r="AK77" i="7"/>
  <c r="AL77" i="7"/>
  <c r="AN77" i="7"/>
  <c r="G78" i="7"/>
  <c r="H78" i="7"/>
  <c r="J78" i="7"/>
  <c r="V78" i="7"/>
  <c r="W78" i="7"/>
  <c r="Y78" i="7"/>
  <c r="AK78" i="7"/>
  <c r="AL78" i="7"/>
  <c r="AN78" i="7"/>
  <c r="G79" i="7"/>
  <c r="H79" i="7"/>
  <c r="J79" i="7"/>
  <c r="V79" i="7"/>
  <c r="W79" i="7"/>
  <c r="Y79" i="7"/>
  <c r="AK79" i="7"/>
  <c r="AL79" i="7"/>
  <c r="AN79" i="7"/>
  <c r="G80" i="7"/>
  <c r="H80" i="7"/>
  <c r="J80" i="7"/>
  <c r="V80" i="7"/>
  <c r="W80" i="7"/>
  <c r="Y80" i="7"/>
  <c r="AK80" i="7"/>
  <c r="AL80" i="7"/>
  <c r="AN80" i="7"/>
  <c r="G81" i="7"/>
  <c r="H81" i="7"/>
  <c r="J81" i="7"/>
  <c r="V81" i="7"/>
  <c r="W81" i="7"/>
  <c r="Y81" i="7"/>
  <c r="AK81" i="7"/>
  <c r="AL81" i="7"/>
  <c r="AN81" i="7"/>
  <c r="G82" i="7"/>
  <c r="H82" i="7"/>
  <c r="J82" i="7"/>
  <c r="V82" i="7"/>
  <c r="W82" i="7"/>
  <c r="Y82" i="7"/>
  <c r="AK82" i="7"/>
  <c r="AL82" i="7"/>
  <c r="AN82" i="7"/>
  <c r="G83" i="7"/>
  <c r="H83" i="7"/>
  <c r="J83" i="7"/>
  <c r="V83" i="7"/>
  <c r="W83" i="7"/>
  <c r="Y83" i="7"/>
  <c r="AK83" i="7"/>
  <c r="AL83" i="7"/>
  <c r="AN83" i="7"/>
  <c r="G84" i="7"/>
  <c r="H84" i="7"/>
  <c r="J84" i="7"/>
  <c r="V84" i="7"/>
  <c r="W84" i="7"/>
  <c r="Y84" i="7"/>
  <c r="AK84" i="7"/>
  <c r="AL84" i="7"/>
  <c r="AN84" i="7"/>
  <c r="G85" i="7"/>
  <c r="H85" i="7"/>
  <c r="J85" i="7"/>
  <c r="V85" i="7"/>
  <c r="W85" i="7"/>
  <c r="Y85" i="7"/>
  <c r="AK85" i="7"/>
  <c r="AL85" i="7"/>
  <c r="AN85" i="7"/>
  <c r="G86" i="7"/>
  <c r="H86" i="7"/>
  <c r="J86" i="7"/>
  <c r="V86" i="7"/>
  <c r="W86" i="7"/>
  <c r="Y86" i="7"/>
  <c r="AK86" i="7"/>
  <c r="AL86" i="7"/>
  <c r="AN86" i="7"/>
  <c r="G87" i="7"/>
  <c r="H87" i="7"/>
  <c r="J87" i="7"/>
  <c r="V87" i="7"/>
  <c r="W87" i="7"/>
  <c r="Y87" i="7"/>
  <c r="AK87" i="7"/>
  <c r="AL87" i="7"/>
  <c r="AN87" i="7"/>
  <c r="F4" i="12"/>
  <c r="G4" i="12"/>
  <c r="I4" i="12"/>
  <c r="Z4" i="12"/>
  <c r="AA4" i="12"/>
  <c r="AC4" i="12"/>
  <c r="AT4" i="12"/>
  <c r="AU4" i="12"/>
  <c r="AW4" i="12"/>
  <c r="F5" i="12"/>
  <c r="G5" i="12"/>
  <c r="I5" i="12"/>
  <c r="Z5" i="12"/>
  <c r="AA5" i="12"/>
  <c r="AC5" i="12"/>
  <c r="AT5" i="12"/>
  <c r="AU5" i="12"/>
  <c r="AW5" i="12"/>
  <c r="F6" i="12"/>
  <c r="G6" i="12"/>
  <c r="I6" i="12"/>
  <c r="Z6" i="12"/>
  <c r="AA6" i="12"/>
  <c r="AC6" i="12"/>
  <c r="AT6" i="12"/>
  <c r="AU6" i="12"/>
  <c r="AW6" i="12"/>
  <c r="F7" i="12"/>
  <c r="G7" i="12"/>
  <c r="I7" i="12"/>
  <c r="Z7" i="12"/>
  <c r="AA7" i="12"/>
  <c r="AC7" i="12"/>
  <c r="AT7" i="12"/>
  <c r="AU7" i="12"/>
  <c r="AW7" i="12"/>
  <c r="F8" i="12"/>
  <c r="G8" i="12"/>
  <c r="I8" i="12"/>
  <c r="Z8" i="12"/>
  <c r="AA8" i="12"/>
  <c r="AC8" i="12"/>
  <c r="AT8" i="12"/>
  <c r="AU8" i="12"/>
  <c r="AW8" i="12"/>
  <c r="F9" i="12"/>
  <c r="G9" i="12"/>
  <c r="I9" i="12"/>
  <c r="Z9" i="12"/>
  <c r="AA9" i="12"/>
  <c r="AC9" i="12"/>
  <c r="AT9" i="12"/>
  <c r="AU9" i="12"/>
  <c r="AW9" i="12"/>
  <c r="F15" i="12"/>
  <c r="G15" i="12"/>
  <c r="I15" i="12"/>
  <c r="Z15" i="12"/>
  <c r="AA15" i="12"/>
  <c r="AC15" i="12"/>
  <c r="AT15" i="12"/>
  <c r="AU15" i="12"/>
  <c r="AW15" i="12"/>
  <c r="F16" i="12"/>
  <c r="G16" i="12"/>
  <c r="I16" i="12"/>
  <c r="Z16" i="12"/>
  <c r="AA16" i="12"/>
  <c r="AC16" i="12"/>
  <c r="AT16" i="12"/>
  <c r="AU16" i="12"/>
  <c r="AW16" i="12"/>
  <c r="F17" i="12"/>
  <c r="G17" i="12"/>
  <c r="I17" i="12"/>
  <c r="Z17" i="12"/>
  <c r="AA17" i="12"/>
  <c r="AC17" i="12"/>
  <c r="AT17" i="12"/>
  <c r="AU17" i="12"/>
  <c r="AW17" i="12"/>
  <c r="F18" i="12"/>
  <c r="G18" i="12"/>
  <c r="I18" i="12"/>
  <c r="Z18" i="12"/>
  <c r="AA18" i="12"/>
  <c r="AC18" i="12"/>
  <c r="AT18" i="12"/>
  <c r="AU18" i="12"/>
  <c r="AW18" i="12"/>
  <c r="B17" i="8"/>
  <c r="B30" i="1"/>
  <c r="C30" i="1"/>
  <c r="D30" i="1"/>
  <c r="B32" i="1"/>
  <c r="E33" i="1"/>
  <c r="B38" i="1"/>
  <c r="B40" i="1"/>
  <c r="C40" i="1"/>
  <c r="B41" i="1"/>
  <c r="B44" i="1"/>
  <c r="B45" i="1"/>
  <c r="B46" i="1"/>
  <c r="B47" i="1"/>
  <c r="B48" i="1"/>
  <c r="B54" i="1"/>
  <c r="B58" i="1"/>
  <c r="B60" i="1"/>
  <c r="B61" i="1"/>
  <c r="B70" i="1"/>
  <c r="B71" i="1"/>
  <c r="C75" i="1"/>
  <c r="D4" i="7"/>
  <c r="E4" i="7"/>
  <c r="F4" i="7"/>
  <c r="I4" i="7"/>
  <c r="K4" i="7"/>
  <c r="L4" i="7"/>
  <c r="M4" i="7"/>
  <c r="N4" i="7"/>
  <c r="O4" i="7"/>
  <c r="P4" i="7"/>
  <c r="Q4" i="7"/>
  <c r="S4" i="7"/>
  <c r="T4" i="7"/>
  <c r="U4" i="7"/>
  <c r="X4" i="7"/>
  <c r="Z4" i="7"/>
  <c r="AA4" i="7"/>
  <c r="AB4" i="7"/>
  <c r="AC4" i="7"/>
  <c r="AD4" i="7"/>
  <c r="AE4" i="7"/>
  <c r="AF4" i="7"/>
  <c r="AH4" i="7"/>
  <c r="AI4" i="7"/>
  <c r="AJ4" i="7"/>
  <c r="AM4" i="7"/>
  <c r="AO4" i="7"/>
  <c r="AP4" i="7"/>
  <c r="AQ4" i="7"/>
  <c r="AR4" i="7"/>
  <c r="AS4" i="7"/>
  <c r="AT4" i="7"/>
  <c r="AU4" i="7"/>
  <c r="D5" i="7"/>
  <c r="E5" i="7"/>
  <c r="F5" i="7"/>
  <c r="I5" i="7"/>
  <c r="K5" i="7"/>
  <c r="L5" i="7"/>
  <c r="M5" i="7"/>
  <c r="N5" i="7"/>
  <c r="O5" i="7"/>
  <c r="P5" i="7"/>
  <c r="Q5" i="7"/>
  <c r="S5" i="7"/>
  <c r="T5" i="7"/>
  <c r="U5" i="7"/>
  <c r="X5" i="7"/>
  <c r="Z5" i="7"/>
  <c r="AA5" i="7"/>
  <c r="AB5" i="7"/>
  <c r="AC5" i="7"/>
  <c r="AD5" i="7"/>
  <c r="AE5" i="7"/>
  <c r="AF5" i="7"/>
  <c r="AH5" i="7"/>
  <c r="AI5" i="7"/>
  <c r="AJ5" i="7"/>
  <c r="AM5" i="7"/>
  <c r="AO5" i="7"/>
  <c r="AP5" i="7"/>
  <c r="AQ5" i="7"/>
  <c r="AR5" i="7"/>
  <c r="AS5" i="7"/>
  <c r="AT5" i="7"/>
  <c r="AU5" i="7"/>
  <c r="D6" i="7"/>
  <c r="E6" i="7"/>
  <c r="F6" i="7"/>
  <c r="I6" i="7"/>
  <c r="K6" i="7"/>
  <c r="L6" i="7"/>
  <c r="M6" i="7"/>
  <c r="N6" i="7"/>
  <c r="O6" i="7"/>
  <c r="P6" i="7"/>
  <c r="Q6" i="7"/>
  <c r="S6" i="7"/>
  <c r="T6" i="7"/>
  <c r="U6" i="7"/>
  <c r="X6" i="7"/>
  <c r="Z6" i="7"/>
  <c r="AA6" i="7"/>
  <c r="AB6" i="7"/>
  <c r="AC6" i="7"/>
  <c r="AD6" i="7"/>
  <c r="AE6" i="7"/>
  <c r="AF6" i="7"/>
  <c r="AH6" i="7"/>
  <c r="AI6" i="7"/>
  <c r="AJ6" i="7"/>
  <c r="AM6" i="7"/>
  <c r="AO6" i="7"/>
  <c r="AP6" i="7"/>
  <c r="AQ6" i="7"/>
  <c r="AR6" i="7"/>
  <c r="AS6" i="7"/>
  <c r="AT6" i="7"/>
  <c r="AU6" i="7"/>
  <c r="D7" i="7"/>
  <c r="E7" i="7"/>
  <c r="F7" i="7"/>
  <c r="I7" i="7"/>
  <c r="K7" i="7"/>
  <c r="L7" i="7"/>
  <c r="M7" i="7"/>
  <c r="N7" i="7"/>
  <c r="O7" i="7"/>
  <c r="P7" i="7"/>
  <c r="Q7" i="7"/>
  <c r="S7" i="7"/>
  <c r="T7" i="7"/>
  <c r="U7" i="7"/>
  <c r="X7" i="7"/>
  <c r="Z7" i="7"/>
  <c r="AA7" i="7"/>
  <c r="AB7" i="7"/>
  <c r="AC7" i="7"/>
  <c r="AD7" i="7"/>
  <c r="AE7" i="7"/>
  <c r="AF7" i="7"/>
  <c r="AH7" i="7"/>
  <c r="AI7" i="7"/>
  <c r="AJ7" i="7"/>
  <c r="AM7" i="7"/>
  <c r="AO7" i="7"/>
  <c r="AP7" i="7"/>
  <c r="AQ7" i="7"/>
  <c r="AR7" i="7"/>
  <c r="AS7" i="7"/>
  <c r="AT7" i="7"/>
  <c r="AU7" i="7"/>
  <c r="D8" i="7"/>
  <c r="E8" i="7"/>
  <c r="F8" i="7"/>
  <c r="I8" i="7"/>
  <c r="K8" i="7"/>
  <c r="L8" i="7"/>
  <c r="M8" i="7"/>
  <c r="N8" i="7"/>
  <c r="O8" i="7"/>
  <c r="P8" i="7"/>
  <c r="Q8" i="7"/>
  <c r="S8" i="7"/>
  <c r="T8" i="7"/>
  <c r="U8" i="7"/>
  <c r="X8" i="7"/>
  <c r="Z8" i="7"/>
  <c r="AA8" i="7"/>
  <c r="AB8" i="7"/>
  <c r="AC8" i="7"/>
  <c r="AD8" i="7"/>
  <c r="AE8" i="7"/>
  <c r="AF8" i="7"/>
  <c r="AH8" i="7"/>
  <c r="AI8" i="7"/>
  <c r="AJ8" i="7"/>
  <c r="AM8" i="7"/>
  <c r="AO8" i="7"/>
  <c r="AP8" i="7"/>
  <c r="AQ8" i="7"/>
  <c r="AR8" i="7"/>
  <c r="AS8" i="7"/>
  <c r="AT8" i="7"/>
  <c r="AU8" i="7"/>
  <c r="D9" i="7"/>
  <c r="E9" i="7"/>
  <c r="F9" i="7"/>
  <c r="I9" i="7"/>
  <c r="K9" i="7"/>
  <c r="L9" i="7"/>
  <c r="M9" i="7"/>
  <c r="N9" i="7"/>
  <c r="O9" i="7"/>
  <c r="P9" i="7"/>
  <c r="Q9" i="7"/>
  <c r="S9" i="7"/>
  <c r="T9" i="7"/>
  <c r="U9" i="7"/>
  <c r="X9" i="7"/>
  <c r="Z9" i="7"/>
  <c r="AA9" i="7"/>
  <c r="AB9" i="7"/>
  <c r="AC9" i="7"/>
  <c r="AD9" i="7"/>
  <c r="AE9" i="7"/>
  <c r="AF9" i="7"/>
  <c r="AH9" i="7"/>
  <c r="AI9" i="7"/>
  <c r="AJ9" i="7"/>
  <c r="AM9" i="7"/>
  <c r="AO9" i="7"/>
  <c r="AP9" i="7"/>
  <c r="AQ9" i="7"/>
  <c r="AR9" i="7"/>
  <c r="AS9" i="7"/>
  <c r="AT9" i="7"/>
  <c r="AU9" i="7"/>
  <c r="D10" i="7"/>
  <c r="E10" i="7"/>
  <c r="F10" i="7"/>
  <c r="I10" i="7"/>
  <c r="K10" i="7"/>
  <c r="L10" i="7"/>
  <c r="M10" i="7"/>
  <c r="N10" i="7"/>
  <c r="O10" i="7"/>
  <c r="P10" i="7"/>
  <c r="Q10" i="7"/>
  <c r="S10" i="7"/>
  <c r="T10" i="7"/>
  <c r="U10" i="7"/>
  <c r="X10" i="7"/>
  <c r="Z10" i="7"/>
  <c r="AA10" i="7"/>
  <c r="AB10" i="7"/>
  <c r="AC10" i="7"/>
  <c r="AD10" i="7"/>
  <c r="AE10" i="7"/>
  <c r="AF10" i="7"/>
  <c r="AH10" i="7"/>
  <c r="AI10" i="7"/>
  <c r="AJ10" i="7"/>
  <c r="AM10" i="7"/>
  <c r="AO10" i="7"/>
  <c r="AP10" i="7"/>
  <c r="AQ10" i="7"/>
  <c r="AR10" i="7"/>
  <c r="AS10" i="7"/>
  <c r="AT10" i="7"/>
  <c r="AU10" i="7"/>
  <c r="D11" i="7"/>
  <c r="E11" i="7"/>
  <c r="F11" i="7"/>
  <c r="I11" i="7"/>
  <c r="K11" i="7"/>
  <c r="L11" i="7"/>
  <c r="M11" i="7"/>
  <c r="N11" i="7"/>
  <c r="O11" i="7"/>
  <c r="P11" i="7"/>
  <c r="Q11" i="7"/>
  <c r="S11" i="7"/>
  <c r="T11" i="7"/>
  <c r="U11" i="7"/>
  <c r="X11" i="7"/>
  <c r="Z11" i="7"/>
  <c r="AA11" i="7"/>
  <c r="AB11" i="7"/>
  <c r="AC11" i="7"/>
  <c r="AD11" i="7"/>
  <c r="AE11" i="7"/>
  <c r="AF11" i="7"/>
  <c r="AH11" i="7"/>
  <c r="AI11" i="7"/>
  <c r="AJ11" i="7"/>
  <c r="AM11" i="7"/>
  <c r="AO11" i="7"/>
  <c r="AP11" i="7"/>
  <c r="AQ11" i="7"/>
  <c r="AR11" i="7"/>
  <c r="AS11" i="7"/>
  <c r="AT11" i="7"/>
  <c r="AU11" i="7"/>
  <c r="D12" i="7"/>
  <c r="E12" i="7"/>
  <c r="F12" i="7"/>
  <c r="I12" i="7"/>
  <c r="K12" i="7"/>
  <c r="L12" i="7"/>
  <c r="M12" i="7"/>
  <c r="N12" i="7"/>
  <c r="O12" i="7"/>
  <c r="P12" i="7"/>
  <c r="Q12" i="7"/>
  <c r="S12" i="7"/>
  <c r="T12" i="7"/>
  <c r="U12" i="7"/>
  <c r="X12" i="7"/>
  <c r="Z12" i="7"/>
  <c r="AA12" i="7"/>
  <c r="AB12" i="7"/>
  <c r="AC12" i="7"/>
  <c r="AD12" i="7"/>
  <c r="AE12" i="7"/>
  <c r="AF12" i="7"/>
  <c r="AH12" i="7"/>
  <c r="AI12" i="7"/>
  <c r="AJ12" i="7"/>
  <c r="AM12" i="7"/>
  <c r="AO12" i="7"/>
  <c r="AP12" i="7"/>
  <c r="AQ12" i="7"/>
  <c r="AR12" i="7"/>
  <c r="AS12" i="7"/>
  <c r="AT12" i="7"/>
  <c r="AU12" i="7"/>
  <c r="D13" i="7"/>
  <c r="E13" i="7"/>
  <c r="F13" i="7"/>
  <c r="I13" i="7"/>
  <c r="K13" i="7"/>
  <c r="L13" i="7"/>
  <c r="M13" i="7"/>
  <c r="N13" i="7"/>
  <c r="O13" i="7"/>
  <c r="P13" i="7"/>
  <c r="Q13" i="7"/>
  <c r="S13" i="7"/>
  <c r="T13" i="7"/>
  <c r="U13" i="7"/>
  <c r="X13" i="7"/>
  <c r="Z13" i="7"/>
  <c r="AA13" i="7"/>
  <c r="AB13" i="7"/>
  <c r="AC13" i="7"/>
  <c r="AD13" i="7"/>
  <c r="AE13" i="7"/>
  <c r="AF13" i="7"/>
  <c r="AH13" i="7"/>
  <c r="AI13" i="7"/>
  <c r="AJ13" i="7"/>
  <c r="AM13" i="7"/>
  <c r="AO13" i="7"/>
  <c r="AP13" i="7"/>
  <c r="AQ13" i="7"/>
  <c r="AR13" i="7"/>
  <c r="AS13" i="7"/>
  <c r="AT13" i="7"/>
  <c r="AU13" i="7"/>
  <c r="D14" i="7"/>
  <c r="E14" i="7"/>
  <c r="F14" i="7"/>
  <c r="I14" i="7"/>
  <c r="K14" i="7"/>
  <c r="L14" i="7"/>
  <c r="M14" i="7"/>
  <c r="N14" i="7"/>
  <c r="O14" i="7"/>
  <c r="P14" i="7"/>
  <c r="Q14" i="7"/>
  <c r="S14" i="7"/>
  <c r="T14" i="7"/>
  <c r="U14" i="7"/>
  <c r="X14" i="7"/>
  <c r="Z14" i="7"/>
  <c r="AA14" i="7"/>
  <c r="AB14" i="7"/>
  <c r="AC14" i="7"/>
  <c r="AD14" i="7"/>
  <c r="AE14" i="7"/>
  <c r="AF14" i="7"/>
  <c r="AH14" i="7"/>
  <c r="AI14" i="7"/>
  <c r="AJ14" i="7"/>
  <c r="AM14" i="7"/>
  <c r="AO14" i="7"/>
  <c r="AP14" i="7"/>
  <c r="AQ14" i="7"/>
  <c r="AR14" i="7"/>
  <c r="AS14" i="7"/>
  <c r="AT14" i="7"/>
  <c r="AU14" i="7"/>
  <c r="D15" i="7"/>
  <c r="E15" i="7"/>
  <c r="F15" i="7"/>
  <c r="I15" i="7"/>
  <c r="K15" i="7"/>
  <c r="L15" i="7"/>
  <c r="M15" i="7"/>
  <c r="N15" i="7"/>
  <c r="O15" i="7"/>
  <c r="P15" i="7"/>
  <c r="Q15" i="7"/>
  <c r="S15" i="7"/>
  <c r="T15" i="7"/>
  <c r="U15" i="7"/>
  <c r="X15" i="7"/>
  <c r="Z15" i="7"/>
  <c r="AA15" i="7"/>
  <c r="AB15" i="7"/>
  <c r="AC15" i="7"/>
  <c r="AD15" i="7"/>
  <c r="AE15" i="7"/>
  <c r="AF15" i="7"/>
  <c r="AH15" i="7"/>
  <c r="AI15" i="7"/>
  <c r="AJ15" i="7"/>
  <c r="AM15" i="7"/>
  <c r="AO15" i="7"/>
  <c r="AP15" i="7"/>
  <c r="AQ15" i="7"/>
  <c r="AR15" i="7"/>
  <c r="AS15" i="7"/>
  <c r="AT15" i="7"/>
  <c r="AU15" i="7"/>
  <c r="D16" i="7"/>
  <c r="E16" i="7"/>
  <c r="F16" i="7"/>
  <c r="I16" i="7"/>
  <c r="K16" i="7"/>
  <c r="L16" i="7"/>
  <c r="M16" i="7"/>
  <c r="N16" i="7"/>
  <c r="O16" i="7"/>
  <c r="P16" i="7"/>
  <c r="Q16" i="7"/>
  <c r="S16" i="7"/>
  <c r="T16" i="7"/>
  <c r="U16" i="7"/>
  <c r="X16" i="7"/>
  <c r="Z16" i="7"/>
  <c r="AA16" i="7"/>
  <c r="AB16" i="7"/>
  <c r="AC16" i="7"/>
  <c r="AD16" i="7"/>
  <c r="AE16" i="7"/>
  <c r="AF16" i="7"/>
  <c r="AH16" i="7"/>
  <c r="AI16" i="7"/>
  <c r="AJ16" i="7"/>
  <c r="AM16" i="7"/>
  <c r="AO16" i="7"/>
  <c r="AP16" i="7"/>
  <c r="AQ16" i="7"/>
  <c r="AR16" i="7"/>
  <c r="AS16" i="7"/>
  <c r="AT16" i="7"/>
  <c r="AU16" i="7"/>
  <c r="D17" i="7"/>
  <c r="E17" i="7"/>
  <c r="F17" i="7"/>
  <c r="I17" i="7"/>
  <c r="K17" i="7"/>
  <c r="L17" i="7"/>
  <c r="M17" i="7"/>
  <c r="N17" i="7"/>
  <c r="O17" i="7"/>
  <c r="P17" i="7"/>
  <c r="Q17" i="7"/>
  <c r="S17" i="7"/>
  <c r="T17" i="7"/>
  <c r="U17" i="7"/>
  <c r="X17" i="7"/>
  <c r="Z17" i="7"/>
  <c r="AA17" i="7"/>
  <c r="AB17" i="7"/>
  <c r="AC17" i="7"/>
  <c r="AD17" i="7"/>
  <c r="AE17" i="7"/>
  <c r="AF17" i="7"/>
  <c r="AH17" i="7"/>
  <c r="AI17" i="7"/>
  <c r="AJ17" i="7"/>
  <c r="AM17" i="7"/>
  <c r="AO17" i="7"/>
  <c r="AP17" i="7"/>
  <c r="AQ17" i="7"/>
  <c r="AR17" i="7"/>
  <c r="AS17" i="7"/>
  <c r="AT17" i="7"/>
  <c r="AU17" i="7"/>
  <c r="D18" i="7"/>
  <c r="E18" i="7"/>
  <c r="F18" i="7"/>
  <c r="I18" i="7"/>
  <c r="K18" i="7"/>
  <c r="L18" i="7"/>
  <c r="M18" i="7"/>
  <c r="N18" i="7"/>
  <c r="O18" i="7"/>
  <c r="P18" i="7"/>
  <c r="Q18" i="7"/>
  <c r="S18" i="7"/>
  <c r="T18" i="7"/>
  <c r="U18" i="7"/>
  <c r="X18" i="7"/>
  <c r="Z18" i="7"/>
  <c r="AA18" i="7"/>
  <c r="AB18" i="7"/>
  <c r="AC18" i="7"/>
  <c r="AD18" i="7"/>
  <c r="AE18" i="7"/>
  <c r="AF18" i="7"/>
  <c r="AH18" i="7"/>
  <c r="AI18" i="7"/>
  <c r="AJ18" i="7"/>
  <c r="AM18" i="7"/>
  <c r="AO18" i="7"/>
  <c r="AP18" i="7"/>
  <c r="AQ18" i="7"/>
  <c r="AR18" i="7"/>
  <c r="AS18" i="7"/>
  <c r="AT18" i="7"/>
  <c r="AU18" i="7"/>
  <c r="D19" i="7"/>
  <c r="E19" i="7"/>
  <c r="F19" i="7"/>
  <c r="I19" i="7"/>
  <c r="K19" i="7"/>
  <c r="L19" i="7"/>
  <c r="M19" i="7"/>
  <c r="N19" i="7"/>
  <c r="O19" i="7"/>
  <c r="P19" i="7"/>
  <c r="Q19" i="7"/>
  <c r="S19" i="7"/>
  <c r="T19" i="7"/>
  <c r="U19" i="7"/>
  <c r="X19" i="7"/>
  <c r="Z19" i="7"/>
  <c r="AA19" i="7"/>
  <c r="AB19" i="7"/>
  <c r="AC19" i="7"/>
  <c r="AD19" i="7"/>
  <c r="AE19" i="7"/>
  <c r="AF19" i="7"/>
  <c r="AH19" i="7"/>
  <c r="AI19" i="7"/>
  <c r="AJ19" i="7"/>
  <c r="AM19" i="7"/>
  <c r="AO19" i="7"/>
  <c r="AP19" i="7"/>
  <c r="AQ19" i="7"/>
  <c r="AR19" i="7"/>
  <c r="AS19" i="7"/>
  <c r="AT19" i="7"/>
  <c r="AU19" i="7"/>
  <c r="D20" i="7"/>
  <c r="E20" i="7"/>
  <c r="F20" i="7"/>
  <c r="I20" i="7"/>
  <c r="K20" i="7"/>
  <c r="L20" i="7"/>
  <c r="M20" i="7"/>
  <c r="N20" i="7"/>
  <c r="O20" i="7"/>
  <c r="P20" i="7"/>
  <c r="Q20" i="7"/>
  <c r="S20" i="7"/>
  <c r="T20" i="7"/>
  <c r="U20" i="7"/>
  <c r="X20" i="7"/>
  <c r="Z20" i="7"/>
  <c r="AA20" i="7"/>
  <c r="AB20" i="7"/>
  <c r="AC20" i="7"/>
  <c r="AD20" i="7"/>
  <c r="AE20" i="7"/>
  <c r="AF20" i="7"/>
  <c r="AH20" i="7"/>
  <c r="AI20" i="7"/>
  <c r="AJ20" i="7"/>
  <c r="AM20" i="7"/>
  <c r="AO20" i="7"/>
  <c r="AP20" i="7"/>
  <c r="AQ20" i="7"/>
  <c r="AR20" i="7"/>
  <c r="AS20" i="7"/>
  <c r="AT20" i="7"/>
  <c r="AU20" i="7"/>
  <c r="D21" i="7"/>
  <c r="E21" i="7"/>
  <c r="F21" i="7"/>
  <c r="I21" i="7"/>
  <c r="K21" i="7"/>
  <c r="L21" i="7"/>
  <c r="M21" i="7"/>
  <c r="N21" i="7"/>
  <c r="O21" i="7"/>
  <c r="P21" i="7"/>
  <c r="Q21" i="7"/>
  <c r="S21" i="7"/>
  <c r="T21" i="7"/>
  <c r="U21" i="7"/>
  <c r="X21" i="7"/>
  <c r="Z21" i="7"/>
  <c r="AA21" i="7"/>
  <c r="AB21" i="7"/>
  <c r="AC21" i="7"/>
  <c r="AD21" i="7"/>
  <c r="AE21" i="7"/>
  <c r="AF21" i="7"/>
  <c r="AH21" i="7"/>
  <c r="AI21" i="7"/>
  <c r="AJ21" i="7"/>
  <c r="AM21" i="7"/>
  <c r="AO21" i="7"/>
  <c r="AP21" i="7"/>
  <c r="AQ21" i="7"/>
  <c r="AR21" i="7"/>
  <c r="AS21" i="7"/>
  <c r="AT21" i="7"/>
  <c r="AU21" i="7"/>
  <c r="D22" i="7"/>
  <c r="E22" i="7"/>
  <c r="F22" i="7"/>
  <c r="I22" i="7"/>
  <c r="K22" i="7"/>
  <c r="L22" i="7"/>
  <c r="M22" i="7"/>
  <c r="N22" i="7"/>
  <c r="O22" i="7"/>
  <c r="P22" i="7"/>
  <c r="Q22" i="7"/>
  <c r="S22" i="7"/>
  <c r="T22" i="7"/>
  <c r="U22" i="7"/>
  <c r="X22" i="7"/>
  <c r="Z22" i="7"/>
  <c r="AA22" i="7"/>
  <c r="AB22" i="7"/>
  <c r="AC22" i="7"/>
  <c r="AD22" i="7"/>
  <c r="AE22" i="7"/>
  <c r="AF22" i="7"/>
  <c r="AH22" i="7"/>
  <c r="AI22" i="7"/>
  <c r="AJ22" i="7"/>
  <c r="AM22" i="7"/>
  <c r="AO22" i="7"/>
  <c r="AP22" i="7"/>
  <c r="AQ22" i="7"/>
  <c r="AR22" i="7"/>
  <c r="AS22" i="7"/>
  <c r="AT22" i="7"/>
  <c r="AU22" i="7"/>
  <c r="D23" i="7"/>
  <c r="E23" i="7"/>
  <c r="F23" i="7"/>
  <c r="I23" i="7"/>
  <c r="K23" i="7"/>
  <c r="L23" i="7"/>
  <c r="M23" i="7"/>
  <c r="N23" i="7"/>
  <c r="O23" i="7"/>
  <c r="P23" i="7"/>
  <c r="Q23" i="7"/>
  <c r="S23" i="7"/>
  <c r="T23" i="7"/>
  <c r="U23" i="7"/>
  <c r="X23" i="7"/>
  <c r="Z23" i="7"/>
  <c r="AA23" i="7"/>
  <c r="AB23" i="7"/>
  <c r="AC23" i="7"/>
  <c r="AD23" i="7"/>
  <c r="AE23" i="7"/>
  <c r="AF23" i="7"/>
  <c r="AH23" i="7"/>
  <c r="AI23" i="7"/>
  <c r="AJ23" i="7"/>
  <c r="AM23" i="7"/>
  <c r="AO23" i="7"/>
  <c r="AP23" i="7"/>
  <c r="AQ23" i="7"/>
  <c r="AR23" i="7"/>
  <c r="AS23" i="7"/>
  <c r="AT23" i="7"/>
  <c r="AU23" i="7"/>
  <c r="D24" i="7"/>
  <c r="E24" i="7"/>
  <c r="F24" i="7"/>
  <c r="I24" i="7"/>
  <c r="K24" i="7"/>
  <c r="L24" i="7"/>
  <c r="M24" i="7"/>
  <c r="N24" i="7"/>
  <c r="O24" i="7"/>
  <c r="P24" i="7"/>
  <c r="Q24" i="7"/>
  <c r="S24" i="7"/>
  <c r="T24" i="7"/>
  <c r="U24" i="7"/>
  <c r="X24" i="7"/>
  <c r="Z24" i="7"/>
  <c r="AA24" i="7"/>
  <c r="AB24" i="7"/>
  <c r="AC24" i="7"/>
  <c r="AD24" i="7"/>
  <c r="AE24" i="7"/>
  <c r="AF24" i="7"/>
  <c r="AH24" i="7"/>
  <c r="AI24" i="7"/>
  <c r="AJ24" i="7"/>
  <c r="AM24" i="7"/>
  <c r="AO24" i="7"/>
  <c r="AP24" i="7"/>
  <c r="AQ24" i="7"/>
  <c r="AR24" i="7"/>
  <c r="AS24" i="7"/>
  <c r="AT24" i="7"/>
  <c r="AU24" i="7"/>
  <c r="D25" i="7"/>
  <c r="E25" i="7"/>
  <c r="F25" i="7"/>
  <c r="I25" i="7"/>
  <c r="K25" i="7"/>
  <c r="L25" i="7"/>
  <c r="M25" i="7"/>
  <c r="N25" i="7"/>
  <c r="O25" i="7"/>
  <c r="P25" i="7"/>
  <c r="Q25" i="7"/>
  <c r="S25" i="7"/>
  <c r="T25" i="7"/>
  <c r="U25" i="7"/>
  <c r="X25" i="7"/>
  <c r="Z25" i="7"/>
  <c r="AA25" i="7"/>
  <c r="AB25" i="7"/>
  <c r="AC25" i="7"/>
  <c r="AD25" i="7"/>
  <c r="AE25" i="7"/>
  <c r="AF25" i="7"/>
  <c r="AH25" i="7"/>
  <c r="AI25" i="7"/>
  <c r="AJ25" i="7"/>
  <c r="AM25" i="7"/>
  <c r="AO25" i="7"/>
  <c r="AP25" i="7"/>
  <c r="AQ25" i="7"/>
  <c r="AR25" i="7"/>
  <c r="AS25" i="7"/>
  <c r="AT25" i="7"/>
  <c r="AU25" i="7"/>
  <c r="D26" i="7"/>
  <c r="E26" i="7"/>
  <c r="F26" i="7"/>
  <c r="I26" i="7"/>
  <c r="K26" i="7"/>
  <c r="L26" i="7"/>
  <c r="M26" i="7"/>
  <c r="N26" i="7"/>
  <c r="O26" i="7"/>
  <c r="P26" i="7"/>
  <c r="Q26" i="7"/>
  <c r="S26" i="7"/>
  <c r="T26" i="7"/>
  <c r="U26" i="7"/>
  <c r="X26" i="7"/>
  <c r="Z26" i="7"/>
  <c r="AA26" i="7"/>
  <c r="AB26" i="7"/>
  <c r="AC26" i="7"/>
  <c r="AD26" i="7"/>
  <c r="AE26" i="7"/>
  <c r="AF26" i="7"/>
  <c r="AH26" i="7"/>
  <c r="AI26" i="7"/>
  <c r="AJ26" i="7"/>
  <c r="AM26" i="7"/>
  <c r="AO26" i="7"/>
  <c r="AP26" i="7"/>
  <c r="AQ26" i="7"/>
  <c r="AR26" i="7"/>
  <c r="AS26" i="7"/>
  <c r="AT26" i="7"/>
  <c r="AU26" i="7"/>
  <c r="D27" i="7"/>
  <c r="E27" i="7"/>
  <c r="F27" i="7"/>
  <c r="I27" i="7"/>
  <c r="K27" i="7"/>
  <c r="L27" i="7"/>
  <c r="M27" i="7"/>
  <c r="N27" i="7"/>
  <c r="O27" i="7"/>
  <c r="P27" i="7"/>
  <c r="Q27" i="7"/>
  <c r="S27" i="7"/>
  <c r="T27" i="7"/>
  <c r="U27" i="7"/>
  <c r="X27" i="7"/>
  <c r="Z27" i="7"/>
  <c r="AA27" i="7"/>
  <c r="AB27" i="7"/>
  <c r="AC27" i="7"/>
  <c r="AD27" i="7"/>
  <c r="AE27" i="7"/>
  <c r="AF27" i="7"/>
  <c r="AH27" i="7"/>
  <c r="AI27" i="7"/>
  <c r="AJ27" i="7"/>
  <c r="AM27" i="7"/>
  <c r="AO27" i="7"/>
  <c r="AP27" i="7"/>
  <c r="AQ27" i="7"/>
  <c r="AR27" i="7"/>
  <c r="AS27" i="7"/>
  <c r="AT27" i="7"/>
  <c r="AU27" i="7"/>
  <c r="D28" i="7"/>
  <c r="E28" i="7"/>
  <c r="F28" i="7"/>
  <c r="I28" i="7"/>
  <c r="K28" i="7"/>
  <c r="L28" i="7"/>
  <c r="M28" i="7"/>
  <c r="N28" i="7"/>
  <c r="O28" i="7"/>
  <c r="P28" i="7"/>
  <c r="Q28" i="7"/>
  <c r="S28" i="7"/>
  <c r="T28" i="7"/>
  <c r="U28" i="7"/>
  <c r="X28" i="7"/>
  <c r="Z28" i="7"/>
  <c r="AA28" i="7"/>
  <c r="AB28" i="7"/>
  <c r="AC28" i="7"/>
  <c r="AD28" i="7"/>
  <c r="AE28" i="7"/>
  <c r="AF28" i="7"/>
  <c r="AH28" i="7"/>
  <c r="AI28" i="7"/>
  <c r="AJ28" i="7"/>
  <c r="AM28" i="7"/>
  <c r="AO28" i="7"/>
  <c r="AP28" i="7"/>
  <c r="AQ28" i="7"/>
  <c r="AR28" i="7"/>
  <c r="AS28" i="7"/>
  <c r="AT28" i="7"/>
  <c r="AU28" i="7"/>
  <c r="D29" i="7"/>
  <c r="E29" i="7"/>
  <c r="F29" i="7"/>
  <c r="I29" i="7"/>
  <c r="K29" i="7"/>
  <c r="L29" i="7"/>
  <c r="M29" i="7"/>
  <c r="N29" i="7"/>
  <c r="O29" i="7"/>
  <c r="P29" i="7"/>
  <c r="Q29" i="7"/>
  <c r="S29" i="7"/>
  <c r="T29" i="7"/>
  <c r="U29" i="7"/>
  <c r="X29" i="7"/>
  <c r="Z29" i="7"/>
  <c r="AA29" i="7"/>
  <c r="AB29" i="7"/>
  <c r="AC29" i="7"/>
  <c r="AD29" i="7"/>
  <c r="AE29" i="7"/>
  <c r="AF29" i="7"/>
  <c r="AH29" i="7"/>
  <c r="AI29" i="7"/>
  <c r="AJ29" i="7"/>
  <c r="AM29" i="7"/>
  <c r="AO29" i="7"/>
  <c r="AP29" i="7"/>
  <c r="AQ29" i="7"/>
  <c r="AR29" i="7"/>
  <c r="AS29" i="7"/>
  <c r="AT29" i="7"/>
  <c r="AU29" i="7"/>
  <c r="D30" i="7"/>
  <c r="E30" i="7"/>
  <c r="F30" i="7"/>
  <c r="I30" i="7"/>
  <c r="K30" i="7"/>
  <c r="L30" i="7"/>
  <c r="M30" i="7"/>
  <c r="N30" i="7"/>
  <c r="O30" i="7"/>
  <c r="P30" i="7"/>
  <c r="Q30" i="7"/>
  <c r="S30" i="7"/>
  <c r="T30" i="7"/>
  <c r="U30" i="7"/>
  <c r="X30" i="7"/>
  <c r="Z30" i="7"/>
  <c r="AA30" i="7"/>
  <c r="AB30" i="7"/>
  <c r="AC30" i="7"/>
  <c r="AD30" i="7"/>
  <c r="AE30" i="7"/>
  <c r="AF30" i="7"/>
  <c r="AH30" i="7"/>
  <c r="AI30" i="7"/>
  <c r="AJ30" i="7"/>
  <c r="AM30" i="7"/>
  <c r="AO30" i="7"/>
  <c r="AP30" i="7"/>
  <c r="AQ30" i="7"/>
  <c r="AR30" i="7"/>
  <c r="AS30" i="7"/>
  <c r="AT30" i="7"/>
  <c r="AU30" i="7"/>
  <c r="D31" i="7"/>
  <c r="E31" i="7"/>
  <c r="F31" i="7"/>
  <c r="I31" i="7"/>
  <c r="K31" i="7"/>
  <c r="L31" i="7"/>
  <c r="M31" i="7"/>
  <c r="N31" i="7"/>
  <c r="O31" i="7"/>
  <c r="P31" i="7"/>
  <c r="Q31" i="7"/>
  <c r="S31" i="7"/>
  <c r="T31" i="7"/>
  <c r="U31" i="7"/>
  <c r="X31" i="7"/>
  <c r="Z31" i="7"/>
  <c r="AA31" i="7"/>
  <c r="AB31" i="7"/>
  <c r="AC31" i="7"/>
  <c r="AD31" i="7"/>
  <c r="AE31" i="7"/>
  <c r="AF31" i="7"/>
  <c r="AH31" i="7"/>
  <c r="AI31" i="7"/>
  <c r="AJ31" i="7"/>
  <c r="AM31" i="7"/>
  <c r="AO31" i="7"/>
  <c r="AP31" i="7"/>
  <c r="AQ31" i="7"/>
  <c r="AR31" i="7"/>
  <c r="AS31" i="7"/>
  <c r="AT31" i="7"/>
  <c r="AU31" i="7"/>
  <c r="D32" i="7"/>
  <c r="E32" i="7"/>
  <c r="F32" i="7"/>
  <c r="I32" i="7"/>
  <c r="K32" i="7"/>
  <c r="L32" i="7"/>
  <c r="M32" i="7"/>
  <c r="N32" i="7"/>
  <c r="O32" i="7"/>
  <c r="P32" i="7"/>
  <c r="Q32" i="7"/>
  <c r="S32" i="7"/>
  <c r="T32" i="7"/>
  <c r="U32" i="7"/>
  <c r="X32" i="7"/>
  <c r="Z32" i="7"/>
  <c r="AA32" i="7"/>
  <c r="AB32" i="7"/>
  <c r="AC32" i="7"/>
  <c r="AD32" i="7"/>
  <c r="AE32" i="7"/>
  <c r="AF32" i="7"/>
  <c r="AH32" i="7"/>
  <c r="AI32" i="7"/>
  <c r="AJ32" i="7"/>
  <c r="AM32" i="7"/>
  <c r="AO32" i="7"/>
  <c r="AP32" i="7"/>
  <c r="AQ32" i="7"/>
  <c r="AR32" i="7"/>
  <c r="AS32" i="7"/>
  <c r="AT32" i="7"/>
  <c r="AU32" i="7"/>
  <c r="D33" i="7"/>
  <c r="E33" i="7"/>
  <c r="F33" i="7"/>
  <c r="I33" i="7"/>
  <c r="K33" i="7"/>
  <c r="L33" i="7"/>
  <c r="M33" i="7"/>
  <c r="N33" i="7"/>
  <c r="O33" i="7"/>
  <c r="P33" i="7"/>
  <c r="Q33" i="7"/>
  <c r="S33" i="7"/>
  <c r="T33" i="7"/>
  <c r="U33" i="7"/>
  <c r="X33" i="7"/>
  <c r="Z33" i="7"/>
  <c r="AA33" i="7"/>
  <c r="AB33" i="7"/>
  <c r="AC33" i="7"/>
  <c r="AD33" i="7"/>
  <c r="AE33" i="7"/>
  <c r="AF33" i="7"/>
  <c r="AH33" i="7"/>
  <c r="AI33" i="7"/>
  <c r="AJ33" i="7"/>
  <c r="AM33" i="7"/>
  <c r="AO33" i="7"/>
  <c r="AP33" i="7"/>
  <c r="AQ33" i="7"/>
  <c r="AR33" i="7"/>
  <c r="AS33" i="7"/>
  <c r="AT33" i="7"/>
  <c r="AU33" i="7"/>
  <c r="D34" i="7"/>
  <c r="E34" i="7"/>
  <c r="F34" i="7"/>
  <c r="I34" i="7"/>
  <c r="K34" i="7"/>
  <c r="L34" i="7"/>
  <c r="M34" i="7"/>
  <c r="N34" i="7"/>
  <c r="O34" i="7"/>
  <c r="P34" i="7"/>
  <c r="Q34" i="7"/>
  <c r="S34" i="7"/>
  <c r="T34" i="7"/>
  <c r="U34" i="7"/>
  <c r="X34" i="7"/>
  <c r="Z34" i="7"/>
  <c r="AA34" i="7"/>
  <c r="AB34" i="7"/>
  <c r="AC34" i="7"/>
  <c r="AD34" i="7"/>
  <c r="AE34" i="7"/>
  <c r="AF34" i="7"/>
  <c r="AH34" i="7"/>
  <c r="AI34" i="7"/>
  <c r="AJ34" i="7"/>
  <c r="AM34" i="7"/>
  <c r="AO34" i="7"/>
  <c r="AP34" i="7"/>
  <c r="AQ34" i="7"/>
  <c r="AR34" i="7"/>
  <c r="AS34" i="7"/>
  <c r="AT34" i="7"/>
  <c r="AU34" i="7"/>
  <c r="D35" i="7"/>
  <c r="E35" i="7"/>
  <c r="F35" i="7"/>
  <c r="I35" i="7"/>
  <c r="K35" i="7"/>
  <c r="L35" i="7"/>
  <c r="M35" i="7"/>
  <c r="N35" i="7"/>
  <c r="O35" i="7"/>
  <c r="P35" i="7"/>
  <c r="Q35" i="7"/>
  <c r="S35" i="7"/>
  <c r="T35" i="7"/>
  <c r="U35" i="7"/>
  <c r="X35" i="7"/>
  <c r="Z35" i="7"/>
  <c r="AA35" i="7"/>
  <c r="AB35" i="7"/>
  <c r="AC35" i="7"/>
  <c r="AD35" i="7"/>
  <c r="AE35" i="7"/>
  <c r="AF35" i="7"/>
  <c r="AH35" i="7"/>
  <c r="AI35" i="7"/>
  <c r="AJ35" i="7"/>
  <c r="AM35" i="7"/>
  <c r="AO35" i="7"/>
  <c r="AP35" i="7"/>
  <c r="AQ35" i="7"/>
  <c r="AR35" i="7"/>
  <c r="AS35" i="7"/>
  <c r="AT35" i="7"/>
  <c r="AU35" i="7"/>
  <c r="D36" i="7"/>
  <c r="E36" i="7"/>
  <c r="F36" i="7"/>
  <c r="I36" i="7"/>
  <c r="K36" i="7"/>
  <c r="L36" i="7"/>
  <c r="M36" i="7"/>
  <c r="N36" i="7"/>
  <c r="O36" i="7"/>
  <c r="P36" i="7"/>
  <c r="Q36" i="7"/>
  <c r="S36" i="7"/>
  <c r="T36" i="7"/>
  <c r="U36" i="7"/>
  <c r="X36" i="7"/>
  <c r="Z36" i="7"/>
  <c r="AA36" i="7"/>
  <c r="AB36" i="7"/>
  <c r="AC36" i="7"/>
  <c r="AD36" i="7"/>
  <c r="AE36" i="7"/>
  <c r="AF36" i="7"/>
  <c r="AH36" i="7"/>
  <c r="AI36" i="7"/>
  <c r="AJ36" i="7"/>
  <c r="AM36" i="7"/>
  <c r="AO36" i="7"/>
  <c r="AP36" i="7"/>
  <c r="AQ36" i="7"/>
  <c r="AR36" i="7"/>
  <c r="AS36" i="7"/>
  <c r="AT36" i="7"/>
  <c r="AU36" i="7"/>
  <c r="D37" i="7"/>
  <c r="E37" i="7"/>
  <c r="F37" i="7"/>
  <c r="I37" i="7"/>
  <c r="K37" i="7"/>
  <c r="L37" i="7"/>
  <c r="M37" i="7"/>
  <c r="N37" i="7"/>
  <c r="O37" i="7"/>
  <c r="P37" i="7"/>
  <c r="Q37" i="7"/>
  <c r="S37" i="7"/>
  <c r="T37" i="7"/>
  <c r="U37" i="7"/>
  <c r="X37" i="7"/>
  <c r="Z37" i="7"/>
  <c r="AA37" i="7"/>
  <c r="AB37" i="7"/>
  <c r="AC37" i="7"/>
  <c r="AD37" i="7"/>
  <c r="AE37" i="7"/>
  <c r="AF37" i="7"/>
  <c r="AH37" i="7"/>
  <c r="AI37" i="7"/>
  <c r="AJ37" i="7"/>
  <c r="AM37" i="7"/>
  <c r="AO37" i="7"/>
  <c r="AP37" i="7"/>
  <c r="AQ37" i="7"/>
  <c r="AR37" i="7"/>
  <c r="AS37" i="7"/>
  <c r="AT37" i="7"/>
  <c r="AU37" i="7"/>
  <c r="D38" i="7"/>
  <c r="E38" i="7"/>
  <c r="F38" i="7"/>
  <c r="I38" i="7"/>
  <c r="K38" i="7"/>
  <c r="L38" i="7"/>
  <c r="M38" i="7"/>
  <c r="N38" i="7"/>
  <c r="O38" i="7"/>
  <c r="P38" i="7"/>
  <c r="Q38" i="7"/>
  <c r="S38" i="7"/>
  <c r="T38" i="7"/>
  <c r="U38" i="7"/>
  <c r="X38" i="7"/>
  <c r="Z38" i="7"/>
  <c r="AA38" i="7"/>
  <c r="AB38" i="7"/>
  <c r="AC38" i="7"/>
  <c r="AD38" i="7"/>
  <c r="AE38" i="7"/>
  <c r="AF38" i="7"/>
  <c r="AH38" i="7"/>
  <c r="AI38" i="7"/>
  <c r="AJ38" i="7"/>
  <c r="AM38" i="7"/>
  <c r="AO38" i="7"/>
  <c r="AP38" i="7"/>
  <c r="AQ38" i="7"/>
  <c r="AR38" i="7"/>
  <c r="AS38" i="7"/>
  <c r="AT38" i="7"/>
  <c r="AU38" i="7"/>
  <c r="D39" i="7"/>
  <c r="E39" i="7"/>
  <c r="F39" i="7"/>
  <c r="I39" i="7"/>
  <c r="K39" i="7"/>
  <c r="L39" i="7"/>
  <c r="M39" i="7"/>
  <c r="N39" i="7"/>
  <c r="O39" i="7"/>
  <c r="P39" i="7"/>
  <c r="Q39" i="7"/>
  <c r="S39" i="7"/>
  <c r="T39" i="7"/>
  <c r="U39" i="7"/>
  <c r="X39" i="7"/>
  <c r="Z39" i="7"/>
  <c r="AA39" i="7"/>
  <c r="AB39" i="7"/>
  <c r="AC39" i="7"/>
  <c r="AD39" i="7"/>
  <c r="AE39" i="7"/>
  <c r="AF39" i="7"/>
  <c r="AH39" i="7"/>
  <c r="AI39" i="7"/>
  <c r="AJ39" i="7"/>
  <c r="AM39" i="7"/>
  <c r="AO39" i="7"/>
  <c r="AP39" i="7"/>
  <c r="AQ39" i="7"/>
  <c r="AR39" i="7"/>
  <c r="AS39" i="7"/>
  <c r="AT39" i="7"/>
  <c r="AU39" i="7"/>
  <c r="D40" i="7"/>
  <c r="E40" i="7"/>
  <c r="F40" i="7"/>
  <c r="I40" i="7"/>
  <c r="K40" i="7"/>
  <c r="L40" i="7"/>
  <c r="M40" i="7"/>
  <c r="N40" i="7"/>
  <c r="O40" i="7"/>
  <c r="P40" i="7"/>
  <c r="Q40" i="7"/>
  <c r="S40" i="7"/>
  <c r="T40" i="7"/>
  <c r="U40" i="7"/>
  <c r="X40" i="7"/>
  <c r="Z40" i="7"/>
  <c r="AA40" i="7"/>
  <c r="AB40" i="7"/>
  <c r="AC40" i="7"/>
  <c r="AD40" i="7"/>
  <c r="AE40" i="7"/>
  <c r="AF40" i="7"/>
  <c r="AH40" i="7"/>
  <c r="AI40" i="7"/>
  <c r="AJ40" i="7"/>
  <c r="AM40" i="7"/>
  <c r="AO40" i="7"/>
  <c r="AP40" i="7"/>
  <c r="AQ40" i="7"/>
  <c r="AR40" i="7"/>
  <c r="AS40" i="7"/>
  <c r="AT40" i="7"/>
  <c r="AU40" i="7"/>
  <c r="D41" i="7"/>
  <c r="E41" i="7"/>
  <c r="F41" i="7"/>
  <c r="I41" i="7"/>
  <c r="K41" i="7"/>
  <c r="L41" i="7"/>
  <c r="M41" i="7"/>
  <c r="N41" i="7"/>
  <c r="O41" i="7"/>
  <c r="P41" i="7"/>
  <c r="Q41" i="7"/>
  <c r="S41" i="7"/>
  <c r="T41" i="7"/>
  <c r="U41" i="7"/>
  <c r="X41" i="7"/>
  <c r="Z41" i="7"/>
  <c r="AA41" i="7"/>
  <c r="AB41" i="7"/>
  <c r="AC41" i="7"/>
  <c r="AD41" i="7"/>
  <c r="AE41" i="7"/>
  <c r="AF41" i="7"/>
  <c r="AH41" i="7"/>
  <c r="AI41" i="7"/>
  <c r="AJ41" i="7"/>
  <c r="AM41" i="7"/>
  <c r="AO41" i="7"/>
  <c r="AP41" i="7"/>
  <c r="AQ41" i="7"/>
  <c r="AR41" i="7"/>
  <c r="AS41" i="7"/>
  <c r="AT41" i="7"/>
  <c r="AU41" i="7"/>
  <c r="D42" i="7"/>
  <c r="E42" i="7"/>
  <c r="F42" i="7"/>
  <c r="I42" i="7"/>
  <c r="K42" i="7"/>
  <c r="L42" i="7"/>
  <c r="M42" i="7"/>
  <c r="N42" i="7"/>
  <c r="O42" i="7"/>
  <c r="P42" i="7"/>
  <c r="Q42" i="7"/>
  <c r="S42" i="7"/>
  <c r="T42" i="7"/>
  <c r="U42" i="7"/>
  <c r="X42" i="7"/>
  <c r="Z42" i="7"/>
  <c r="AA42" i="7"/>
  <c r="AB42" i="7"/>
  <c r="AC42" i="7"/>
  <c r="AD42" i="7"/>
  <c r="AE42" i="7"/>
  <c r="AF42" i="7"/>
  <c r="AH42" i="7"/>
  <c r="AI42" i="7"/>
  <c r="AJ42" i="7"/>
  <c r="AM42" i="7"/>
  <c r="AO42" i="7"/>
  <c r="AP42" i="7"/>
  <c r="AQ42" i="7"/>
  <c r="AR42" i="7"/>
  <c r="AS42" i="7"/>
  <c r="AT42" i="7"/>
  <c r="AU42" i="7"/>
  <c r="D43" i="7"/>
  <c r="E43" i="7"/>
  <c r="F43" i="7"/>
  <c r="I43" i="7"/>
  <c r="K43" i="7"/>
  <c r="L43" i="7"/>
  <c r="M43" i="7"/>
  <c r="N43" i="7"/>
  <c r="O43" i="7"/>
  <c r="P43" i="7"/>
  <c r="Q43" i="7"/>
  <c r="S43" i="7"/>
  <c r="T43" i="7"/>
  <c r="U43" i="7"/>
  <c r="X43" i="7"/>
  <c r="Z43" i="7"/>
  <c r="AA43" i="7"/>
  <c r="AB43" i="7"/>
  <c r="AC43" i="7"/>
  <c r="AD43" i="7"/>
  <c r="AE43" i="7"/>
  <c r="AF43" i="7"/>
  <c r="AH43" i="7"/>
  <c r="AI43" i="7"/>
  <c r="AJ43" i="7"/>
  <c r="AM43" i="7"/>
  <c r="AO43" i="7"/>
  <c r="AP43" i="7"/>
  <c r="AQ43" i="7"/>
  <c r="AR43" i="7"/>
  <c r="AS43" i="7"/>
  <c r="AT43" i="7"/>
  <c r="AU43" i="7"/>
  <c r="D44" i="7"/>
  <c r="E44" i="7"/>
  <c r="F44" i="7"/>
  <c r="I44" i="7"/>
  <c r="K44" i="7"/>
  <c r="L44" i="7"/>
  <c r="M44" i="7"/>
  <c r="N44" i="7"/>
  <c r="O44" i="7"/>
  <c r="P44" i="7"/>
  <c r="Q44" i="7"/>
  <c r="S44" i="7"/>
  <c r="T44" i="7"/>
  <c r="U44" i="7"/>
  <c r="X44" i="7"/>
  <c r="Z44" i="7"/>
  <c r="AA44" i="7"/>
  <c r="AB44" i="7"/>
  <c r="AC44" i="7"/>
  <c r="AD44" i="7"/>
  <c r="AE44" i="7"/>
  <c r="AF44" i="7"/>
  <c r="AH44" i="7"/>
  <c r="AI44" i="7"/>
  <c r="AJ44" i="7"/>
  <c r="AM44" i="7"/>
  <c r="AO44" i="7"/>
  <c r="AP44" i="7"/>
  <c r="AQ44" i="7"/>
  <c r="AR44" i="7"/>
  <c r="AS44" i="7"/>
  <c r="AT44" i="7"/>
  <c r="AU44" i="7"/>
  <c r="D47" i="7"/>
  <c r="E47" i="7"/>
  <c r="F47" i="7"/>
  <c r="I47" i="7"/>
  <c r="K47" i="7"/>
  <c r="L47" i="7"/>
  <c r="M47" i="7"/>
  <c r="N47" i="7"/>
  <c r="O47" i="7"/>
  <c r="P47" i="7"/>
  <c r="Q47" i="7"/>
  <c r="S47" i="7"/>
  <c r="T47" i="7"/>
  <c r="U47" i="7"/>
  <c r="X47" i="7"/>
  <c r="Z47" i="7"/>
  <c r="AA47" i="7"/>
  <c r="AB47" i="7"/>
  <c r="AC47" i="7"/>
  <c r="AD47" i="7"/>
  <c r="AE47" i="7"/>
  <c r="AF47" i="7"/>
  <c r="AH47" i="7"/>
  <c r="AI47" i="7"/>
  <c r="AJ47" i="7"/>
  <c r="AM47" i="7"/>
  <c r="AO47" i="7"/>
  <c r="AP47" i="7"/>
  <c r="AQ47" i="7"/>
  <c r="AR47" i="7"/>
  <c r="AS47" i="7"/>
  <c r="AT47" i="7"/>
  <c r="AU47" i="7"/>
  <c r="D48" i="7"/>
  <c r="E48" i="7"/>
  <c r="F48" i="7"/>
  <c r="I48" i="7"/>
  <c r="K48" i="7"/>
  <c r="L48" i="7"/>
  <c r="M48" i="7"/>
  <c r="N48" i="7"/>
  <c r="O48" i="7"/>
  <c r="P48" i="7"/>
  <c r="Q48" i="7"/>
  <c r="S48" i="7"/>
  <c r="T48" i="7"/>
  <c r="U48" i="7"/>
  <c r="X48" i="7"/>
  <c r="Z48" i="7"/>
  <c r="AA48" i="7"/>
  <c r="AB48" i="7"/>
  <c r="AC48" i="7"/>
  <c r="AD48" i="7"/>
  <c r="AE48" i="7"/>
  <c r="AF48" i="7"/>
  <c r="AH48" i="7"/>
  <c r="AI48" i="7"/>
  <c r="AJ48" i="7"/>
  <c r="AM48" i="7"/>
  <c r="AO48" i="7"/>
  <c r="AP48" i="7"/>
  <c r="AQ48" i="7"/>
  <c r="AR48" i="7"/>
  <c r="AS48" i="7"/>
  <c r="AT48" i="7"/>
  <c r="AU48" i="7"/>
  <c r="D49" i="7"/>
  <c r="E49" i="7"/>
  <c r="F49" i="7"/>
  <c r="I49" i="7"/>
  <c r="K49" i="7"/>
  <c r="L49" i="7"/>
  <c r="M49" i="7"/>
  <c r="N49" i="7"/>
  <c r="O49" i="7"/>
  <c r="P49" i="7"/>
  <c r="Q49" i="7"/>
  <c r="S49" i="7"/>
  <c r="T49" i="7"/>
  <c r="U49" i="7"/>
  <c r="X49" i="7"/>
  <c r="Z49" i="7"/>
  <c r="AA49" i="7"/>
  <c r="AB49" i="7"/>
  <c r="AC49" i="7"/>
  <c r="AD49" i="7"/>
  <c r="AE49" i="7"/>
  <c r="AF49" i="7"/>
  <c r="AH49" i="7"/>
  <c r="AI49" i="7"/>
  <c r="AJ49" i="7"/>
  <c r="AM49" i="7"/>
  <c r="AO49" i="7"/>
  <c r="AP49" i="7"/>
  <c r="AQ49" i="7"/>
  <c r="AR49" i="7"/>
  <c r="AS49" i="7"/>
  <c r="AT49" i="7"/>
  <c r="AU49" i="7"/>
  <c r="D50" i="7"/>
  <c r="E50" i="7"/>
  <c r="F50" i="7"/>
  <c r="I50" i="7"/>
  <c r="K50" i="7"/>
  <c r="L50" i="7"/>
  <c r="M50" i="7"/>
  <c r="N50" i="7"/>
  <c r="O50" i="7"/>
  <c r="P50" i="7"/>
  <c r="Q50" i="7"/>
  <c r="S50" i="7"/>
  <c r="T50" i="7"/>
  <c r="U50" i="7"/>
  <c r="X50" i="7"/>
  <c r="Z50" i="7"/>
  <c r="AA50" i="7"/>
  <c r="AB50" i="7"/>
  <c r="AC50" i="7"/>
  <c r="AD50" i="7"/>
  <c r="AE50" i="7"/>
  <c r="AF50" i="7"/>
  <c r="AH50" i="7"/>
  <c r="AI50" i="7"/>
  <c r="AJ50" i="7"/>
  <c r="AM50" i="7"/>
  <c r="AO50" i="7"/>
  <c r="AP50" i="7"/>
  <c r="AQ50" i="7"/>
  <c r="AR50" i="7"/>
  <c r="AS50" i="7"/>
  <c r="AT50" i="7"/>
  <c r="AU50" i="7"/>
  <c r="D51" i="7"/>
  <c r="E51" i="7"/>
  <c r="F51" i="7"/>
  <c r="I51" i="7"/>
  <c r="K51" i="7"/>
  <c r="L51" i="7"/>
  <c r="M51" i="7"/>
  <c r="N51" i="7"/>
  <c r="O51" i="7"/>
  <c r="P51" i="7"/>
  <c r="Q51" i="7"/>
  <c r="S51" i="7"/>
  <c r="T51" i="7"/>
  <c r="U51" i="7"/>
  <c r="X51" i="7"/>
  <c r="Z51" i="7"/>
  <c r="AA51" i="7"/>
  <c r="AB51" i="7"/>
  <c r="AC51" i="7"/>
  <c r="AD51" i="7"/>
  <c r="AE51" i="7"/>
  <c r="AF51" i="7"/>
  <c r="AH51" i="7"/>
  <c r="AI51" i="7"/>
  <c r="AJ51" i="7"/>
  <c r="AM51" i="7"/>
  <c r="AO51" i="7"/>
  <c r="AP51" i="7"/>
  <c r="AQ51" i="7"/>
  <c r="AR51" i="7"/>
  <c r="AS51" i="7"/>
  <c r="AT51" i="7"/>
  <c r="AU51" i="7"/>
  <c r="D52" i="7"/>
  <c r="E52" i="7"/>
  <c r="F52" i="7"/>
  <c r="I52" i="7"/>
  <c r="K52" i="7"/>
  <c r="L52" i="7"/>
  <c r="M52" i="7"/>
  <c r="N52" i="7"/>
  <c r="O52" i="7"/>
  <c r="P52" i="7"/>
  <c r="Q52" i="7"/>
  <c r="S52" i="7"/>
  <c r="T52" i="7"/>
  <c r="U52" i="7"/>
  <c r="X52" i="7"/>
  <c r="Z52" i="7"/>
  <c r="AA52" i="7"/>
  <c r="AB52" i="7"/>
  <c r="AC52" i="7"/>
  <c r="AD52" i="7"/>
  <c r="AE52" i="7"/>
  <c r="AF52" i="7"/>
  <c r="AH52" i="7"/>
  <c r="AI52" i="7"/>
  <c r="AJ52" i="7"/>
  <c r="AM52" i="7"/>
  <c r="AO52" i="7"/>
  <c r="AP52" i="7"/>
  <c r="AQ52" i="7"/>
  <c r="AR52" i="7"/>
  <c r="AS52" i="7"/>
  <c r="AT52" i="7"/>
  <c r="AU52" i="7"/>
  <c r="D53" i="7"/>
  <c r="E53" i="7"/>
  <c r="F53" i="7"/>
  <c r="I53" i="7"/>
  <c r="K53" i="7"/>
  <c r="L53" i="7"/>
  <c r="M53" i="7"/>
  <c r="N53" i="7"/>
  <c r="O53" i="7"/>
  <c r="P53" i="7"/>
  <c r="Q53" i="7"/>
  <c r="S53" i="7"/>
  <c r="T53" i="7"/>
  <c r="U53" i="7"/>
  <c r="X53" i="7"/>
  <c r="Z53" i="7"/>
  <c r="AA53" i="7"/>
  <c r="AB53" i="7"/>
  <c r="AC53" i="7"/>
  <c r="AD53" i="7"/>
  <c r="AE53" i="7"/>
  <c r="AF53" i="7"/>
  <c r="AH53" i="7"/>
  <c r="AI53" i="7"/>
  <c r="AJ53" i="7"/>
  <c r="AM53" i="7"/>
  <c r="AO53" i="7"/>
  <c r="AP53" i="7"/>
  <c r="AQ53" i="7"/>
  <c r="AR53" i="7"/>
  <c r="AS53" i="7"/>
  <c r="AT53" i="7"/>
  <c r="AU53" i="7"/>
  <c r="D54" i="7"/>
  <c r="E54" i="7"/>
  <c r="F54" i="7"/>
  <c r="I54" i="7"/>
  <c r="K54" i="7"/>
  <c r="L54" i="7"/>
  <c r="M54" i="7"/>
  <c r="N54" i="7"/>
  <c r="O54" i="7"/>
  <c r="P54" i="7"/>
  <c r="Q54" i="7"/>
  <c r="S54" i="7"/>
  <c r="T54" i="7"/>
  <c r="U54" i="7"/>
  <c r="X54" i="7"/>
  <c r="Z54" i="7"/>
  <c r="AA54" i="7"/>
  <c r="AB54" i="7"/>
  <c r="AC54" i="7"/>
  <c r="AD54" i="7"/>
  <c r="AE54" i="7"/>
  <c r="AF54" i="7"/>
  <c r="AH54" i="7"/>
  <c r="AI54" i="7"/>
  <c r="AJ54" i="7"/>
  <c r="AM54" i="7"/>
  <c r="AO54" i="7"/>
  <c r="AP54" i="7"/>
  <c r="AQ54" i="7"/>
  <c r="AR54" i="7"/>
  <c r="AS54" i="7"/>
  <c r="AT54" i="7"/>
  <c r="AU54" i="7"/>
  <c r="D55" i="7"/>
  <c r="E55" i="7"/>
  <c r="F55" i="7"/>
  <c r="I55" i="7"/>
  <c r="K55" i="7"/>
  <c r="L55" i="7"/>
  <c r="M55" i="7"/>
  <c r="N55" i="7"/>
  <c r="O55" i="7"/>
  <c r="P55" i="7"/>
  <c r="Q55" i="7"/>
  <c r="S55" i="7"/>
  <c r="T55" i="7"/>
  <c r="U55" i="7"/>
  <c r="X55" i="7"/>
  <c r="Z55" i="7"/>
  <c r="AA55" i="7"/>
  <c r="AB55" i="7"/>
  <c r="AC55" i="7"/>
  <c r="AD55" i="7"/>
  <c r="AE55" i="7"/>
  <c r="AF55" i="7"/>
  <c r="AH55" i="7"/>
  <c r="AI55" i="7"/>
  <c r="AJ55" i="7"/>
  <c r="AM55" i="7"/>
  <c r="AO55" i="7"/>
  <c r="AP55" i="7"/>
  <c r="AQ55" i="7"/>
  <c r="AR55" i="7"/>
  <c r="AS55" i="7"/>
  <c r="AT55" i="7"/>
  <c r="AU55" i="7"/>
  <c r="D56" i="7"/>
  <c r="E56" i="7"/>
  <c r="F56" i="7"/>
  <c r="I56" i="7"/>
  <c r="K56" i="7"/>
  <c r="L56" i="7"/>
  <c r="M56" i="7"/>
  <c r="N56" i="7"/>
  <c r="O56" i="7"/>
  <c r="P56" i="7"/>
  <c r="Q56" i="7"/>
  <c r="S56" i="7"/>
  <c r="T56" i="7"/>
  <c r="U56" i="7"/>
  <c r="X56" i="7"/>
  <c r="Z56" i="7"/>
  <c r="AA56" i="7"/>
  <c r="AB56" i="7"/>
  <c r="AC56" i="7"/>
  <c r="AD56" i="7"/>
  <c r="AE56" i="7"/>
  <c r="AF56" i="7"/>
  <c r="AH56" i="7"/>
  <c r="AI56" i="7"/>
  <c r="AJ56" i="7"/>
  <c r="AM56" i="7"/>
  <c r="AO56" i="7"/>
  <c r="AP56" i="7"/>
  <c r="AQ56" i="7"/>
  <c r="AR56" i="7"/>
  <c r="AS56" i="7"/>
  <c r="AT56" i="7"/>
  <c r="AU56" i="7"/>
  <c r="D57" i="7"/>
  <c r="E57" i="7"/>
  <c r="F57" i="7"/>
  <c r="I57" i="7"/>
  <c r="K57" i="7"/>
  <c r="L57" i="7"/>
  <c r="M57" i="7"/>
  <c r="N57" i="7"/>
  <c r="O57" i="7"/>
  <c r="P57" i="7"/>
  <c r="Q57" i="7"/>
  <c r="S57" i="7"/>
  <c r="T57" i="7"/>
  <c r="U57" i="7"/>
  <c r="X57" i="7"/>
  <c r="Z57" i="7"/>
  <c r="AA57" i="7"/>
  <c r="AB57" i="7"/>
  <c r="AC57" i="7"/>
  <c r="AD57" i="7"/>
  <c r="AE57" i="7"/>
  <c r="AF57" i="7"/>
  <c r="AH57" i="7"/>
  <c r="AI57" i="7"/>
  <c r="AJ57" i="7"/>
  <c r="AM57" i="7"/>
  <c r="AO57" i="7"/>
  <c r="AP57" i="7"/>
  <c r="AQ57" i="7"/>
  <c r="AR57" i="7"/>
  <c r="AS57" i="7"/>
  <c r="AT57" i="7"/>
  <c r="AU57" i="7"/>
  <c r="D58" i="7"/>
  <c r="E58" i="7"/>
  <c r="F58" i="7"/>
  <c r="I58" i="7"/>
  <c r="K58" i="7"/>
  <c r="L58" i="7"/>
  <c r="M58" i="7"/>
  <c r="N58" i="7"/>
  <c r="O58" i="7"/>
  <c r="P58" i="7"/>
  <c r="Q58" i="7"/>
  <c r="S58" i="7"/>
  <c r="T58" i="7"/>
  <c r="U58" i="7"/>
  <c r="X58" i="7"/>
  <c r="Z58" i="7"/>
  <c r="AA58" i="7"/>
  <c r="AB58" i="7"/>
  <c r="AC58" i="7"/>
  <c r="AD58" i="7"/>
  <c r="AE58" i="7"/>
  <c r="AF58" i="7"/>
  <c r="AH58" i="7"/>
  <c r="AI58" i="7"/>
  <c r="AJ58" i="7"/>
  <c r="AM58" i="7"/>
  <c r="AO58" i="7"/>
  <c r="AP58" i="7"/>
  <c r="AQ58" i="7"/>
  <c r="AR58" i="7"/>
  <c r="AS58" i="7"/>
  <c r="AT58" i="7"/>
  <c r="AU58" i="7"/>
  <c r="D59" i="7"/>
  <c r="E59" i="7"/>
  <c r="F59" i="7"/>
  <c r="I59" i="7"/>
  <c r="K59" i="7"/>
  <c r="L59" i="7"/>
  <c r="M59" i="7"/>
  <c r="N59" i="7"/>
  <c r="O59" i="7"/>
  <c r="P59" i="7"/>
  <c r="Q59" i="7"/>
  <c r="S59" i="7"/>
  <c r="T59" i="7"/>
  <c r="U59" i="7"/>
  <c r="X59" i="7"/>
  <c r="Z59" i="7"/>
  <c r="AA59" i="7"/>
  <c r="AB59" i="7"/>
  <c r="AC59" i="7"/>
  <c r="AD59" i="7"/>
  <c r="AE59" i="7"/>
  <c r="AF59" i="7"/>
  <c r="AH59" i="7"/>
  <c r="AI59" i="7"/>
  <c r="AJ59" i="7"/>
  <c r="AM59" i="7"/>
  <c r="AO59" i="7"/>
  <c r="AP59" i="7"/>
  <c r="AQ59" i="7"/>
  <c r="AR59" i="7"/>
  <c r="AS59" i="7"/>
  <c r="AT59" i="7"/>
  <c r="AU59" i="7"/>
  <c r="D60" i="7"/>
  <c r="E60" i="7"/>
  <c r="F60" i="7"/>
  <c r="I60" i="7"/>
  <c r="K60" i="7"/>
  <c r="L60" i="7"/>
  <c r="M60" i="7"/>
  <c r="N60" i="7"/>
  <c r="O60" i="7"/>
  <c r="P60" i="7"/>
  <c r="Q60" i="7"/>
  <c r="S60" i="7"/>
  <c r="T60" i="7"/>
  <c r="U60" i="7"/>
  <c r="X60" i="7"/>
  <c r="Z60" i="7"/>
  <c r="AA60" i="7"/>
  <c r="AB60" i="7"/>
  <c r="AC60" i="7"/>
  <c r="AD60" i="7"/>
  <c r="AE60" i="7"/>
  <c r="AF60" i="7"/>
  <c r="AH60" i="7"/>
  <c r="AI60" i="7"/>
  <c r="AJ60" i="7"/>
  <c r="AM60" i="7"/>
  <c r="AO60" i="7"/>
  <c r="AP60" i="7"/>
  <c r="AQ60" i="7"/>
  <c r="AR60" i="7"/>
  <c r="AS60" i="7"/>
  <c r="AT60" i="7"/>
  <c r="AU60" i="7"/>
  <c r="D61" i="7"/>
  <c r="E61" i="7"/>
  <c r="F61" i="7"/>
  <c r="I61" i="7"/>
  <c r="K61" i="7"/>
  <c r="L61" i="7"/>
  <c r="M61" i="7"/>
  <c r="N61" i="7"/>
  <c r="O61" i="7"/>
  <c r="P61" i="7"/>
  <c r="Q61" i="7"/>
  <c r="S61" i="7"/>
  <c r="T61" i="7"/>
  <c r="U61" i="7"/>
  <c r="X61" i="7"/>
  <c r="Z61" i="7"/>
  <c r="AA61" i="7"/>
  <c r="AB61" i="7"/>
  <c r="AC61" i="7"/>
  <c r="AD61" i="7"/>
  <c r="AE61" i="7"/>
  <c r="AF61" i="7"/>
  <c r="AH61" i="7"/>
  <c r="AI61" i="7"/>
  <c r="AJ61" i="7"/>
  <c r="AM61" i="7"/>
  <c r="AO61" i="7"/>
  <c r="AP61" i="7"/>
  <c r="AQ61" i="7"/>
  <c r="AR61" i="7"/>
  <c r="AS61" i="7"/>
  <c r="AT61" i="7"/>
  <c r="AU61" i="7"/>
  <c r="D62" i="7"/>
  <c r="E62" i="7"/>
  <c r="F62" i="7"/>
  <c r="I62" i="7"/>
  <c r="K62" i="7"/>
  <c r="L62" i="7"/>
  <c r="M62" i="7"/>
  <c r="N62" i="7"/>
  <c r="O62" i="7"/>
  <c r="P62" i="7"/>
  <c r="Q62" i="7"/>
  <c r="S62" i="7"/>
  <c r="T62" i="7"/>
  <c r="U62" i="7"/>
  <c r="X62" i="7"/>
  <c r="Z62" i="7"/>
  <c r="AA62" i="7"/>
  <c r="AB62" i="7"/>
  <c r="AC62" i="7"/>
  <c r="AD62" i="7"/>
  <c r="AE62" i="7"/>
  <c r="AF62" i="7"/>
  <c r="AH62" i="7"/>
  <c r="AI62" i="7"/>
  <c r="AJ62" i="7"/>
  <c r="AM62" i="7"/>
  <c r="AO62" i="7"/>
  <c r="AP62" i="7"/>
  <c r="AQ62" i="7"/>
  <c r="AR62" i="7"/>
  <c r="AS62" i="7"/>
  <c r="AT62" i="7"/>
  <c r="AU62" i="7"/>
  <c r="D63" i="7"/>
  <c r="E63" i="7"/>
  <c r="F63" i="7"/>
  <c r="I63" i="7"/>
  <c r="K63" i="7"/>
  <c r="L63" i="7"/>
  <c r="M63" i="7"/>
  <c r="N63" i="7"/>
  <c r="O63" i="7"/>
  <c r="P63" i="7"/>
  <c r="Q63" i="7"/>
  <c r="S63" i="7"/>
  <c r="T63" i="7"/>
  <c r="U63" i="7"/>
  <c r="X63" i="7"/>
  <c r="Z63" i="7"/>
  <c r="AA63" i="7"/>
  <c r="AB63" i="7"/>
  <c r="AC63" i="7"/>
  <c r="AD63" i="7"/>
  <c r="AE63" i="7"/>
  <c r="AF63" i="7"/>
  <c r="AH63" i="7"/>
  <c r="AI63" i="7"/>
  <c r="AJ63" i="7"/>
  <c r="AM63" i="7"/>
  <c r="AO63" i="7"/>
  <c r="AP63" i="7"/>
  <c r="AQ63" i="7"/>
  <c r="AR63" i="7"/>
  <c r="AS63" i="7"/>
  <c r="AT63" i="7"/>
  <c r="AU63" i="7"/>
  <c r="D64" i="7"/>
  <c r="E64" i="7"/>
  <c r="F64" i="7"/>
  <c r="I64" i="7"/>
  <c r="K64" i="7"/>
  <c r="L64" i="7"/>
  <c r="M64" i="7"/>
  <c r="N64" i="7"/>
  <c r="O64" i="7"/>
  <c r="P64" i="7"/>
  <c r="Q64" i="7"/>
  <c r="S64" i="7"/>
  <c r="T64" i="7"/>
  <c r="U64" i="7"/>
  <c r="X64" i="7"/>
  <c r="Z64" i="7"/>
  <c r="AA64" i="7"/>
  <c r="AB64" i="7"/>
  <c r="AC64" i="7"/>
  <c r="AD64" i="7"/>
  <c r="AE64" i="7"/>
  <c r="AF64" i="7"/>
  <c r="AH64" i="7"/>
  <c r="AI64" i="7"/>
  <c r="AJ64" i="7"/>
  <c r="AM64" i="7"/>
  <c r="AO64" i="7"/>
  <c r="AP64" i="7"/>
  <c r="AQ64" i="7"/>
  <c r="AR64" i="7"/>
  <c r="AS64" i="7"/>
  <c r="AT64" i="7"/>
  <c r="AU64" i="7"/>
  <c r="D65" i="7"/>
  <c r="E65" i="7"/>
  <c r="F65" i="7"/>
  <c r="I65" i="7"/>
  <c r="K65" i="7"/>
  <c r="L65" i="7"/>
  <c r="M65" i="7"/>
  <c r="N65" i="7"/>
  <c r="O65" i="7"/>
  <c r="P65" i="7"/>
  <c r="Q65" i="7"/>
  <c r="S65" i="7"/>
  <c r="T65" i="7"/>
  <c r="U65" i="7"/>
  <c r="X65" i="7"/>
  <c r="Z65" i="7"/>
  <c r="AA65" i="7"/>
  <c r="AB65" i="7"/>
  <c r="AC65" i="7"/>
  <c r="AD65" i="7"/>
  <c r="AE65" i="7"/>
  <c r="AF65" i="7"/>
  <c r="AH65" i="7"/>
  <c r="AI65" i="7"/>
  <c r="AJ65" i="7"/>
  <c r="AM65" i="7"/>
  <c r="AO65" i="7"/>
  <c r="AP65" i="7"/>
  <c r="AQ65" i="7"/>
  <c r="AR65" i="7"/>
  <c r="AS65" i="7"/>
  <c r="AT65" i="7"/>
  <c r="AU65" i="7"/>
  <c r="D66" i="7"/>
  <c r="E66" i="7"/>
  <c r="F66" i="7"/>
  <c r="I66" i="7"/>
  <c r="K66" i="7"/>
  <c r="L66" i="7"/>
  <c r="M66" i="7"/>
  <c r="N66" i="7"/>
  <c r="O66" i="7"/>
  <c r="P66" i="7"/>
  <c r="Q66" i="7"/>
  <c r="S66" i="7"/>
  <c r="T66" i="7"/>
  <c r="U66" i="7"/>
  <c r="X66" i="7"/>
  <c r="Z66" i="7"/>
  <c r="AA66" i="7"/>
  <c r="AB66" i="7"/>
  <c r="AC66" i="7"/>
  <c r="AD66" i="7"/>
  <c r="AE66" i="7"/>
  <c r="AF66" i="7"/>
  <c r="AH66" i="7"/>
  <c r="AI66" i="7"/>
  <c r="AJ66" i="7"/>
  <c r="AM66" i="7"/>
  <c r="AO66" i="7"/>
  <c r="AP66" i="7"/>
  <c r="AQ66" i="7"/>
  <c r="AR66" i="7"/>
  <c r="AS66" i="7"/>
  <c r="AT66" i="7"/>
  <c r="AU66" i="7"/>
  <c r="D67" i="7"/>
  <c r="E67" i="7"/>
  <c r="F67" i="7"/>
  <c r="I67" i="7"/>
  <c r="K67" i="7"/>
  <c r="L67" i="7"/>
  <c r="M67" i="7"/>
  <c r="N67" i="7"/>
  <c r="O67" i="7"/>
  <c r="P67" i="7"/>
  <c r="Q67" i="7"/>
  <c r="S67" i="7"/>
  <c r="T67" i="7"/>
  <c r="U67" i="7"/>
  <c r="X67" i="7"/>
  <c r="Z67" i="7"/>
  <c r="AA67" i="7"/>
  <c r="AB67" i="7"/>
  <c r="AC67" i="7"/>
  <c r="AD67" i="7"/>
  <c r="AE67" i="7"/>
  <c r="AF67" i="7"/>
  <c r="AH67" i="7"/>
  <c r="AI67" i="7"/>
  <c r="AJ67" i="7"/>
  <c r="AM67" i="7"/>
  <c r="AO67" i="7"/>
  <c r="AP67" i="7"/>
  <c r="AQ67" i="7"/>
  <c r="AR67" i="7"/>
  <c r="AS67" i="7"/>
  <c r="AT67" i="7"/>
  <c r="AU67" i="7"/>
  <c r="D68" i="7"/>
  <c r="E68" i="7"/>
  <c r="F68" i="7"/>
  <c r="I68" i="7"/>
  <c r="K68" i="7"/>
  <c r="L68" i="7"/>
  <c r="M68" i="7"/>
  <c r="N68" i="7"/>
  <c r="O68" i="7"/>
  <c r="P68" i="7"/>
  <c r="Q68" i="7"/>
  <c r="S68" i="7"/>
  <c r="T68" i="7"/>
  <c r="U68" i="7"/>
  <c r="X68" i="7"/>
  <c r="Z68" i="7"/>
  <c r="AA68" i="7"/>
  <c r="AB68" i="7"/>
  <c r="AC68" i="7"/>
  <c r="AD68" i="7"/>
  <c r="AE68" i="7"/>
  <c r="AF68" i="7"/>
  <c r="AH68" i="7"/>
  <c r="AI68" i="7"/>
  <c r="AJ68" i="7"/>
  <c r="AM68" i="7"/>
  <c r="AO68" i="7"/>
  <c r="AP68" i="7"/>
  <c r="AQ68" i="7"/>
  <c r="AR68" i="7"/>
  <c r="AS68" i="7"/>
  <c r="AT68" i="7"/>
  <c r="AU68" i="7"/>
  <c r="D69" i="7"/>
  <c r="E69" i="7"/>
  <c r="F69" i="7"/>
  <c r="I69" i="7"/>
  <c r="K69" i="7"/>
  <c r="L69" i="7"/>
  <c r="M69" i="7"/>
  <c r="N69" i="7"/>
  <c r="O69" i="7"/>
  <c r="P69" i="7"/>
  <c r="Q69" i="7"/>
  <c r="S69" i="7"/>
  <c r="T69" i="7"/>
  <c r="U69" i="7"/>
  <c r="X69" i="7"/>
  <c r="Z69" i="7"/>
  <c r="AA69" i="7"/>
  <c r="AB69" i="7"/>
  <c r="AC69" i="7"/>
  <c r="AD69" i="7"/>
  <c r="AE69" i="7"/>
  <c r="AF69" i="7"/>
  <c r="AH69" i="7"/>
  <c r="AI69" i="7"/>
  <c r="AJ69" i="7"/>
  <c r="AM69" i="7"/>
  <c r="AO69" i="7"/>
  <c r="AP69" i="7"/>
  <c r="AQ69" i="7"/>
  <c r="AR69" i="7"/>
  <c r="AS69" i="7"/>
  <c r="AT69" i="7"/>
  <c r="AU69" i="7"/>
  <c r="D70" i="7"/>
  <c r="E70" i="7"/>
  <c r="F70" i="7"/>
  <c r="I70" i="7"/>
  <c r="K70" i="7"/>
  <c r="L70" i="7"/>
  <c r="M70" i="7"/>
  <c r="N70" i="7"/>
  <c r="O70" i="7"/>
  <c r="P70" i="7"/>
  <c r="Q70" i="7"/>
  <c r="S70" i="7"/>
  <c r="T70" i="7"/>
  <c r="U70" i="7"/>
  <c r="X70" i="7"/>
  <c r="Z70" i="7"/>
  <c r="AA70" i="7"/>
  <c r="AB70" i="7"/>
  <c r="AC70" i="7"/>
  <c r="AD70" i="7"/>
  <c r="AE70" i="7"/>
  <c r="AF70" i="7"/>
  <c r="AH70" i="7"/>
  <c r="AI70" i="7"/>
  <c r="AJ70" i="7"/>
  <c r="AM70" i="7"/>
  <c r="AO70" i="7"/>
  <c r="AP70" i="7"/>
  <c r="AQ70" i="7"/>
  <c r="AR70" i="7"/>
  <c r="AS70" i="7"/>
  <c r="AT70" i="7"/>
  <c r="AU70" i="7"/>
  <c r="D71" i="7"/>
  <c r="E71" i="7"/>
  <c r="F71" i="7"/>
  <c r="I71" i="7"/>
  <c r="K71" i="7"/>
  <c r="L71" i="7"/>
  <c r="M71" i="7"/>
  <c r="N71" i="7"/>
  <c r="O71" i="7"/>
  <c r="P71" i="7"/>
  <c r="Q71" i="7"/>
  <c r="S71" i="7"/>
  <c r="T71" i="7"/>
  <c r="U71" i="7"/>
  <c r="X71" i="7"/>
  <c r="Z71" i="7"/>
  <c r="AA71" i="7"/>
  <c r="AB71" i="7"/>
  <c r="AC71" i="7"/>
  <c r="AD71" i="7"/>
  <c r="AE71" i="7"/>
  <c r="AF71" i="7"/>
  <c r="AH71" i="7"/>
  <c r="AI71" i="7"/>
  <c r="AJ71" i="7"/>
  <c r="AM71" i="7"/>
  <c r="AO71" i="7"/>
  <c r="AP71" i="7"/>
  <c r="AQ71" i="7"/>
  <c r="AR71" i="7"/>
  <c r="AS71" i="7"/>
  <c r="AT71" i="7"/>
  <c r="AU71" i="7"/>
  <c r="D72" i="7"/>
  <c r="E72" i="7"/>
  <c r="F72" i="7"/>
  <c r="I72" i="7"/>
  <c r="K72" i="7"/>
  <c r="L72" i="7"/>
  <c r="M72" i="7"/>
  <c r="N72" i="7"/>
  <c r="O72" i="7"/>
  <c r="P72" i="7"/>
  <c r="Q72" i="7"/>
  <c r="S72" i="7"/>
  <c r="T72" i="7"/>
  <c r="U72" i="7"/>
  <c r="X72" i="7"/>
  <c r="Z72" i="7"/>
  <c r="AA72" i="7"/>
  <c r="AB72" i="7"/>
  <c r="AC72" i="7"/>
  <c r="AD72" i="7"/>
  <c r="AE72" i="7"/>
  <c r="AF72" i="7"/>
  <c r="AH72" i="7"/>
  <c r="AI72" i="7"/>
  <c r="AJ72" i="7"/>
  <c r="AM72" i="7"/>
  <c r="AO72" i="7"/>
  <c r="AP72" i="7"/>
  <c r="AQ72" i="7"/>
  <c r="AR72" i="7"/>
  <c r="AS72" i="7"/>
  <c r="AT72" i="7"/>
  <c r="AU72" i="7"/>
  <c r="D73" i="7"/>
  <c r="E73" i="7"/>
  <c r="F73" i="7"/>
  <c r="I73" i="7"/>
  <c r="K73" i="7"/>
  <c r="L73" i="7"/>
  <c r="M73" i="7"/>
  <c r="N73" i="7"/>
  <c r="O73" i="7"/>
  <c r="P73" i="7"/>
  <c r="Q73" i="7"/>
  <c r="S73" i="7"/>
  <c r="T73" i="7"/>
  <c r="U73" i="7"/>
  <c r="X73" i="7"/>
  <c r="Z73" i="7"/>
  <c r="AA73" i="7"/>
  <c r="AB73" i="7"/>
  <c r="AC73" i="7"/>
  <c r="AD73" i="7"/>
  <c r="AE73" i="7"/>
  <c r="AF73" i="7"/>
  <c r="AH73" i="7"/>
  <c r="AI73" i="7"/>
  <c r="AJ73" i="7"/>
  <c r="AM73" i="7"/>
  <c r="AO73" i="7"/>
  <c r="AP73" i="7"/>
  <c r="AQ73" i="7"/>
  <c r="AR73" i="7"/>
  <c r="AS73" i="7"/>
  <c r="AT73" i="7"/>
  <c r="AU73" i="7"/>
  <c r="D74" i="7"/>
  <c r="E74" i="7"/>
  <c r="F74" i="7"/>
  <c r="I74" i="7"/>
  <c r="K74" i="7"/>
  <c r="L74" i="7"/>
  <c r="M74" i="7"/>
  <c r="N74" i="7"/>
  <c r="O74" i="7"/>
  <c r="P74" i="7"/>
  <c r="Q74" i="7"/>
  <c r="S74" i="7"/>
  <c r="T74" i="7"/>
  <c r="U74" i="7"/>
  <c r="X74" i="7"/>
  <c r="Z74" i="7"/>
  <c r="AA74" i="7"/>
  <c r="AB74" i="7"/>
  <c r="AC74" i="7"/>
  <c r="AD74" i="7"/>
  <c r="AE74" i="7"/>
  <c r="AF74" i="7"/>
  <c r="AH74" i="7"/>
  <c r="AI74" i="7"/>
  <c r="AJ74" i="7"/>
  <c r="AM74" i="7"/>
  <c r="AO74" i="7"/>
  <c r="AP74" i="7"/>
  <c r="AQ74" i="7"/>
  <c r="AR74" i="7"/>
  <c r="AS74" i="7"/>
  <c r="AT74" i="7"/>
  <c r="AU74" i="7"/>
  <c r="D75" i="7"/>
  <c r="E75" i="7"/>
  <c r="F75" i="7"/>
  <c r="I75" i="7"/>
  <c r="K75" i="7"/>
  <c r="L75" i="7"/>
  <c r="M75" i="7"/>
  <c r="N75" i="7"/>
  <c r="O75" i="7"/>
  <c r="P75" i="7"/>
  <c r="Q75" i="7"/>
  <c r="S75" i="7"/>
  <c r="T75" i="7"/>
  <c r="U75" i="7"/>
  <c r="X75" i="7"/>
  <c r="Z75" i="7"/>
  <c r="AA75" i="7"/>
  <c r="AB75" i="7"/>
  <c r="AC75" i="7"/>
  <c r="AD75" i="7"/>
  <c r="AE75" i="7"/>
  <c r="AF75" i="7"/>
  <c r="AH75" i="7"/>
  <c r="AI75" i="7"/>
  <c r="AJ75" i="7"/>
  <c r="AM75" i="7"/>
  <c r="AO75" i="7"/>
  <c r="AP75" i="7"/>
  <c r="AQ75" i="7"/>
  <c r="AR75" i="7"/>
  <c r="AS75" i="7"/>
  <c r="AT75" i="7"/>
  <c r="AU75" i="7"/>
  <c r="D76" i="7"/>
  <c r="E76" i="7"/>
  <c r="F76" i="7"/>
  <c r="I76" i="7"/>
  <c r="K76" i="7"/>
  <c r="L76" i="7"/>
  <c r="M76" i="7"/>
  <c r="N76" i="7"/>
  <c r="O76" i="7"/>
  <c r="P76" i="7"/>
  <c r="Q76" i="7"/>
  <c r="S76" i="7"/>
  <c r="T76" i="7"/>
  <c r="U76" i="7"/>
  <c r="X76" i="7"/>
  <c r="Z76" i="7"/>
  <c r="AA76" i="7"/>
  <c r="AB76" i="7"/>
  <c r="AC76" i="7"/>
  <c r="AD76" i="7"/>
  <c r="AE76" i="7"/>
  <c r="AF76" i="7"/>
  <c r="AH76" i="7"/>
  <c r="AI76" i="7"/>
  <c r="AJ76" i="7"/>
  <c r="AM76" i="7"/>
  <c r="AO76" i="7"/>
  <c r="AP76" i="7"/>
  <c r="AQ76" i="7"/>
  <c r="AR76" i="7"/>
  <c r="AS76" i="7"/>
  <c r="AT76" i="7"/>
  <c r="AU76" i="7"/>
  <c r="D77" i="7"/>
  <c r="E77" i="7"/>
  <c r="F77" i="7"/>
  <c r="I77" i="7"/>
  <c r="K77" i="7"/>
  <c r="L77" i="7"/>
  <c r="M77" i="7"/>
  <c r="N77" i="7"/>
  <c r="O77" i="7"/>
  <c r="P77" i="7"/>
  <c r="Q77" i="7"/>
  <c r="S77" i="7"/>
  <c r="T77" i="7"/>
  <c r="U77" i="7"/>
  <c r="X77" i="7"/>
  <c r="Z77" i="7"/>
  <c r="AA77" i="7"/>
  <c r="AB77" i="7"/>
  <c r="AC77" i="7"/>
  <c r="AD77" i="7"/>
  <c r="AE77" i="7"/>
  <c r="AF77" i="7"/>
  <c r="AH77" i="7"/>
  <c r="AI77" i="7"/>
  <c r="AJ77" i="7"/>
  <c r="AM77" i="7"/>
  <c r="AO77" i="7"/>
  <c r="AP77" i="7"/>
  <c r="AQ77" i="7"/>
  <c r="AR77" i="7"/>
  <c r="AS77" i="7"/>
  <c r="AT77" i="7"/>
  <c r="AU77" i="7"/>
  <c r="D78" i="7"/>
  <c r="E78" i="7"/>
  <c r="F78" i="7"/>
  <c r="I78" i="7"/>
  <c r="K78" i="7"/>
  <c r="L78" i="7"/>
  <c r="M78" i="7"/>
  <c r="N78" i="7"/>
  <c r="O78" i="7"/>
  <c r="P78" i="7"/>
  <c r="Q78" i="7"/>
  <c r="S78" i="7"/>
  <c r="T78" i="7"/>
  <c r="U78" i="7"/>
  <c r="X78" i="7"/>
  <c r="Z78" i="7"/>
  <c r="AA78" i="7"/>
  <c r="AB78" i="7"/>
  <c r="AC78" i="7"/>
  <c r="AD78" i="7"/>
  <c r="AE78" i="7"/>
  <c r="AF78" i="7"/>
  <c r="AH78" i="7"/>
  <c r="AI78" i="7"/>
  <c r="AJ78" i="7"/>
  <c r="AM78" i="7"/>
  <c r="AO78" i="7"/>
  <c r="AP78" i="7"/>
  <c r="AQ78" i="7"/>
  <c r="AR78" i="7"/>
  <c r="AS78" i="7"/>
  <c r="AT78" i="7"/>
  <c r="AU78" i="7"/>
  <c r="D79" i="7"/>
  <c r="E79" i="7"/>
  <c r="F79" i="7"/>
  <c r="I79" i="7"/>
  <c r="K79" i="7"/>
  <c r="L79" i="7"/>
  <c r="M79" i="7"/>
  <c r="N79" i="7"/>
  <c r="O79" i="7"/>
  <c r="P79" i="7"/>
  <c r="Q79" i="7"/>
  <c r="S79" i="7"/>
  <c r="T79" i="7"/>
  <c r="U79" i="7"/>
  <c r="X79" i="7"/>
  <c r="Z79" i="7"/>
  <c r="AA79" i="7"/>
  <c r="AB79" i="7"/>
  <c r="AC79" i="7"/>
  <c r="AD79" i="7"/>
  <c r="AE79" i="7"/>
  <c r="AF79" i="7"/>
  <c r="AH79" i="7"/>
  <c r="AI79" i="7"/>
  <c r="AJ79" i="7"/>
  <c r="AM79" i="7"/>
  <c r="AO79" i="7"/>
  <c r="AP79" i="7"/>
  <c r="AQ79" i="7"/>
  <c r="AR79" i="7"/>
  <c r="AS79" i="7"/>
  <c r="AT79" i="7"/>
  <c r="AU79" i="7"/>
  <c r="D80" i="7"/>
  <c r="E80" i="7"/>
  <c r="F80" i="7"/>
  <c r="I80" i="7"/>
  <c r="K80" i="7"/>
  <c r="L80" i="7"/>
  <c r="M80" i="7"/>
  <c r="N80" i="7"/>
  <c r="O80" i="7"/>
  <c r="P80" i="7"/>
  <c r="Q80" i="7"/>
  <c r="S80" i="7"/>
  <c r="T80" i="7"/>
  <c r="U80" i="7"/>
  <c r="X80" i="7"/>
  <c r="Z80" i="7"/>
  <c r="AA80" i="7"/>
  <c r="AB80" i="7"/>
  <c r="AC80" i="7"/>
  <c r="AD80" i="7"/>
  <c r="AE80" i="7"/>
  <c r="AF80" i="7"/>
  <c r="AH80" i="7"/>
  <c r="AI80" i="7"/>
  <c r="AJ80" i="7"/>
  <c r="AM80" i="7"/>
  <c r="AO80" i="7"/>
  <c r="AP80" i="7"/>
  <c r="AQ80" i="7"/>
  <c r="AR80" i="7"/>
  <c r="AS80" i="7"/>
  <c r="AT80" i="7"/>
  <c r="AU80" i="7"/>
  <c r="D81" i="7"/>
  <c r="E81" i="7"/>
  <c r="F81" i="7"/>
  <c r="I81" i="7"/>
  <c r="K81" i="7"/>
  <c r="L81" i="7"/>
  <c r="M81" i="7"/>
  <c r="N81" i="7"/>
  <c r="O81" i="7"/>
  <c r="P81" i="7"/>
  <c r="Q81" i="7"/>
  <c r="S81" i="7"/>
  <c r="T81" i="7"/>
  <c r="U81" i="7"/>
  <c r="X81" i="7"/>
  <c r="Z81" i="7"/>
  <c r="AA81" i="7"/>
  <c r="AB81" i="7"/>
  <c r="AC81" i="7"/>
  <c r="AD81" i="7"/>
  <c r="AE81" i="7"/>
  <c r="AF81" i="7"/>
  <c r="AH81" i="7"/>
  <c r="AI81" i="7"/>
  <c r="AJ81" i="7"/>
  <c r="AM81" i="7"/>
  <c r="AO81" i="7"/>
  <c r="AP81" i="7"/>
  <c r="AQ81" i="7"/>
  <c r="AR81" i="7"/>
  <c r="AS81" i="7"/>
  <c r="AT81" i="7"/>
  <c r="AU81" i="7"/>
  <c r="D82" i="7"/>
  <c r="E82" i="7"/>
  <c r="F82" i="7"/>
  <c r="I82" i="7"/>
  <c r="K82" i="7"/>
  <c r="L82" i="7"/>
  <c r="M82" i="7"/>
  <c r="N82" i="7"/>
  <c r="O82" i="7"/>
  <c r="P82" i="7"/>
  <c r="Q82" i="7"/>
  <c r="S82" i="7"/>
  <c r="T82" i="7"/>
  <c r="U82" i="7"/>
  <c r="X82" i="7"/>
  <c r="Z82" i="7"/>
  <c r="AA82" i="7"/>
  <c r="AB82" i="7"/>
  <c r="AC82" i="7"/>
  <c r="AD82" i="7"/>
  <c r="AE82" i="7"/>
  <c r="AF82" i="7"/>
  <c r="AH82" i="7"/>
  <c r="AI82" i="7"/>
  <c r="AJ82" i="7"/>
  <c r="AM82" i="7"/>
  <c r="AO82" i="7"/>
  <c r="AP82" i="7"/>
  <c r="AQ82" i="7"/>
  <c r="AR82" i="7"/>
  <c r="AS82" i="7"/>
  <c r="AT82" i="7"/>
  <c r="AU82" i="7"/>
  <c r="D83" i="7"/>
  <c r="E83" i="7"/>
  <c r="F83" i="7"/>
  <c r="I83" i="7"/>
  <c r="K83" i="7"/>
  <c r="L83" i="7"/>
  <c r="M83" i="7"/>
  <c r="N83" i="7"/>
  <c r="O83" i="7"/>
  <c r="P83" i="7"/>
  <c r="Q83" i="7"/>
  <c r="S83" i="7"/>
  <c r="T83" i="7"/>
  <c r="U83" i="7"/>
  <c r="X83" i="7"/>
  <c r="Z83" i="7"/>
  <c r="AA83" i="7"/>
  <c r="AB83" i="7"/>
  <c r="AC83" i="7"/>
  <c r="AD83" i="7"/>
  <c r="AE83" i="7"/>
  <c r="AF83" i="7"/>
  <c r="AH83" i="7"/>
  <c r="AI83" i="7"/>
  <c r="AJ83" i="7"/>
  <c r="AM83" i="7"/>
  <c r="AO83" i="7"/>
  <c r="AP83" i="7"/>
  <c r="AQ83" i="7"/>
  <c r="AR83" i="7"/>
  <c r="AS83" i="7"/>
  <c r="AT83" i="7"/>
  <c r="AU83" i="7"/>
  <c r="D84" i="7"/>
  <c r="E84" i="7"/>
  <c r="F84" i="7"/>
  <c r="I84" i="7"/>
  <c r="K84" i="7"/>
  <c r="L84" i="7"/>
  <c r="M84" i="7"/>
  <c r="N84" i="7"/>
  <c r="O84" i="7"/>
  <c r="P84" i="7"/>
  <c r="Q84" i="7"/>
  <c r="S84" i="7"/>
  <c r="T84" i="7"/>
  <c r="U84" i="7"/>
  <c r="X84" i="7"/>
  <c r="Z84" i="7"/>
  <c r="AA84" i="7"/>
  <c r="AB84" i="7"/>
  <c r="AC84" i="7"/>
  <c r="AD84" i="7"/>
  <c r="AE84" i="7"/>
  <c r="AF84" i="7"/>
  <c r="AH84" i="7"/>
  <c r="AI84" i="7"/>
  <c r="AJ84" i="7"/>
  <c r="AM84" i="7"/>
  <c r="AO84" i="7"/>
  <c r="AP84" i="7"/>
  <c r="AQ84" i="7"/>
  <c r="AR84" i="7"/>
  <c r="AS84" i="7"/>
  <c r="AT84" i="7"/>
  <c r="AU84" i="7"/>
  <c r="D85" i="7"/>
  <c r="E85" i="7"/>
  <c r="F85" i="7"/>
  <c r="I85" i="7"/>
  <c r="K85" i="7"/>
  <c r="L85" i="7"/>
  <c r="M85" i="7"/>
  <c r="N85" i="7"/>
  <c r="O85" i="7"/>
  <c r="P85" i="7"/>
  <c r="Q85" i="7"/>
  <c r="S85" i="7"/>
  <c r="T85" i="7"/>
  <c r="U85" i="7"/>
  <c r="X85" i="7"/>
  <c r="Z85" i="7"/>
  <c r="AA85" i="7"/>
  <c r="AB85" i="7"/>
  <c r="AC85" i="7"/>
  <c r="AD85" i="7"/>
  <c r="AE85" i="7"/>
  <c r="AF85" i="7"/>
  <c r="AH85" i="7"/>
  <c r="AI85" i="7"/>
  <c r="AJ85" i="7"/>
  <c r="AM85" i="7"/>
  <c r="AO85" i="7"/>
  <c r="AP85" i="7"/>
  <c r="AQ85" i="7"/>
  <c r="AR85" i="7"/>
  <c r="AS85" i="7"/>
  <c r="AT85" i="7"/>
  <c r="AU85" i="7"/>
  <c r="D86" i="7"/>
  <c r="E86" i="7"/>
  <c r="F86" i="7"/>
  <c r="I86" i="7"/>
  <c r="K86" i="7"/>
  <c r="L86" i="7"/>
  <c r="M86" i="7"/>
  <c r="N86" i="7"/>
  <c r="O86" i="7"/>
  <c r="P86" i="7"/>
  <c r="Q86" i="7"/>
  <c r="S86" i="7"/>
  <c r="T86" i="7"/>
  <c r="U86" i="7"/>
  <c r="X86" i="7"/>
  <c r="Z86" i="7"/>
  <c r="AA86" i="7"/>
  <c r="AB86" i="7"/>
  <c r="AC86" i="7"/>
  <c r="AD86" i="7"/>
  <c r="AE86" i="7"/>
  <c r="AF86" i="7"/>
  <c r="AH86" i="7"/>
  <c r="AI86" i="7"/>
  <c r="AJ86" i="7"/>
  <c r="AM86" i="7"/>
  <c r="AO86" i="7"/>
  <c r="AP86" i="7"/>
  <c r="AQ86" i="7"/>
  <c r="AR86" i="7"/>
  <c r="AS86" i="7"/>
  <c r="AT86" i="7"/>
  <c r="AU86" i="7"/>
  <c r="D87" i="7"/>
  <c r="E87" i="7"/>
  <c r="F87" i="7"/>
  <c r="I87" i="7"/>
  <c r="K87" i="7"/>
  <c r="L87" i="7"/>
  <c r="M87" i="7"/>
  <c r="N87" i="7"/>
  <c r="O87" i="7"/>
  <c r="P87" i="7"/>
  <c r="Q87" i="7"/>
  <c r="S87" i="7"/>
  <c r="T87" i="7"/>
  <c r="U87" i="7"/>
  <c r="X87" i="7"/>
  <c r="Z87" i="7"/>
  <c r="AA87" i="7"/>
  <c r="AB87" i="7"/>
  <c r="AC87" i="7"/>
  <c r="AD87" i="7"/>
  <c r="AE87" i="7"/>
  <c r="AF87" i="7"/>
  <c r="AH87" i="7"/>
  <c r="AI87" i="7"/>
  <c r="AJ87" i="7"/>
  <c r="AM87" i="7"/>
  <c r="AO87" i="7"/>
  <c r="AP87" i="7"/>
  <c r="AQ87" i="7"/>
  <c r="AR87" i="7"/>
  <c r="AS87" i="7"/>
  <c r="AT87" i="7"/>
  <c r="AU87" i="7"/>
  <c r="C4" i="12"/>
  <c r="D4" i="12"/>
  <c r="E4" i="12"/>
  <c r="H4" i="12"/>
  <c r="J4" i="12"/>
  <c r="K4" i="12"/>
  <c r="L4" i="12"/>
  <c r="N4" i="12"/>
  <c r="O4" i="12"/>
  <c r="P4" i="12"/>
  <c r="Q4" i="12"/>
  <c r="R4" i="12"/>
  <c r="S4" i="12"/>
  <c r="T4" i="12"/>
  <c r="U4" i="12"/>
  <c r="W4" i="12"/>
  <c r="X4" i="12"/>
  <c r="Y4" i="12"/>
  <c r="AB4" i="12"/>
  <c r="AD4" i="12"/>
  <c r="AE4" i="12"/>
  <c r="AF4" i="12"/>
  <c r="AH4" i="12"/>
  <c r="AI4" i="12"/>
  <c r="AJ4" i="12"/>
  <c r="AK4" i="12"/>
  <c r="AL4" i="12"/>
  <c r="AM4" i="12"/>
  <c r="AN4" i="12"/>
  <c r="AO4" i="12"/>
  <c r="AQ4" i="12"/>
  <c r="AR4" i="12"/>
  <c r="AS4" i="12"/>
  <c r="AV4" i="12"/>
  <c r="AX4" i="12"/>
  <c r="AY4" i="12"/>
  <c r="AZ4" i="12"/>
  <c r="BB4" i="12"/>
  <c r="BC4" i="12"/>
  <c r="BD4" i="12"/>
  <c r="BE4" i="12"/>
  <c r="BF4" i="12"/>
  <c r="BG4" i="12"/>
  <c r="BH4" i="12"/>
  <c r="BI4" i="12"/>
  <c r="C5" i="12"/>
  <c r="D5" i="12"/>
  <c r="E5" i="12"/>
  <c r="H5" i="12"/>
  <c r="J5" i="12"/>
  <c r="K5" i="12"/>
  <c r="L5" i="12"/>
  <c r="N5" i="12"/>
  <c r="O5" i="12"/>
  <c r="P5" i="12"/>
  <c r="Q5" i="12"/>
  <c r="R5" i="12"/>
  <c r="S5" i="12"/>
  <c r="T5" i="12"/>
  <c r="U5" i="12"/>
  <c r="W5" i="12"/>
  <c r="X5" i="12"/>
  <c r="Y5" i="12"/>
  <c r="AB5" i="12"/>
  <c r="AD5" i="12"/>
  <c r="AE5" i="12"/>
  <c r="AF5" i="12"/>
  <c r="AH5" i="12"/>
  <c r="AI5" i="12"/>
  <c r="AJ5" i="12"/>
  <c r="AK5" i="12"/>
  <c r="AL5" i="12"/>
  <c r="AM5" i="12"/>
  <c r="AN5" i="12"/>
  <c r="AO5" i="12"/>
  <c r="AQ5" i="12"/>
  <c r="AR5" i="12"/>
  <c r="AS5" i="12"/>
  <c r="AV5" i="12"/>
  <c r="AX5" i="12"/>
  <c r="AY5" i="12"/>
  <c r="AZ5" i="12"/>
  <c r="BB5" i="12"/>
  <c r="BC5" i="12"/>
  <c r="BD5" i="12"/>
  <c r="BE5" i="12"/>
  <c r="BF5" i="12"/>
  <c r="BG5" i="12"/>
  <c r="BH5" i="12"/>
  <c r="BI5" i="12"/>
  <c r="C6" i="12"/>
  <c r="D6" i="12"/>
  <c r="E6" i="12"/>
  <c r="H6" i="12"/>
  <c r="J6" i="12"/>
  <c r="K6" i="12"/>
  <c r="L6" i="12"/>
  <c r="N6" i="12"/>
  <c r="O6" i="12"/>
  <c r="P6" i="12"/>
  <c r="Q6" i="12"/>
  <c r="R6" i="12"/>
  <c r="S6" i="12"/>
  <c r="T6" i="12"/>
  <c r="U6" i="12"/>
  <c r="W6" i="12"/>
  <c r="X6" i="12"/>
  <c r="Y6" i="12"/>
  <c r="AB6" i="12"/>
  <c r="AD6" i="12"/>
  <c r="AE6" i="12"/>
  <c r="AF6" i="12"/>
  <c r="AH6" i="12"/>
  <c r="AI6" i="12"/>
  <c r="AJ6" i="12"/>
  <c r="AK6" i="12"/>
  <c r="AL6" i="12"/>
  <c r="AM6" i="12"/>
  <c r="AN6" i="12"/>
  <c r="AO6" i="12"/>
  <c r="AQ6" i="12"/>
  <c r="AR6" i="12"/>
  <c r="AS6" i="12"/>
  <c r="AV6" i="12"/>
  <c r="AX6" i="12"/>
  <c r="AY6" i="12"/>
  <c r="AZ6" i="12"/>
  <c r="BB6" i="12"/>
  <c r="BC6" i="12"/>
  <c r="BD6" i="12"/>
  <c r="BE6" i="12"/>
  <c r="BF6" i="12"/>
  <c r="BG6" i="12"/>
  <c r="BH6" i="12"/>
  <c r="BI6" i="12"/>
  <c r="C7" i="12"/>
  <c r="D7" i="12"/>
  <c r="E7" i="12"/>
  <c r="H7" i="12"/>
  <c r="J7" i="12"/>
  <c r="K7" i="12"/>
  <c r="L7" i="12"/>
  <c r="N7" i="12"/>
  <c r="O7" i="12"/>
  <c r="P7" i="12"/>
  <c r="Q7" i="12"/>
  <c r="R7" i="12"/>
  <c r="S7" i="12"/>
  <c r="T7" i="12"/>
  <c r="U7" i="12"/>
  <c r="W7" i="12"/>
  <c r="X7" i="12"/>
  <c r="Y7" i="12"/>
  <c r="AB7" i="12"/>
  <c r="AD7" i="12"/>
  <c r="AE7" i="12"/>
  <c r="AF7" i="12"/>
  <c r="AH7" i="12"/>
  <c r="AI7" i="12"/>
  <c r="AJ7" i="12"/>
  <c r="AK7" i="12"/>
  <c r="AL7" i="12"/>
  <c r="AM7" i="12"/>
  <c r="AN7" i="12"/>
  <c r="AO7" i="12"/>
  <c r="AQ7" i="12"/>
  <c r="AR7" i="12"/>
  <c r="AS7" i="12"/>
  <c r="AV7" i="12"/>
  <c r="AX7" i="12"/>
  <c r="AY7" i="12"/>
  <c r="AZ7" i="12"/>
  <c r="BB7" i="12"/>
  <c r="BC7" i="12"/>
  <c r="BD7" i="12"/>
  <c r="BE7" i="12"/>
  <c r="BF7" i="12"/>
  <c r="BG7" i="12"/>
  <c r="BH7" i="12"/>
  <c r="BI7" i="12"/>
  <c r="C8" i="12"/>
  <c r="D8" i="12"/>
  <c r="E8" i="12"/>
  <c r="H8" i="12"/>
  <c r="J8" i="12"/>
  <c r="K8" i="12"/>
  <c r="L8" i="12"/>
  <c r="N8" i="12"/>
  <c r="O8" i="12"/>
  <c r="P8" i="12"/>
  <c r="Q8" i="12"/>
  <c r="R8" i="12"/>
  <c r="S8" i="12"/>
  <c r="T8" i="12"/>
  <c r="U8" i="12"/>
  <c r="W8" i="12"/>
  <c r="X8" i="12"/>
  <c r="Y8" i="12"/>
  <c r="AB8" i="12"/>
  <c r="AD8" i="12"/>
  <c r="AE8" i="12"/>
  <c r="AF8" i="12"/>
  <c r="AH8" i="12"/>
  <c r="AI8" i="12"/>
  <c r="AJ8" i="12"/>
  <c r="AK8" i="12"/>
  <c r="AL8" i="12"/>
  <c r="AM8" i="12"/>
  <c r="AN8" i="12"/>
  <c r="AO8" i="12"/>
  <c r="AQ8" i="12"/>
  <c r="AR8" i="12"/>
  <c r="AS8" i="12"/>
  <c r="AV8" i="12"/>
  <c r="AX8" i="12"/>
  <c r="AY8" i="12"/>
  <c r="AZ8" i="12"/>
  <c r="BB8" i="12"/>
  <c r="BC8" i="12"/>
  <c r="BD8" i="12"/>
  <c r="BE8" i="12"/>
  <c r="BF8" i="12"/>
  <c r="BG8" i="12"/>
  <c r="BH8" i="12"/>
  <c r="BI8" i="12"/>
  <c r="C9" i="12"/>
  <c r="D9" i="12"/>
  <c r="E9" i="12"/>
  <c r="H9" i="12"/>
  <c r="J9" i="12"/>
  <c r="K9" i="12"/>
  <c r="L9" i="12"/>
  <c r="N9" i="12"/>
  <c r="O9" i="12"/>
  <c r="P9" i="12"/>
  <c r="Q9" i="12"/>
  <c r="R9" i="12"/>
  <c r="S9" i="12"/>
  <c r="T9" i="12"/>
  <c r="U9" i="12"/>
  <c r="W9" i="12"/>
  <c r="X9" i="12"/>
  <c r="Y9" i="12"/>
  <c r="AB9" i="12"/>
  <c r="AD9" i="12"/>
  <c r="AE9" i="12"/>
  <c r="AF9" i="12"/>
  <c r="AH9" i="12"/>
  <c r="AI9" i="12"/>
  <c r="AJ9" i="12"/>
  <c r="AK9" i="12"/>
  <c r="AL9" i="12"/>
  <c r="AM9" i="12"/>
  <c r="AN9" i="12"/>
  <c r="AO9" i="12"/>
  <c r="AQ9" i="12"/>
  <c r="AR9" i="12"/>
  <c r="AS9" i="12"/>
  <c r="AV9" i="12"/>
  <c r="AX9" i="12"/>
  <c r="AY9" i="12"/>
  <c r="AZ9" i="12"/>
  <c r="BB9" i="12"/>
  <c r="BC9" i="12"/>
  <c r="BD9" i="12"/>
  <c r="BE9" i="12"/>
  <c r="BF9" i="12"/>
  <c r="BG9" i="12"/>
  <c r="BH9" i="12"/>
  <c r="BI9" i="12"/>
  <c r="C10" i="12"/>
  <c r="D10" i="12"/>
  <c r="E10" i="12"/>
  <c r="H10" i="12"/>
  <c r="J10" i="12"/>
  <c r="K10" i="12"/>
  <c r="L10" i="12"/>
  <c r="N10" i="12"/>
  <c r="O10" i="12"/>
  <c r="P10" i="12"/>
  <c r="Q10" i="12"/>
  <c r="R10" i="12"/>
  <c r="S10" i="12"/>
  <c r="T10" i="12"/>
  <c r="U10" i="12"/>
  <c r="W10" i="12"/>
  <c r="X10" i="12"/>
  <c r="Y10" i="12"/>
  <c r="AB10" i="12"/>
  <c r="AD10" i="12"/>
  <c r="AE10" i="12"/>
  <c r="AF10" i="12"/>
  <c r="AH10" i="12"/>
  <c r="AI10" i="12"/>
  <c r="AJ10" i="12"/>
  <c r="AK10" i="12"/>
  <c r="AL10" i="12"/>
  <c r="AM10" i="12"/>
  <c r="AN10" i="12"/>
  <c r="AO10" i="12"/>
  <c r="AQ10" i="12"/>
  <c r="AR10" i="12"/>
  <c r="AS10" i="12"/>
  <c r="AV10" i="12"/>
  <c r="AX10" i="12"/>
  <c r="AY10" i="12"/>
  <c r="AZ10" i="12"/>
  <c r="BB10" i="12"/>
  <c r="BC10" i="12"/>
  <c r="BD10" i="12"/>
  <c r="BE10" i="12"/>
  <c r="BF10" i="12"/>
  <c r="BG10" i="12"/>
  <c r="BH10" i="12"/>
  <c r="BI10" i="12"/>
  <c r="C11" i="12"/>
  <c r="D11" i="12"/>
  <c r="E11" i="12"/>
  <c r="H11" i="12"/>
  <c r="J11" i="12"/>
  <c r="K11" i="12"/>
  <c r="L11" i="12"/>
  <c r="N11" i="12"/>
  <c r="O11" i="12"/>
  <c r="P11" i="12"/>
  <c r="Q11" i="12"/>
  <c r="R11" i="12"/>
  <c r="S11" i="12"/>
  <c r="T11" i="12"/>
  <c r="U11" i="12"/>
  <c r="W11" i="12"/>
  <c r="X11" i="12"/>
  <c r="Y11" i="12"/>
  <c r="AB11" i="12"/>
  <c r="AD11" i="12"/>
  <c r="AE11" i="12"/>
  <c r="AF11" i="12"/>
  <c r="AH11" i="12"/>
  <c r="AI11" i="12"/>
  <c r="AJ11" i="12"/>
  <c r="AK11" i="12"/>
  <c r="AL11" i="12"/>
  <c r="AM11" i="12"/>
  <c r="AN11" i="12"/>
  <c r="AO11" i="12"/>
  <c r="AQ11" i="12"/>
  <c r="AR11" i="12"/>
  <c r="AS11" i="12"/>
  <c r="AV11" i="12"/>
  <c r="AX11" i="12"/>
  <c r="AY11" i="12"/>
  <c r="AZ11" i="12"/>
  <c r="BB11" i="12"/>
  <c r="BC11" i="12"/>
  <c r="BD11" i="12"/>
  <c r="BE11" i="12"/>
  <c r="BF11" i="12"/>
  <c r="BG11" i="12"/>
  <c r="BH11" i="12"/>
  <c r="BI11" i="12"/>
  <c r="C12" i="12"/>
  <c r="D12" i="12"/>
  <c r="E12" i="12"/>
  <c r="H12" i="12"/>
  <c r="J12" i="12"/>
  <c r="K12" i="12"/>
  <c r="L12" i="12"/>
  <c r="N12" i="12"/>
  <c r="O12" i="12"/>
  <c r="P12" i="12"/>
  <c r="Q12" i="12"/>
  <c r="R12" i="12"/>
  <c r="S12" i="12"/>
  <c r="T12" i="12"/>
  <c r="U12" i="12"/>
  <c r="W12" i="12"/>
  <c r="X12" i="12"/>
  <c r="Y12" i="12"/>
  <c r="AB12" i="12"/>
  <c r="AD12" i="12"/>
  <c r="AE12" i="12"/>
  <c r="AF12" i="12"/>
  <c r="AH12" i="12"/>
  <c r="AI12" i="12"/>
  <c r="AJ12" i="12"/>
  <c r="AK12" i="12"/>
  <c r="AL12" i="12"/>
  <c r="AM12" i="12"/>
  <c r="AN12" i="12"/>
  <c r="AO12" i="12"/>
  <c r="AQ12" i="12"/>
  <c r="AR12" i="12"/>
  <c r="AS12" i="12"/>
  <c r="AV12" i="12"/>
  <c r="AX12" i="12"/>
  <c r="AY12" i="12"/>
  <c r="AZ12" i="12"/>
  <c r="BB12" i="12"/>
  <c r="BC12" i="12"/>
  <c r="BD12" i="12"/>
  <c r="BE12" i="12"/>
  <c r="BF12" i="12"/>
  <c r="BG12" i="12"/>
  <c r="BH12" i="12"/>
  <c r="BI12" i="12"/>
  <c r="C13" i="12"/>
  <c r="D13" i="12"/>
  <c r="E13" i="12"/>
  <c r="H13" i="12"/>
  <c r="J13" i="12"/>
  <c r="K13" i="12"/>
  <c r="L13" i="12"/>
  <c r="N13" i="12"/>
  <c r="O13" i="12"/>
  <c r="P13" i="12"/>
  <c r="Q13" i="12"/>
  <c r="R13" i="12"/>
  <c r="S13" i="12"/>
  <c r="T13" i="12"/>
  <c r="U13" i="12"/>
  <c r="W13" i="12"/>
  <c r="X13" i="12"/>
  <c r="Y13" i="12"/>
  <c r="AB13" i="12"/>
  <c r="AD13" i="12"/>
  <c r="AE13" i="12"/>
  <c r="AF13" i="12"/>
  <c r="AH13" i="12"/>
  <c r="AI13" i="12"/>
  <c r="AJ13" i="12"/>
  <c r="AK13" i="12"/>
  <c r="AL13" i="12"/>
  <c r="AM13" i="12"/>
  <c r="AN13" i="12"/>
  <c r="AO13" i="12"/>
  <c r="AQ13" i="12"/>
  <c r="AR13" i="12"/>
  <c r="AS13" i="12"/>
  <c r="AV13" i="12"/>
  <c r="AX13" i="12"/>
  <c r="AY13" i="12"/>
  <c r="AZ13" i="12"/>
  <c r="BB13" i="12"/>
  <c r="BC13" i="12"/>
  <c r="BD13" i="12"/>
  <c r="BE13" i="12"/>
  <c r="BF13" i="12"/>
  <c r="BG13" i="12"/>
  <c r="BH13" i="12"/>
  <c r="BI13" i="12"/>
  <c r="C15" i="12"/>
  <c r="D15" i="12"/>
  <c r="E15" i="12"/>
  <c r="H15" i="12"/>
  <c r="J15" i="12"/>
  <c r="K15" i="12"/>
  <c r="L15" i="12"/>
  <c r="N15" i="12"/>
  <c r="O15" i="12"/>
  <c r="P15" i="12"/>
  <c r="Q15" i="12"/>
  <c r="R15" i="12"/>
  <c r="S15" i="12"/>
  <c r="T15" i="12"/>
  <c r="U15" i="12"/>
  <c r="W15" i="12"/>
  <c r="X15" i="12"/>
  <c r="Y15" i="12"/>
  <c r="AB15" i="12"/>
  <c r="AD15" i="12"/>
  <c r="AE15" i="12"/>
  <c r="AF15" i="12"/>
  <c r="AH15" i="12"/>
  <c r="AI15" i="12"/>
  <c r="AJ15" i="12"/>
  <c r="AK15" i="12"/>
  <c r="AL15" i="12"/>
  <c r="AM15" i="12"/>
  <c r="AN15" i="12"/>
  <c r="AO15" i="12"/>
  <c r="AQ15" i="12"/>
  <c r="AR15" i="12"/>
  <c r="AS15" i="12"/>
  <c r="AV15" i="12"/>
  <c r="AX15" i="12"/>
  <c r="AY15" i="12"/>
  <c r="AZ15" i="12"/>
  <c r="BB15" i="12"/>
  <c r="BC15" i="12"/>
  <c r="BD15" i="12"/>
  <c r="BE15" i="12"/>
  <c r="BF15" i="12"/>
  <c r="BG15" i="12"/>
  <c r="BH15" i="12"/>
  <c r="BI15" i="12"/>
  <c r="C16" i="12"/>
  <c r="D16" i="12"/>
  <c r="E16" i="12"/>
  <c r="H16" i="12"/>
  <c r="J16" i="12"/>
  <c r="K16" i="12"/>
  <c r="L16" i="12"/>
  <c r="N16" i="12"/>
  <c r="O16" i="12"/>
  <c r="P16" i="12"/>
  <c r="Q16" i="12"/>
  <c r="R16" i="12"/>
  <c r="S16" i="12"/>
  <c r="T16" i="12"/>
  <c r="U16" i="12"/>
  <c r="W16" i="12"/>
  <c r="X16" i="12"/>
  <c r="Y16" i="12"/>
  <c r="AB16" i="12"/>
  <c r="AD16" i="12"/>
  <c r="AE16" i="12"/>
  <c r="AF16" i="12"/>
  <c r="AH16" i="12"/>
  <c r="AI16" i="12"/>
  <c r="AJ16" i="12"/>
  <c r="AK16" i="12"/>
  <c r="AL16" i="12"/>
  <c r="AM16" i="12"/>
  <c r="AN16" i="12"/>
  <c r="AO16" i="12"/>
  <c r="AQ16" i="12"/>
  <c r="AR16" i="12"/>
  <c r="AS16" i="12"/>
  <c r="AV16" i="12"/>
  <c r="AX16" i="12"/>
  <c r="AY16" i="12"/>
  <c r="AZ16" i="12"/>
  <c r="BB16" i="12"/>
  <c r="BC16" i="12"/>
  <c r="BD16" i="12"/>
  <c r="BE16" i="12"/>
  <c r="BF16" i="12"/>
  <c r="BG16" i="12"/>
  <c r="BH16" i="12"/>
  <c r="BI16" i="12"/>
  <c r="C17" i="12"/>
  <c r="D17" i="12"/>
  <c r="E17" i="12"/>
  <c r="H17" i="12"/>
  <c r="J17" i="12"/>
  <c r="K17" i="12"/>
  <c r="L17" i="12"/>
  <c r="N17" i="12"/>
  <c r="O17" i="12"/>
  <c r="P17" i="12"/>
  <c r="Q17" i="12"/>
  <c r="R17" i="12"/>
  <c r="S17" i="12"/>
  <c r="T17" i="12"/>
  <c r="U17" i="12"/>
  <c r="W17" i="12"/>
  <c r="X17" i="12"/>
  <c r="Y17" i="12"/>
  <c r="AB17" i="12"/>
  <c r="AD17" i="12"/>
  <c r="AE17" i="12"/>
  <c r="AF17" i="12"/>
  <c r="AH17" i="12"/>
  <c r="AI17" i="12"/>
  <c r="AJ17" i="12"/>
  <c r="AK17" i="12"/>
  <c r="AL17" i="12"/>
  <c r="AM17" i="12"/>
  <c r="AN17" i="12"/>
  <c r="AO17" i="12"/>
  <c r="AQ17" i="12"/>
  <c r="AR17" i="12"/>
  <c r="AS17" i="12"/>
  <c r="AV17" i="12"/>
  <c r="AX17" i="12"/>
  <c r="AY17" i="12"/>
  <c r="AZ17" i="12"/>
  <c r="BB17" i="12"/>
  <c r="BC17" i="12"/>
  <c r="BD17" i="12"/>
  <c r="BE17" i="12"/>
  <c r="BF17" i="12"/>
  <c r="BG17" i="12"/>
  <c r="BH17" i="12"/>
  <c r="BI17" i="12"/>
  <c r="C18" i="12"/>
  <c r="D18" i="12"/>
  <c r="E18" i="12"/>
  <c r="H18" i="12"/>
  <c r="J18" i="12"/>
  <c r="K18" i="12"/>
  <c r="L18" i="12"/>
  <c r="N18" i="12"/>
  <c r="O18" i="12"/>
  <c r="P18" i="12"/>
  <c r="Q18" i="12"/>
  <c r="R18" i="12"/>
  <c r="S18" i="12"/>
  <c r="T18" i="12"/>
  <c r="U18" i="12"/>
  <c r="W18" i="12"/>
  <c r="X18" i="12"/>
  <c r="Y18" i="12"/>
  <c r="AB18" i="12"/>
  <c r="AD18" i="12"/>
  <c r="AE18" i="12"/>
  <c r="AF18" i="12"/>
  <c r="AH18" i="12"/>
  <c r="AI18" i="12"/>
  <c r="AJ18" i="12"/>
  <c r="AK18" i="12"/>
  <c r="AL18" i="12"/>
  <c r="AM18" i="12"/>
  <c r="AN18" i="12"/>
  <c r="AO18" i="12"/>
  <c r="AQ18" i="12"/>
  <c r="AR18" i="12"/>
  <c r="AS18" i="12"/>
  <c r="AV18" i="12"/>
  <c r="AX18" i="12"/>
  <c r="AY18" i="12"/>
  <c r="AZ18" i="12"/>
  <c r="BB18" i="12"/>
  <c r="BC18" i="12"/>
  <c r="BD18" i="12"/>
  <c r="BE18" i="12"/>
  <c r="BF18" i="12"/>
  <c r="BG18" i="12"/>
  <c r="BH18" i="12"/>
  <c r="BI18" i="12"/>
  <c r="C19" i="12"/>
  <c r="D19" i="12"/>
  <c r="E19" i="12"/>
  <c r="H19" i="12"/>
  <c r="J19" i="12"/>
  <c r="K19" i="12"/>
  <c r="L19" i="12"/>
  <c r="N19" i="12"/>
  <c r="O19" i="12"/>
  <c r="P19" i="12"/>
  <c r="Q19" i="12"/>
  <c r="R19" i="12"/>
  <c r="S19" i="12"/>
  <c r="T19" i="12"/>
  <c r="U19" i="12"/>
  <c r="W19" i="12"/>
  <c r="X19" i="12"/>
  <c r="Y19" i="12"/>
  <c r="AB19" i="12"/>
  <c r="AD19" i="12"/>
  <c r="AE19" i="12"/>
  <c r="AF19" i="12"/>
  <c r="AH19" i="12"/>
  <c r="AI19" i="12"/>
  <c r="AJ19" i="12"/>
  <c r="AK19" i="12"/>
  <c r="AL19" i="12"/>
  <c r="AM19" i="12"/>
  <c r="AN19" i="12"/>
  <c r="AO19" i="12"/>
  <c r="AQ19" i="12"/>
  <c r="AR19" i="12"/>
  <c r="AS19" i="12"/>
  <c r="AV19" i="12"/>
  <c r="AX19" i="12"/>
  <c r="AY19" i="12"/>
  <c r="AZ19" i="12"/>
  <c r="BB19" i="12"/>
  <c r="BC19" i="12"/>
  <c r="BD19" i="12"/>
  <c r="BE19" i="12"/>
  <c r="BF19" i="12"/>
  <c r="BG19" i="12"/>
  <c r="BH19" i="12"/>
  <c r="BI19" i="12"/>
  <c r="C20" i="12"/>
  <c r="D20" i="12"/>
  <c r="E20" i="12"/>
  <c r="H20" i="12"/>
  <c r="J20" i="12"/>
  <c r="K20" i="12"/>
  <c r="L20" i="12"/>
  <c r="N20" i="12"/>
  <c r="O20" i="12"/>
  <c r="P20" i="12"/>
  <c r="Q20" i="12"/>
  <c r="R20" i="12"/>
  <c r="S20" i="12"/>
  <c r="T20" i="12"/>
  <c r="U20" i="12"/>
  <c r="W20" i="12"/>
  <c r="X20" i="12"/>
  <c r="Y20" i="12"/>
  <c r="AB20" i="12"/>
  <c r="AD20" i="12"/>
  <c r="AE20" i="12"/>
  <c r="AF20" i="12"/>
  <c r="AH20" i="12"/>
  <c r="AI20" i="12"/>
  <c r="AJ20" i="12"/>
  <c r="AK20" i="12"/>
  <c r="AL20" i="12"/>
  <c r="AM20" i="12"/>
  <c r="AN20" i="12"/>
  <c r="AO20" i="12"/>
  <c r="AQ20" i="12"/>
  <c r="AR20" i="12"/>
  <c r="AS20" i="12"/>
  <c r="AV20" i="12"/>
  <c r="AX20" i="12"/>
  <c r="AY20" i="12"/>
  <c r="AZ20" i="12"/>
  <c r="BB20" i="12"/>
  <c r="BC20" i="12"/>
  <c r="BD20" i="12"/>
  <c r="BE20" i="12"/>
  <c r="BF20" i="12"/>
  <c r="BG20" i="12"/>
  <c r="BH20" i="12"/>
  <c r="BI20" i="12"/>
  <c r="C21" i="12"/>
  <c r="D21" i="12"/>
  <c r="E21" i="12"/>
  <c r="H21" i="12"/>
  <c r="J21" i="12"/>
  <c r="K21" i="12"/>
  <c r="L21" i="12"/>
  <c r="N21" i="12"/>
  <c r="O21" i="12"/>
  <c r="P21" i="12"/>
  <c r="Q21" i="12"/>
  <c r="R21" i="12"/>
  <c r="S21" i="12"/>
  <c r="T21" i="12"/>
  <c r="U21" i="12"/>
  <c r="W21" i="12"/>
  <c r="X21" i="12"/>
  <c r="Y21" i="12"/>
  <c r="AB21" i="12"/>
  <c r="AD21" i="12"/>
  <c r="AE21" i="12"/>
  <c r="AF21" i="12"/>
  <c r="AH21" i="12"/>
  <c r="AI21" i="12"/>
  <c r="AJ21" i="12"/>
  <c r="AK21" i="12"/>
  <c r="AL21" i="12"/>
  <c r="AM21" i="12"/>
  <c r="AN21" i="12"/>
  <c r="AO21" i="12"/>
  <c r="AQ21" i="12"/>
  <c r="AR21" i="12"/>
  <c r="AS21" i="12"/>
  <c r="AV21" i="12"/>
  <c r="AX21" i="12"/>
  <c r="AY21" i="12"/>
  <c r="AZ21" i="12"/>
  <c r="BB21" i="12"/>
  <c r="BC21" i="12"/>
  <c r="BD21" i="12"/>
  <c r="BE21" i="12"/>
  <c r="BF21" i="12"/>
  <c r="BG21" i="12"/>
  <c r="BH21" i="12"/>
  <c r="BI21" i="12"/>
  <c r="C22" i="12"/>
  <c r="D22" i="12"/>
  <c r="E22" i="12"/>
  <c r="H22" i="12"/>
  <c r="J22" i="12"/>
  <c r="K22" i="12"/>
  <c r="L22" i="12"/>
  <c r="N22" i="12"/>
  <c r="O22" i="12"/>
  <c r="P22" i="12"/>
  <c r="Q22" i="12"/>
  <c r="R22" i="12"/>
  <c r="S22" i="12"/>
  <c r="T22" i="12"/>
  <c r="U22" i="12"/>
  <c r="W22" i="12"/>
  <c r="X22" i="12"/>
  <c r="Y22" i="12"/>
  <c r="AB22" i="12"/>
  <c r="AD22" i="12"/>
  <c r="AE22" i="12"/>
  <c r="AF22" i="12"/>
  <c r="AH22" i="12"/>
  <c r="AI22" i="12"/>
  <c r="AJ22" i="12"/>
  <c r="AK22" i="12"/>
  <c r="AL22" i="12"/>
  <c r="AM22" i="12"/>
  <c r="AN22" i="12"/>
  <c r="AO22" i="12"/>
  <c r="AQ22" i="12"/>
  <c r="AR22" i="12"/>
  <c r="AS22" i="12"/>
  <c r="AV22" i="12"/>
  <c r="AX22" i="12"/>
  <c r="AY22" i="12"/>
  <c r="AZ22" i="12"/>
  <c r="BB22" i="12"/>
  <c r="BC22" i="12"/>
  <c r="BD22" i="12"/>
  <c r="BE22" i="12"/>
  <c r="BF22" i="12"/>
  <c r="BG22" i="12"/>
  <c r="BH22" i="12"/>
  <c r="BI22" i="12"/>
  <c r="C23" i="12"/>
  <c r="D23" i="12"/>
  <c r="E23" i="12"/>
  <c r="H23" i="12"/>
  <c r="J23" i="12"/>
  <c r="K23" i="12"/>
  <c r="L23" i="12"/>
  <c r="N23" i="12"/>
  <c r="O23" i="12"/>
  <c r="P23" i="12"/>
  <c r="Q23" i="12"/>
  <c r="R23" i="12"/>
  <c r="S23" i="12"/>
  <c r="T23" i="12"/>
  <c r="U23" i="12"/>
  <c r="W23" i="12"/>
  <c r="X23" i="12"/>
  <c r="Y23" i="12"/>
  <c r="AB23" i="12"/>
  <c r="AD23" i="12"/>
  <c r="AE23" i="12"/>
  <c r="AF23" i="12"/>
  <c r="AH23" i="12"/>
  <c r="AI23" i="12"/>
  <c r="AJ23" i="12"/>
  <c r="AK23" i="12"/>
  <c r="AL23" i="12"/>
  <c r="AM23" i="12"/>
  <c r="AN23" i="12"/>
  <c r="AO23" i="12"/>
  <c r="AQ23" i="12"/>
  <c r="AR23" i="12"/>
  <c r="AS23" i="12"/>
  <c r="AV23" i="12"/>
  <c r="AX23" i="12"/>
  <c r="AY23" i="12"/>
  <c r="AZ23" i="12"/>
  <c r="BB23" i="12"/>
  <c r="BC23" i="12"/>
  <c r="BD23" i="12"/>
  <c r="BE23" i="12"/>
  <c r="BF23" i="12"/>
  <c r="BG23" i="12"/>
  <c r="BH23" i="12"/>
  <c r="BI23" i="12"/>
  <c r="C24" i="12"/>
  <c r="D24" i="12"/>
  <c r="E24" i="12"/>
  <c r="H24" i="12"/>
  <c r="J24" i="12"/>
  <c r="K24" i="12"/>
  <c r="L24" i="12"/>
  <c r="N24" i="12"/>
  <c r="O24" i="12"/>
  <c r="P24" i="12"/>
  <c r="Q24" i="12"/>
  <c r="R24" i="12"/>
  <c r="S24" i="12"/>
  <c r="T24" i="12"/>
  <c r="U24" i="12"/>
  <c r="W24" i="12"/>
  <c r="X24" i="12"/>
  <c r="Y24" i="12"/>
  <c r="AB24" i="12"/>
  <c r="AD24" i="12"/>
  <c r="AE24" i="12"/>
  <c r="AF24" i="12"/>
  <c r="AH24" i="12"/>
  <c r="AI24" i="12"/>
  <c r="AJ24" i="12"/>
  <c r="AK24" i="12"/>
  <c r="AL24" i="12"/>
  <c r="AM24" i="12"/>
  <c r="AN24" i="12"/>
  <c r="AO24" i="12"/>
  <c r="AQ24" i="12"/>
  <c r="AR24" i="12"/>
  <c r="AS24" i="12"/>
  <c r="AV24" i="12"/>
  <c r="AX24" i="12"/>
  <c r="AY24" i="12"/>
  <c r="AZ24" i="12"/>
  <c r="BB24" i="12"/>
  <c r="BC24" i="12"/>
  <c r="BD24" i="12"/>
  <c r="BE24" i="12"/>
  <c r="BF24" i="12"/>
  <c r="BG24" i="12"/>
  <c r="BH24" i="12"/>
  <c r="BI24" i="12"/>
</calcChain>
</file>

<file path=xl/sharedStrings.xml><?xml version="1.0" encoding="utf-8"?>
<sst xmlns="http://schemas.openxmlformats.org/spreadsheetml/2006/main" count="762" uniqueCount="354">
  <si>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</si>
  <si>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</si>
  <si>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</si>
  <si>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</si>
  <si>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</si>
  <si>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</si>
  <si>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</si>
  <si>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</si>
  <si>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</si>
  <si>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</si>
  <si>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</si>
  <si>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</si>
  <si>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</si>
  <si>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</si>
  <si>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</si>
  <si>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</si>
  <si>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</si>
  <si>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</si>
  <si>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</si>
  <si>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</si>
  <si>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</si>
  <si>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</si>
  <si>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Qg_FET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</si>
  <si>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</si>
  <si>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</si>
  <si>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</si>
  <si>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</si>
  <si>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</si>
  <si>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</si>
  <si>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</si>
  <si>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</si>
  <si>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</si>
  <si>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</si>
  <si>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</si>
  <si>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</si>
  <si>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</si>
  <si>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</si>
  <si>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</si>
  <si>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</si>
  <si>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</si>
  <si>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</si>
  <si>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</si>
  <si>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 xml:space="preserve">Lo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</si>
  <si>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</si>
  <si>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</si>
  <si>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</si>
  <si>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</si>
  <si>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</si>
  <si>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</si>
  <si>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</si>
  <si>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</si>
  <si>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</si>
  <si>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</si>
  <si>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</si>
  <si>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</si>
  <si>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</si>
  <si>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</si>
  <si>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</si>
  <si>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</si>
  <si>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</si>
  <si>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SS_release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</si>
  <si>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</si>
  <si>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</si>
  <si>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</si>
  <si>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</si>
  <si>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</si>
  <si>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</si>
  <si>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</si>
  <si>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</si>
  <si>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</si>
  <si>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</si>
  <si>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</si>
  <si>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</si>
  <si>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</si>
  <si>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</si>
  <si>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</si>
  <si>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</si>
  <si>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</si>
  <si>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</si>
  <si>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</si>
  <si>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</si>
  <si>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</si>
  <si>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</si>
  <si>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</si>
  <si>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</si>
  <si>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</si>
  <si>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</si>
  <si>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</si>
  <si>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</si>
  <si>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</si>
  <si>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</si>
  <si>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output voltage</t>
  </si>
  <si>
    <t>Desired maximum output current</t>
  </si>
  <si>
    <t>Choose a standard resister value, or combination of values</t>
  </si>
  <si>
    <t>Iout</t>
  </si>
  <si>
    <t>Pin</t>
  </si>
  <si>
    <t>Psw</t>
  </si>
  <si>
    <t>Pcond</t>
  </si>
  <si>
    <t>Ptotal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</si>
  <si>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</si>
  <si>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</si>
  <si>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t>RDSon @ 25C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</si>
  <si>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</si>
  <si>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</si>
  <si>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</si>
  <si>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</si>
  <si>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</si>
  <si>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</si>
  <si>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</si>
  <si>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</si>
  <si>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</si>
  <si>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</si>
  <si>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</si>
  <si>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RDSon</t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</si>
  <si>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</si>
  <si>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</si>
  <si>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</si>
  <si>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</si>
  <si>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</si>
  <si>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</si>
  <si>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</si>
  <si>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</si>
  <si>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</si>
  <si>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</si>
  <si>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</si>
  <si>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</si>
  <si>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</si>
  <si>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</si>
  <si>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</si>
  <si>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</si>
  <si>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</si>
  <si>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</si>
  <si>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</si>
  <si>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</si>
  <si>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</si>
  <si>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</si>
  <si>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</si>
  <si>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</si>
  <si>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Input Capacitor Requirements:</t>
  </si>
  <si>
    <t xml:space="preserve"> Soft Start Capacitor and Timing: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</si>
  <si>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</si>
  <si>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</si>
  <si>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</si>
  <si>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</si>
  <si>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</si>
  <si>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</si>
  <si>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</si>
  <si>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</si>
  <si>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</si>
  <si>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</si>
  <si>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</si>
  <si>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</si>
  <si>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</si>
  <si>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</si>
  <si>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</si>
  <si>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</si>
  <si>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</si>
  <si>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</si>
  <si>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</si>
  <si>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</si>
  <si>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</si>
  <si>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</si>
  <si>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</si>
  <si>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</si>
  <si>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</si>
  <si>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</si>
  <si>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</si>
  <si>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</si>
  <si>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</si>
  <si>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</si>
  <si>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 xml:space="preserve"> Typical &amp; Worst Case Output Voltage Calculations:</t>
  </si>
  <si>
    <t>These values are all derived from the data sheet or lab measurements.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</si>
  <si>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GS</t>
    </r>
  </si>
  <si>
    <t>Measured value, see LX curve to the right</t>
  </si>
  <si>
    <t>The asynchronous diode must be rated to support at least this much current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</si>
  <si>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</si>
  <si>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t xml:space="preserve"> Asynchronous Diode Requirement:</t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</si>
  <si>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</si>
  <si>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</si>
  <si>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</si>
  <si>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</si>
  <si>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t>I</t>
    </r>
    <r>
      <rPr>
        <b/>
        <vertAlign val="subscript"/>
        <sz val="11"/>
        <color rgb="FF0000FF"/>
        <rFont val="Calibri"/>
        <family val="2"/>
        <scheme val="minor"/>
      </rPr>
      <t>F,RMS</t>
    </r>
  </si>
  <si>
    <r>
      <t>A</t>
    </r>
    <r>
      <rPr>
        <b/>
        <vertAlign val="subscript"/>
        <sz val="11"/>
        <color rgb="FF0000FF"/>
        <rFont val="Calibri"/>
        <family val="2"/>
        <scheme val="minor"/>
      </rPr>
      <t>RMS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</si>
  <si>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</si>
  <si>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</si>
  <si>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</si>
  <si>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</si>
  <si>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</si>
  <si>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</si>
  <si>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</si>
  <si>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</si>
  <si>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</si>
  <si>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</si>
  <si>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</si>
  <si>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Enter the output inductor's DCR, default is 35m</t>
    </r>
    <r>
      <rPr>
        <sz val="11"/>
        <rFont val="Calibri"/>
        <family val="2"/>
      </rPr>
      <t>Ω if left blank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</si>
  <si>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</si>
  <si>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</si>
  <si>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</si>
  <si>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</si>
  <si>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</si>
  <si>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</si>
  <si>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</si>
  <si>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</si>
  <si>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</si>
  <si>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</si>
  <si>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</si>
  <si>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</si>
  <si>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</si>
  <si>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</si>
  <si>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</si>
  <si>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</si>
  <si>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</si>
  <si>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</si>
  <si>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</si>
  <si>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</si>
  <si>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</si>
  <si>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</si>
  <si>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</si>
  <si>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</si>
  <si>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</si>
  <si>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</si>
  <si>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</si>
  <si>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</si>
  <si>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VF</t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</si>
  <si>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</si>
  <si>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</si>
  <si>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</si>
  <si>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</si>
  <si>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A   |   VF</t>
  </si>
  <si>
    <t>mV/°C</t>
  </si>
  <si>
    <t>EFF</t>
  </si>
  <si>
    <t>VF1</t>
  </si>
  <si>
    <t>VF2</t>
  </si>
  <si>
    <t>VF3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</si>
  <si>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</si>
  <si>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</si>
  <si>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t>System Duty Cycle</t>
  </si>
  <si>
    <t>Range of system duty-cycles given Vin, Vout, Iout, VF, etc</t>
  </si>
  <si>
    <t>DIODE (D1) CHARACTERIZATION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</si>
  <si>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</si>
  <si>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</si>
  <si>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D1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</si>
  <si>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</si>
  <si>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</si>
  <si>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</si>
  <si>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t>Value from the data sheet for D1: VF at 200mA</t>
  </si>
  <si>
    <t>Value from the data sheet for D1: VF at 2A</t>
  </si>
  <si>
    <t>Value from the data sheet for D1: VF at 4A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</si>
  <si>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</si>
  <si>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</si>
  <si>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</si>
  <si>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</si>
  <si>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</si>
  <si>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</si>
  <si>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r>
      <t>Maximum SYNC frequency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based on Fsw, Duty Cycle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>, and t</t>
    </r>
    <r>
      <rPr>
        <vertAlign val="subscript"/>
        <sz val="11"/>
        <color theme="1"/>
        <rFont val="Calibri"/>
        <family val="2"/>
        <scheme val="minor"/>
      </rPr>
      <t>ON,TYP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</si>
  <si>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</si>
  <si>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</si>
  <si>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</si>
  <si>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</si>
  <si>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</si>
  <si>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</si>
  <si>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</si>
  <si>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</si>
  <si>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</si>
  <si>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</si>
  <si>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</si>
  <si>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t>Vout during dropout calculated with the typical OFF time</t>
  </si>
  <si>
    <t>Vout during dropout calculated with the worst case maximum OFF time</t>
  </si>
  <si>
    <r>
      <t>TJ</t>
    </r>
    <r>
      <rPr>
        <b/>
        <vertAlign val="subscript"/>
        <sz val="10"/>
        <rFont val="Arial"/>
        <family val="2"/>
      </rPr>
      <t>D1</t>
    </r>
  </si>
  <si>
    <r>
      <t>TJ</t>
    </r>
    <r>
      <rPr>
        <b/>
        <vertAlign val="subscript"/>
        <sz val="10"/>
        <rFont val="Arial"/>
        <family val="2"/>
      </rPr>
      <t>IC</t>
    </r>
  </si>
  <si>
    <t>Estimated value from the data sheet for D1</t>
  </si>
  <si>
    <t>VF, Temp. Coeff.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</si>
  <si>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AVG</t>
    </r>
  </si>
  <si>
    <t>Value from the data sheet for D1 (average of min/max)</t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</si>
  <si>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</si>
  <si>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</si>
  <si>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</si>
  <si>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</si>
  <si>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</si>
  <si>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t>Data sheet values, 0C to 85C</t>
  </si>
  <si>
    <t>Minimum</t>
  </si>
  <si>
    <t>Maximum</t>
  </si>
  <si>
    <t xml:space="preserve">CFB (min, max) = </t>
  </si>
  <si>
    <t>Estimated typical output voltage ripple in PWM mode</t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</si>
  <si>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(PWM)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</si>
  <si>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</si>
  <si>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ON,MAX</t>
    </r>
    <r>
      <rPr>
        <b/>
        <sz val="11"/>
        <color theme="1"/>
        <rFont val="Calibri"/>
        <family val="2"/>
        <scheme val="minor"/>
      </rPr>
      <t>_PFM</t>
    </r>
  </si>
  <si>
    <t>µs</t>
  </si>
  <si>
    <r>
      <t>PFM t</t>
    </r>
    <r>
      <rPr>
        <b/>
        <vertAlign val="subscript"/>
        <sz val="14"/>
        <color theme="1"/>
        <rFont val="Calibri"/>
        <family val="2"/>
        <scheme val="minor"/>
      </rPr>
      <t>ON</t>
    </r>
    <r>
      <rPr>
        <b/>
        <sz val="14"/>
        <color theme="1"/>
        <rFont val="Calibri"/>
        <family val="2"/>
        <scheme val="minor"/>
      </rPr>
      <t>/t</t>
    </r>
    <r>
      <rPr>
        <b/>
        <vertAlign val="subscript"/>
        <sz val="14"/>
        <color theme="1"/>
        <rFont val="Calibri"/>
        <family val="2"/>
        <scheme val="minor"/>
      </rPr>
      <t>OFF</t>
    </r>
    <r>
      <rPr>
        <b/>
        <sz val="14"/>
        <color theme="1"/>
        <rFont val="Calibri"/>
        <family val="2"/>
        <scheme val="minor"/>
      </rPr>
      <t xml:space="preserve"> Calculations</t>
    </r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</si>
  <si>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</si>
  <si>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>PFM</t>
    </r>
    <r>
      <rPr>
        <vertAlign val="subscript"/>
        <sz val="11"/>
        <color theme="1"/>
        <rFont val="Calibri"/>
        <family val="2"/>
        <scheme val="minor"/>
      </rPr>
      <t>TEMP</t>
    </r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</si>
  <si>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</si>
  <si>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+ t</t>
    </r>
    <r>
      <rPr>
        <vertAlign val="subscript"/>
        <sz val="11"/>
        <color theme="1"/>
        <rFont val="Calibri"/>
        <family val="2"/>
        <scheme val="minor"/>
      </rPr>
      <t>OFF</t>
    </r>
  </si>
  <si>
    <r>
      <t>V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@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&amp;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</si>
  <si>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RDS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</si>
  <si>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1"/>
        <color theme="1"/>
        <rFont val="Calibri"/>
        <family val="2"/>
        <scheme val="minor"/>
      </rPr>
      <t>DCR</t>
    </r>
    <r>
      <rPr>
        <sz val="11"/>
        <color theme="1"/>
        <rFont val="Calibri"/>
        <family val="2"/>
        <scheme val="minor"/>
      </rPr>
      <t xml:space="preserve"> @ PFM</t>
    </r>
    <r>
      <rPr>
        <vertAlign val="subscript"/>
        <sz val="11"/>
        <color theme="1"/>
        <rFont val="Calibri"/>
        <family val="2"/>
        <scheme val="minor"/>
      </rPr>
      <t>TEMP</t>
    </r>
    <r>
      <rPr>
        <sz val="11"/>
        <color theme="1"/>
        <rFont val="Calibri"/>
        <family val="2"/>
        <scheme val="minor"/>
      </rPr>
      <t xml:space="preserve"> =</t>
    </r>
  </si>
  <si>
    <r>
      <t>t</t>
    </r>
    <r>
      <rPr>
        <vertAlign val="subscript"/>
        <sz val="11"/>
        <color theme="1"/>
        <rFont val="Calibri"/>
        <family val="2"/>
        <scheme val="minor"/>
      </rPr>
      <t>ON</t>
    </r>
    <r>
      <rPr>
        <sz val="11"/>
        <color theme="1"/>
        <rFont val="Calibri"/>
        <family val="2"/>
        <scheme val="minor"/>
      </rPr>
      <t xml:space="preserve"> (typ | max)</t>
    </r>
  </si>
  <si>
    <r>
      <t>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 (typ | max)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</si>
  <si>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TYP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</si>
  <si>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ΔV</t>
    </r>
    <r>
      <rPr>
        <b/>
        <sz val="11"/>
        <color theme="1"/>
        <rFont val="Calibri"/>
        <family val="2"/>
        <scheme val="minor"/>
      </rPr>
      <t>out (PFM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>)</t>
    </r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</si>
  <si>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</si>
  <si>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Data sheet values;</t>
  </si>
  <si>
    <t>Estimated number of 10uF/16V/X7R/1206 output capacitors for load transient</t>
  </si>
  <si>
    <r>
      <t>Transient load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.  Recommend about 50%.</t>
    </r>
  </si>
  <si>
    <t xml:space="preserve"> Error Amplifier Compensation Components:</t>
  </si>
  <si>
    <t>Recommended maximum 0dB crossover frequency</t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</si>
  <si>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</si>
  <si>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</si>
  <si>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r>
      <t xml:space="preserve"> Output Capacitance (Co) and Output Voltage Ripple (</t>
    </r>
    <r>
      <rPr>
        <b/>
        <sz val="12"/>
        <color theme="1"/>
        <rFont val="Calibri"/>
        <family val="2"/>
      </rPr>
      <t>Δ</t>
    </r>
    <r>
      <rPr>
        <b/>
        <i/>
        <sz val="12"/>
        <color theme="1"/>
        <rFont val="Calibri"/>
        <family val="2"/>
        <scheme val="minor"/>
      </rPr>
      <t>Vout):</t>
    </r>
  </si>
  <si>
    <t>Recommended HF compensation capacitor</t>
  </si>
  <si>
    <t>Cz (min, max)</t>
  </si>
  <si>
    <t>Recommended range for the compensation capacitor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</si>
  <si>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</si>
  <si>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t>Recommended compensation resister to achieve chosen fc</t>
  </si>
  <si>
    <t>Enter the closest available 1% standard resister value</t>
  </si>
  <si>
    <t>Lo_I_peak</t>
  </si>
  <si>
    <t>FB+PCB Capacitance Estimate</t>
  </si>
  <si>
    <r>
      <t>mV</t>
    </r>
    <r>
      <rPr>
        <vertAlign val="subscript"/>
        <sz val="11"/>
        <color theme="1"/>
        <rFont val="Calibri"/>
        <family val="2"/>
        <scheme val="minor"/>
      </rPr>
      <t>PP, TYP</t>
    </r>
  </si>
  <si>
    <r>
      <t>mV</t>
    </r>
    <r>
      <rPr>
        <vertAlign val="subscript"/>
        <sz val="11"/>
        <color theme="1"/>
        <rFont val="Calibri"/>
        <family val="2"/>
        <scheme val="minor"/>
      </rPr>
      <t>PP, MAX</t>
    </r>
  </si>
  <si>
    <t>Vin operating range</t>
  </si>
  <si>
    <r>
      <t>Vin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for PFM</t>
    </r>
  </si>
  <si>
    <r>
      <t>Vin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for PFM output ripple requirement</t>
    </r>
  </si>
  <si>
    <t>Intermediate calculations for PFM at spec'd temp:</t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</si>
  <si>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</si>
  <si>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</si>
  <si>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r>
      <t xml:space="preserve">CFB (PFM) capacitor.  </t>
    </r>
    <r>
      <rPr>
        <b/>
        <i/>
        <sz val="11"/>
        <color theme="1"/>
        <rFont val="Calibri"/>
        <family val="2"/>
        <scheme val="minor"/>
      </rPr>
      <t>Recommend starting with higher value.</t>
    </r>
  </si>
  <si>
    <t>Fsw &lt; 750KHz ?</t>
  </si>
  <si>
    <r>
      <t>Single pulse limit at Vin</t>
    </r>
    <r>
      <rPr>
        <vertAlign val="subscript"/>
        <sz val="11"/>
        <color theme="1"/>
        <rFont val="Calibri"/>
        <family val="2"/>
        <scheme val="minor"/>
      </rPr>
      <t xml:space="preserve">MIN </t>
    </r>
    <r>
      <rPr>
        <sz val="11"/>
        <color theme="1"/>
        <rFont val="Calibri"/>
        <family val="2"/>
        <scheme val="minor"/>
      </rPr>
      <t>?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</si>
  <si>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PEAK</t>
    </r>
    <r>
      <rPr>
        <b/>
        <sz val="11"/>
        <color theme="1"/>
        <rFont val="Calibri"/>
        <family val="2"/>
        <scheme val="minor"/>
      </rPr>
      <t>_PFM Break</t>
    </r>
  </si>
  <si>
    <r>
      <t>Data sheet values for Fsw &lt;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</si>
  <si>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Data sheet values for Fsw &gt; I</t>
    </r>
    <r>
      <rPr>
        <vertAlign val="subscript"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>_PFM Break</t>
    </r>
  </si>
  <si>
    <r>
      <t>I</t>
    </r>
    <r>
      <rPr>
        <vertAlign val="subscript"/>
        <sz val="11"/>
        <color theme="1"/>
        <rFont val="Calibri"/>
        <family val="2"/>
        <scheme val="minor"/>
      </rPr>
      <t>PFM</t>
    </r>
    <r>
      <rPr>
        <sz val="11"/>
        <color theme="1"/>
        <rFont val="Calibri"/>
        <family val="2"/>
        <scheme val="minor"/>
      </rPr>
      <t>_PEAK @ Fsw</t>
    </r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</si>
  <si>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</si>
  <si>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</si>
  <si>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 xml:space="preserve">Enter Lo.  </t>
    </r>
    <r>
      <rPr>
        <b/>
        <i/>
        <sz val="11"/>
        <color theme="1"/>
        <rFont val="Calibri"/>
        <family val="2"/>
        <scheme val="minor"/>
      </rPr>
      <t>Start with a lower value to minimize PFM ripple</t>
    </r>
  </si>
  <si>
    <t>Lo (min | max)</t>
  </si>
  <si>
    <r>
      <t>Inductor range, SE = 40% to 110% of I</t>
    </r>
    <r>
      <rPr>
        <vertAlign val="subscript"/>
        <sz val="11"/>
        <color theme="1"/>
        <rFont val="Calibri"/>
        <family val="2"/>
        <scheme val="minor"/>
      </rPr>
      <t>Lo</t>
    </r>
    <r>
      <rPr>
        <sz val="11"/>
        <color theme="1"/>
        <rFont val="Calibri"/>
        <family val="2"/>
        <scheme val="minor"/>
      </rPr>
      <t xml:space="preserve"> down slope</t>
    </r>
  </si>
  <si>
    <r>
      <t>Inductor to critically damp the double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</si>
  <si>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 xml:space="preserve">       Diode D1: Example of Capacitance vs. V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for SS2P4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</si>
  <si>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calculated w/ F</t>
    </r>
    <r>
      <rPr>
        <vertAlign val="subscript"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&amp; S</t>
    </r>
    <r>
      <rPr>
        <vertAlign val="subscript"/>
        <sz val="11"/>
        <color theme="1"/>
        <rFont val="Calibri"/>
        <family val="2"/>
        <scheme val="minor"/>
      </rPr>
      <t>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</si>
  <si>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cycle/2.45MHz, TYP </t>
    </r>
    <r>
      <rPr>
        <sz val="11"/>
        <color theme="1"/>
        <rFont val="Calibri"/>
        <family val="2"/>
      </rPr>
      <t>−</t>
    </r>
    <r>
      <rPr>
        <sz val="11"/>
        <color theme="1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</rPr>
      <t>σ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</si>
  <si>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</si>
  <si>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>Current margin (min) before possible limiting at V</t>
    </r>
    <r>
      <rPr>
        <vertAlign val="subscript"/>
        <sz val="11"/>
        <color theme="1"/>
        <rFont val="Calibri"/>
        <family val="2"/>
        <scheme val="minor"/>
      </rPr>
      <t>IN,MIN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</si>
  <si>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</si>
  <si>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</si>
  <si>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 xml:space="preserve">Single-pulse PFM ripple at TYP Vin.  </t>
    </r>
    <r>
      <rPr>
        <b/>
        <sz val="11"/>
        <color theme="1"/>
        <rFont val="Calibri"/>
        <family val="2"/>
        <scheme val="minor"/>
      </rPr>
      <t>Increase Co or reduce Lo if too high.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</si>
  <si>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</si>
  <si>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</si>
  <si>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</si>
  <si>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Fsw/4</t>
    </r>
  </si>
  <si>
    <r>
      <t xml:space="preserve">(MIN | TYP) Maximum duty cycles using the new </t>
    </r>
    <r>
      <rPr>
        <b/>
        <i/>
        <sz val="11"/>
        <color rgb="FFFF0000"/>
        <rFont val="Calibri"/>
        <family val="2"/>
        <scheme val="minor"/>
      </rPr>
      <t>"Low Dropout Algorithm"</t>
    </r>
  </si>
  <si>
    <t>ALLEGRO A8589 DESIGN SPREADSHEET</t>
  </si>
  <si>
    <t>ALLEGRO A8589 DESIGN SPREADSHEET - Rev. 1.0</t>
  </si>
  <si>
    <t xml:space="preserve">       Diode D1:  Example I-V Characteristics for SS2P4 Diode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</si>
</sst>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5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73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ill="1" applyBorder="1"/>
    <xf numFmtId="0" fontId="0" fillId="5" borderId="20" xfId="0" applyFill="1" applyBorder="1"/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/>
    <xf numFmtId="0" fontId="0" fillId="5" borderId="23" xfId="0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5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17" fillId="7" borderId="40" xfId="0" applyFont="1" applyFill="1" applyBorder="1" applyAlignment="1" applyProtection="1">
      <alignment horizontal="left" vertical="center"/>
    </xf>
    <xf numFmtId="0" fontId="24" fillId="7" borderId="40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2" fontId="39" fillId="8" borderId="8" xfId="0" applyNumberFormat="1" applyFont="1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/>
    </xf>
    <xf numFmtId="2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2" fontId="39" fillId="2" borderId="36" xfId="0" applyNumberFormat="1" applyFont="1" applyFill="1" applyBorder="1" applyAlignment="1">
      <alignment horizontal="center"/>
    </xf>
    <xf numFmtId="164" fontId="39" fillId="2" borderId="36" xfId="0" applyNumberFormat="1" applyFont="1" applyFill="1" applyBorder="1" applyAlignment="1">
      <alignment horizontal="center"/>
    </xf>
    <xf numFmtId="2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/>
    </xf>
    <xf numFmtId="2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1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right" vertic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44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2" fontId="39" fillId="8" borderId="55" xfId="0" applyNumberFormat="1" applyFont="1" applyFill="1" applyBorder="1" applyAlignment="1">
      <alignment horizontal="center"/>
    </xf>
    <xf numFmtId="2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 vertical="center"/>
    </xf>
    <xf numFmtId="165" fontId="39" fillId="2" borderId="2" xfId="0" applyNumberFormat="1" applyFont="1" applyFill="1" applyBorder="1" applyAlignment="1">
      <alignment horizontal="center" vertic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0" fontId="6" fillId="8" borderId="44" xfId="1" applyFont="1" applyFill="1" applyBorder="1" applyAlignment="1" applyProtection="1">
      <alignment horizontal="center" vertical="center"/>
    </xf>
    <xf numFmtId="164" fontId="39" fillId="2" borderId="39" xfId="0" applyNumberFormat="1" applyFont="1" applyFill="1" applyBorder="1" applyAlignment="1">
      <alignment horizontal="center"/>
    </xf>
    <xf numFmtId="164" fontId="39" fillId="2" borderId="41" xfId="0" applyNumberFormat="1" applyFont="1" applyFill="1" applyBorder="1" applyAlignment="1">
      <alignment horizontal="center"/>
    </xf>
    <xf numFmtId="165" fontId="39" fillId="2" borderId="2" xfId="0" applyNumberFormat="1" applyFont="1" applyFill="1" applyBorder="1" applyAlignment="1">
      <alignment horizontal="center"/>
    </xf>
    <xf numFmtId="165" fontId="39" fillId="2" borderId="0" xfId="0" applyNumberFormat="1" applyFont="1" applyFill="1" applyBorder="1" applyAlignment="1">
      <alignment horizontal="center"/>
    </xf>
    <xf numFmtId="165" fontId="39" fillId="2" borderId="36" xfId="0" applyNumberFormat="1" applyFont="1" applyFill="1" applyBorder="1" applyAlignment="1">
      <alignment horizontal="center"/>
    </xf>
    <xf numFmtId="2" fontId="39" fillId="3" borderId="56" xfId="0" applyNumberFormat="1" applyFont="1" applyFill="1" applyBorder="1" applyAlignment="1">
      <alignment horizontal="center"/>
    </xf>
    <xf numFmtId="2" fontId="39" fillId="3" borderId="2" xfId="0" applyNumberFormat="1" applyFont="1" applyFill="1" applyBorder="1" applyAlignment="1">
      <alignment horizontal="center"/>
    </xf>
    <xf numFmtId="165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/>
    </xf>
    <xf numFmtId="164" fontId="39" fillId="3" borderId="2" xfId="0" applyNumberFormat="1" applyFont="1" applyFill="1" applyBorder="1" applyAlignment="1">
      <alignment horizontal="center" vertical="center"/>
    </xf>
    <xf numFmtId="165" fontId="39" fillId="3" borderId="2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/>
    </xf>
    <xf numFmtId="165" fontId="39" fillId="3" borderId="0" xfId="0" applyNumberFormat="1" applyFont="1" applyFill="1" applyBorder="1" applyAlignment="1">
      <alignment horizont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/>
    </xf>
    <xf numFmtId="165" fontId="39" fillId="3" borderId="36" xfId="0" applyNumberFormat="1" applyFont="1" applyFill="1" applyBorder="1" applyAlignment="1">
      <alignment horizont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/>
    </xf>
    <xf numFmtId="165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/>
    </xf>
    <xf numFmtId="164" fontId="39" fillId="4" borderId="2" xfId="0" applyNumberFormat="1" applyFont="1" applyFill="1" applyBorder="1" applyAlignment="1">
      <alignment horizontal="center" vertical="center"/>
    </xf>
    <xf numFmtId="165" fontId="39" fillId="4" borderId="2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/>
    </xf>
    <xf numFmtId="164" fontId="39" fillId="4" borderId="36" xfId="0" applyNumberFormat="1" applyFont="1" applyFill="1" applyBorder="1" applyAlignment="1">
      <alignment horizontal="center" vertical="center"/>
    </xf>
    <xf numFmtId="165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0" fontId="38" fillId="8" borderId="36" xfId="0" applyFont="1" applyFill="1" applyBorder="1" applyAlignment="1">
      <alignment horizontal="center" vertical="center"/>
    </xf>
    <xf numFmtId="0" fontId="0" fillId="0" borderId="0" xfId="0" applyFont="1"/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165" fontId="38" fillId="8" borderId="46" xfId="0" applyNumberFormat="1" applyFont="1" applyFill="1" applyBorder="1" applyAlignment="1">
      <alignment horizontal="center" vertical="center"/>
    </xf>
    <xf numFmtId="0" fontId="0" fillId="8" borderId="39" xfId="0" applyFont="1" applyFill="1" applyBorder="1"/>
    <xf numFmtId="0" fontId="38" fillId="8" borderId="57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4" xfId="0" applyFont="1" applyFill="1" applyBorder="1" applyAlignment="1" applyProtection="1">
      <alignment horizontal="center" vertical="center"/>
    </xf>
    <xf numFmtId="0" fontId="43" fillId="8" borderId="52" xfId="0" applyFont="1" applyFill="1" applyBorder="1" applyAlignment="1" applyProtection="1">
      <alignment horizontal="center" vertical="center"/>
    </xf>
    <xf numFmtId="2" fontId="7" fillId="7" borderId="0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46" fillId="0" borderId="0" xfId="0" applyFont="1" applyAlignment="1">
      <alignment vertical="center"/>
    </xf>
    <xf numFmtId="2" fontId="46" fillId="8" borderId="2" xfId="0" applyNumberFormat="1" applyFont="1" applyFill="1" applyBorder="1" applyAlignment="1">
      <alignment horizontal="left" vertical="center"/>
    </xf>
    <xf numFmtId="2" fontId="46" fillId="8" borderId="2" xfId="0" applyNumberFormat="1" applyFont="1" applyFill="1" applyBorder="1" applyAlignment="1">
      <alignment horizontal="center" vertical="center"/>
    </xf>
    <xf numFmtId="165" fontId="46" fillId="8" borderId="2" xfId="0" applyNumberFormat="1" applyFont="1" applyFill="1" applyBorder="1" applyAlignment="1">
      <alignment horizontal="center" vertical="center"/>
    </xf>
    <xf numFmtId="164" fontId="46" fillId="8" borderId="2" xfId="0" applyNumberFormat="1" applyFont="1" applyFill="1" applyBorder="1" applyAlignment="1">
      <alignment horizontal="center" vertical="center"/>
    </xf>
    <xf numFmtId="164" fontId="46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left" vertical="center"/>
    </xf>
    <xf numFmtId="0" fontId="47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50" fillId="0" borderId="40" xfId="0" applyFont="1" applyBorder="1" applyAlignment="1" applyProtection="1"/>
    <xf numFmtId="0" fontId="50" fillId="0" borderId="0" xfId="0" applyFont="1" applyAlignment="1" applyProtection="1"/>
    <xf numFmtId="0" fontId="50" fillId="0" borderId="0" xfId="0" applyFont="1" applyProtection="1"/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49" fillId="8" borderId="38" xfId="0" applyFont="1" applyFill="1" applyBorder="1" applyAlignment="1">
      <alignment horizontal="center" vertical="center"/>
    </xf>
    <xf numFmtId="165" fontId="49" fillId="8" borderId="2" xfId="0" applyNumberFormat="1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left" vertical="center" indent="1"/>
    </xf>
    <xf numFmtId="0" fontId="50" fillId="0" borderId="0" xfId="0" applyFont="1" applyBorder="1" applyAlignment="1" applyProtection="1"/>
    <xf numFmtId="0" fontId="0" fillId="6" borderId="22" xfId="0" applyFill="1" applyBorder="1" applyProtection="1"/>
    <xf numFmtId="0" fontId="0" fillId="6" borderId="23" xfId="0" applyFill="1" applyBorder="1" applyProtection="1"/>
    <xf numFmtId="0" fontId="7" fillId="6" borderId="19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164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165" fontId="0" fillId="5" borderId="14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 vertical="center"/>
    </xf>
    <xf numFmtId="2" fontId="0" fillId="5" borderId="14" xfId="0" applyNumberFormat="1" applyFont="1" applyFill="1" applyBorder="1" applyAlignment="1">
      <alignment horizontal="center" vertical="center"/>
    </xf>
    <xf numFmtId="164" fontId="8" fillId="5" borderId="14" xfId="0" applyNumberFormat="1" applyFont="1" applyFill="1" applyBorder="1" applyAlignment="1">
      <alignment horizontal="center" vertical="center"/>
    </xf>
    <xf numFmtId="165" fontId="0" fillId="5" borderId="14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0" fontId="0" fillId="5" borderId="22" xfId="0" applyFill="1" applyBorder="1" applyAlignment="1">
      <alignment horizontal="left" vertical="center" indent="1"/>
    </xf>
    <xf numFmtId="0" fontId="7" fillId="5" borderId="59" xfId="0" applyFont="1" applyFill="1" applyBorder="1" applyAlignment="1">
      <alignment horizontal="center" vertical="center"/>
    </xf>
    <xf numFmtId="2" fontId="0" fillId="5" borderId="22" xfId="0" applyNumberFormat="1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7" borderId="36" xfId="0" applyNumberFormat="1" applyFill="1" applyBorder="1" applyAlignment="1" applyProtection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0" fontId="7" fillId="7" borderId="58" xfId="0" applyFont="1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/>
    </xf>
    <xf numFmtId="0" fontId="0" fillId="7" borderId="5" xfId="0" applyFill="1" applyBorder="1" applyProtection="1"/>
    <xf numFmtId="0" fontId="0" fillId="7" borderId="31" xfId="0" applyFill="1" applyBorder="1" applyProtection="1"/>
    <xf numFmtId="165" fontId="0" fillId="6" borderId="45" xfId="0" applyNumberFormat="1" applyFill="1" applyBorder="1" applyAlignment="1" applyProtection="1">
      <alignment horizontal="center" vertical="center"/>
      <protection locked="0"/>
    </xf>
    <xf numFmtId="165" fontId="0" fillId="6" borderId="29" xfId="0" applyNumberFormat="1" applyFill="1" applyBorder="1" applyAlignment="1" applyProtection="1">
      <alignment horizontal="center" vertical="center"/>
      <protection locked="0"/>
    </xf>
    <xf numFmtId="0" fontId="8" fillId="6" borderId="29" xfId="0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 applyProtection="1">
      <alignment horizontal="center" vertical="center"/>
      <protection locked="0"/>
    </xf>
    <xf numFmtId="165" fontId="8" fillId="6" borderId="3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0" fillId="7" borderId="35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left" vertical="center" indent="1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2" fontId="0" fillId="7" borderId="0" xfId="0" applyNumberFormat="1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4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42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" fontId="0" fillId="7" borderId="5" xfId="0" applyNumberFormat="1" applyFill="1" applyBorder="1" applyAlignment="1" applyProtection="1">
      <alignment horizontal="center" vertical="center"/>
    </xf>
    <xf numFmtId="165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59" xfId="0" applyFont="1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left" vertical="center" indent="1"/>
    </xf>
    <xf numFmtId="2" fontId="0" fillId="7" borderId="0" xfId="0" applyNumberFormat="1" applyFill="1" applyAlignment="1" applyProtection="1">
      <alignment horizontal="center" vertical="center"/>
    </xf>
    <xf numFmtId="165" fontId="0" fillId="7" borderId="0" xfId="0" applyNumberFormat="1" applyFont="1" applyFill="1" applyBorder="1" applyAlignment="1" applyProtection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center" vertical="center"/>
    </xf>
    <xf numFmtId="164" fontId="0" fillId="9" borderId="1" xfId="0" applyNumberFormat="1" applyFill="1" applyBorder="1" applyAlignment="1" applyProtection="1">
      <alignment horizontal="center" vertical="center"/>
      <protection locked="0"/>
    </xf>
    <xf numFmtId="165" fontId="0" fillId="7" borderId="0" xfId="0" applyNumberFormat="1" applyFont="1" applyFill="1" applyAlignment="1" applyProtection="1">
      <alignment horizontal="center" vertical="center"/>
    </xf>
    <xf numFmtId="165" fontId="8" fillId="6" borderId="47" xfId="0" applyNumberFormat="1" applyFont="1" applyFill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164" fontId="39" fillId="2" borderId="37" xfId="0" applyNumberFormat="1" applyFont="1" applyFill="1" applyBorder="1" applyAlignment="1">
      <alignment horizontal="center"/>
    </xf>
    <xf numFmtId="2" fontId="48" fillId="9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vertical="center"/>
    </xf>
    <xf numFmtId="0" fontId="0" fillId="7" borderId="41" xfId="0" applyFill="1" applyBorder="1" applyAlignment="1" applyProtection="1">
      <alignment vertical="center"/>
    </xf>
    <xf numFmtId="2" fontId="39" fillId="2" borderId="38" xfId="0" applyNumberFormat="1" applyFont="1" applyFill="1" applyBorder="1" applyAlignment="1">
      <alignment horizontal="center" vertical="center"/>
    </xf>
    <xf numFmtId="2" fontId="39" fillId="2" borderId="2" xfId="0" applyNumberFormat="1" applyFont="1" applyFill="1" applyBorder="1" applyAlignment="1">
      <alignment horizontal="center" vertical="center"/>
    </xf>
    <xf numFmtId="165" fontId="39" fillId="2" borderId="39" xfId="0" applyNumberFormat="1" applyFont="1" applyFill="1" applyBorder="1" applyAlignment="1">
      <alignment horizontal="center" vertical="center"/>
    </xf>
    <xf numFmtId="2" fontId="39" fillId="2" borderId="40" xfId="0" applyNumberFormat="1" applyFont="1" applyFill="1" applyBorder="1" applyAlignment="1">
      <alignment horizontal="center" vertical="center"/>
    </xf>
    <xf numFmtId="2" fontId="39" fillId="2" borderId="0" xfId="0" applyNumberFormat="1" applyFont="1" applyFill="1" applyBorder="1" applyAlignment="1">
      <alignment horizontal="center" vertical="center"/>
    </xf>
    <xf numFmtId="165" fontId="39" fillId="2" borderId="41" xfId="0" applyNumberFormat="1" applyFont="1" applyFill="1" applyBorder="1" applyAlignment="1">
      <alignment horizontal="center" vertical="center"/>
    </xf>
    <xf numFmtId="2" fontId="39" fillId="2" borderId="42" xfId="0" applyNumberFormat="1" applyFont="1" applyFill="1" applyBorder="1" applyAlignment="1">
      <alignment horizontal="center" vertical="center"/>
    </xf>
    <xf numFmtId="2" fontId="39" fillId="2" borderId="36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3" borderId="56" xfId="0" applyNumberFormat="1" applyFont="1" applyFill="1" applyBorder="1" applyAlignment="1">
      <alignment horizontal="center" vertical="center"/>
    </xf>
    <xf numFmtId="2" fontId="39" fillId="3" borderId="2" xfId="0" applyNumberFormat="1" applyFont="1" applyFill="1" applyBorder="1" applyAlignment="1">
      <alignment horizontal="center" vertical="center"/>
    </xf>
    <xf numFmtId="165" fontId="39" fillId="3" borderId="39" xfId="0" applyNumberFormat="1" applyFont="1" applyFill="1" applyBorder="1" applyAlignment="1">
      <alignment horizontal="center" vertical="center"/>
    </xf>
    <xf numFmtId="2" fontId="39" fillId="3" borderId="7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165" fontId="39" fillId="3" borderId="41" xfId="0" applyNumberFormat="1" applyFont="1" applyFill="1" applyBorder="1" applyAlignment="1">
      <alignment horizontal="center" vertical="center"/>
    </xf>
    <xf numFmtId="2" fontId="39" fillId="3" borderId="34" xfId="0" applyNumberFormat="1" applyFont="1" applyFill="1" applyBorder="1" applyAlignment="1">
      <alignment horizontal="center" vertical="center"/>
    </xf>
    <xf numFmtId="2" fontId="39" fillId="3" borderId="36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4" borderId="38" xfId="0" applyNumberFormat="1" applyFont="1" applyFill="1" applyBorder="1" applyAlignment="1">
      <alignment horizontal="center" vertical="center"/>
    </xf>
    <xf numFmtId="2" fontId="39" fillId="4" borderId="2" xfId="0" applyNumberFormat="1" applyFont="1" applyFill="1" applyBorder="1" applyAlignment="1">
      <alignment horizontal="center" vertical="center"/>
    </xf>
    <xf numFmtId="165" fontId="39" fillId="4" borderId="39" xfId="0" applyNumberFormat="1" applyFont="1" applyFill="1" applyBorder="1" applyAlignment="1">
      <alignment horizontal="center" vertical="center"/>
    </xf>
    <xf numFmtId="2" fontId="39" fillId="4" borderId="40" xfId="0" applyNumberFormat="1" applyFont="1" applyFill="1" applyBorder="1" applyAlignment="1">
      <alignment horizontal="center" vertical="center"/>
    </xf>
    <xf numFmtId="2" fontId="39" fillId="4" borderId="0" xfId="0" applyNumberFormat="1" applyFont="1" applyFill="1" applyBorder="1" applyAlignment="1">
      <alignment horizontal="center" vertical="center"/>
    </xf>
    <xf numFmtId="165" fontId="39" fillId="4" borderId="41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 vertical="center"/>
    </xf>
    <xf numFmtId="2" fontId="39" fillId="4" borderId="36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5" fillId="0" borderId="0" xfId="0" applyFont="1" applyAlignment="1" applyProtection="1">
      <alignment horizontal="center"/>
    </xf>
    <xf numFmtId="0" fontId="11" fillId="8" borderId="45" xfId="0" applyFont="1" applyFill="1" applyBorder="1" applyAlignment="1" applyProtection="1">
      <alignment horizontal="center" vertical="center"/>
    </xf>
    <xf numFmtId="0" fontId="11" fillId="8" borderId="44" xfId="0" applyFont="1" applyFill="1" applyBorder="1" applyAlignment="1" applyProtection="1">
      <alignment horizontal="center" vertical="center"/>
    </xf>
    <xf numFmtId="0" fontId="11" fillId="8" borderId="50" xfId="0" applyFont="1" applyFill="1" applyBorder="1" applyAlignment="1" applyProtection="1">
      <alignment horizontal="center" vertical="center"/>
    </xf>
    <xf numFmtId="0" fontId="11" fillId="8" borderId="46" xfId="0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left" vertical="center" indent="1"/>
    </xf>
    <xf numFmtId="0" fontId="0" fillId="6" borderId="17" xfId="0" applyFill="1" applyBorder="1" applyAlignment="1" applyProtection="1">
      <alignment horizontal="left" vertical="center" indent="1"/>
    </xf>
    <xf numFmtId="0" fontId="0" fillId="6" borderId="18" xfId="0" applyFill="1" applyBorder="1" applyAlignment="1" applyProtection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7" borderId="0" xfId="0" applyNumberFormat="1" applyFill="1" applyBorder="1" applyAlignment="1" applyProtection="1">
      <alignment horizontal="center" vertic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51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0" fillId="7" borderId="0" xfId="0" applyNumberForma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2" fontId="0" fillId="7" borderId="36" xfId="0" applyNumberFormat="1" applyFill="1" applyBorder="1" applyAlignment="1" applyProtection="1">
      <alignment horizontal="center" vertical="center"/>
    </xf>
    <xf numFmtId="165" fontId="35" fillId="9" borderId="45" xfId="0" applyNumberFormat="1" applyFont="1" applyFill="1" applyBorder="1" applyAlignment="1" applyProtection="1">
      <alignment horizontal="center" vertical="center"/>
      <protection locked="0"/>
    </xf>
    <xf numFmtId="165" fontId="35" fillId="9" borderId="46" xfId="0" applyNumberFormat="1" applyFont="1" applyFill="1" applyBorder="1" applyAlignment="1" applyProtection="1">
      <alignment horizontal="center" vertical="center"/>
      <protection locked="0"/>
    </xf>
    <xf numFmtId="0" fontId="21" fillId="11" borderId="42" xfId="0" applyFont="1" applyFill="1" applyBorder="1" applyAlignment="1" applyProtection="1">
      <alignment horizontal="center" vertical="center" wrapText="1"/>
    </xf>
    <xf numFmtId="0" fontId="12" fillId="11" borderId="36" xfId="0" applyFont="1" applyFill="1" applyBorder="1" applyAlignment="1" applyProtection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0" fontId="0" fillId="6" borderId="13" xfId="0" applyFill="1" applyBorder="1" applyAlignment="1" applyProtection="1">
      <alignment horizontal="left" vertical="center"/>
    </xf>
    <xf numFmtId="0" fontId="0" fillId="6" borderId="14" xfId="0" applyFill="1" applyBorder="1" applyAlignment="1" applyProtection="1">
      <alignment horizontal="left" vertical="center"/>
    </xf>
    <xf numFmtId="0" fontId="0" fillId="6" borderId="20" xfId="0" applyFill="1" applyBorder="1" applyAlignment="1" applyProtection="1">
      <alignment horizontal="left" vertical="center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65" fontId="24" fillId="7" borderId="36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6"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986882889638866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06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Efficiency!$U$4:$U$13</c:f>
              <c:numCache>
                <c:formatCode>0.0</c:formatCode>
                <c:ptCount val="10"/>
                <c:pt idx="0">
                  <c:v>84.173200619352812</c:v>
                </c:pt>
                <c:pt idx="1">
                  <c:v>88.265600442217888</c:v>
                </c:pt>
                <c:pt idx="2">
                  <c:v>89.314836157776213</c:v>
                </c:pt>
                <c:pt idx="3">
                  <c:v>89.52868103289552</c:v>
                </c:pt>
                <c:pt idx="4">
                  <c:v>89.386306311850745</c:v>
                </c:pt>
                <c:pt idx="5">
                  <c:v>89.050509484750833</c:v>
                </c:pt>
                <c:pt idx="6">
                  <c:v>88.58941154328393</c:v>
                </c:pt>
                <c:pt idx="7">
                  <c:v>88.034117692736771</c:v>
                </c:pt>
                <c:pt idx="8">
                  <c:v>87.40076916962991</c:v>
                </c:pt>
                <c:pt idx="9">
                  <c:v>86.690277339639806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Efficiency!$AO$4:$AO$13</c:f>
              <c:numCache>
                <c:formatCode>0.0</c:formatCode>
                <c:ptCount val="10"/>
                <c:pt idx="0">
                  <c:v>75.869100378800809</c:v>
                </c:pt>
                <c:pt idx="1">
                  <c:v>81.660379823781611</c:v>
                </c:pt>
                <c:pt idx="2">
                  <c:v>83.46226727717432</c:v>
                </c:pt>
                <c:pt idx="3">
                  <c:v>84.129213775178769</c:v>
                </c:pt>
                <c:pt idx="4">
                  <c:v>84.310193393768131</c:v>
                </c:pt>
                <c:pt idx="5">
                  <c:v>84.232666315921577</c:v>
                </c:pt>
                <c:pt idx="6">
                  <c:v>83.995855936627521</c:v>
                </c:pt>
                <c:pt idx="7">
                  <c:v>83.64886897280013</c:v>
                </c:pt>
                <c:pt idx="8">
                  <c:v>83.221625683222214</c:v>
                </c:pt>
                <c:pt idx="9">
                  <c:v>82.723907250464379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Efficiency!$BI$4:$BI$13</c:f>
              <c:numCache>
                <c:formatCode>0.0</c:formatCode>
                <c:ptCount val="10"/>
                <c:pt idx="0">
                  <c:v>68.155272129652957</c:v>
                </c:pt>
                <c:pt idx="1">
                  <c:v>75.111931406344212</c:v>
                </c:pt>
                <c:pt idx="2">
                  <c:v>77.478744290949578</c:v>
                </c:pt>
                <c:pt idx="3">
                  <c:v>78.491434339045895</c:v>
                </c:pt>
                <c:pt idx="4">
                  <c:v>78.915982229562175</c:v>
                </c:pt>
                <c:pt idx="5">
                  <c:v>79.026623015338103</c:v>
                </c:pt>
                <c:pt idx="6">
                  <c:v>78.945177160409116</c:v>
                </c:pt>
                <c:pt idx="7">
                  <c:v>78.73334441035928</c:v>
                </c:pt>
                <c:pt idx="8">
                  <c:v>78.429244941091497</c:v>
                </c:pt>
                <c:pt idx="9">
                  <c:v>78.048053072368489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073328"/>
        <c:axId val="353073888"/>
      </c:scatterChart>
      <c:valAx>
        <c:axId val="353073328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0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073888"/>
        <c:crosses val="autoZero"/>
        <c:crossBetween val="midCat"/>
        <c:majorUnit val="0.25"/>
        <c:minorUnit val="0.125"/>
      </c:valAx>
      <c:valAx>
        <c:axId val="353073888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39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073328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9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5832358538644"/>
          <c:y val="0.10866027305170173"/>
          <c:w val="0.81528175940313463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Constants!$A$34:$A$35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Constants!$B$34:$B$35</c:f>
              <c:numCache>
                <c:formatCode>0.00</c:formatCode>
                <c:ptCount val="2"/>
                <c:pt idx="0">
                  <c:v>3.8</c:v>
                </c:pt>
                <c:pt idx="1">
                  <c:v>2.5497292889758638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61680"/>
        <c:axId val="355536576"/>
      </c:scatterChart>
      <c:valAx>
        <c:axId val="353561680"/>
        <c:scaling>
          <c:orientation val="minMax"/>
          <c:max val="9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55536576"/>
        <c:crosses val="autoZero"/>
        <c:crossBetween val="midCat"/>
        <c:majorUnit val="10"/>
        <c:minorUnit val="10"/>
      </c:valAx>
      <c:valAx>
        <c:axId val="355536576"/>
        <c:scaling>
          <c:orientation val="minMax"/>
          <c:max val="4"/>
          <c:min val="2.200000000000000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53561680"/>
        <c:crosses val="autoZero"/>
        <c:crossBetween val="midCat"/>
        <c:majorUnit val="0.2"/>
        <c:minorUnit val="0.2"/>
      </c:valAx>
    </c:plotArea>
    <c:legend>
      <c:legendPos val="r"/>
      <c:layout>
        <c:manualLayout>
          <c:xMode val="edge"/>
          <c:yMode val="edge"/>
          <c:x val="0.67002531557170752"/>
          <c:y val="0.13924063306800549"/>
          <c:w val="0.2491294117647059"/>
          <c:h val="0.14876996187284569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Efficiency!$U$15:$U$24</c:f>
              <c:numCache>
                <c:formatCode>0.0</c:formatCode>
                <c:ptCount val="10"/>
                <c:pt idx="0">
                  <c:v>84.287372876749288</c:v>
                </c:pt>
                <c:pt idx="1">
                  <c:v>88.23638338524168</c:v>
                </c:pt>
                <c:pt idx="2">
                  <c:v>89.117787964796335</c:v>
                </c:pt>
                <c:pt idx="3">
                  <c:v>89.155550844620564</c:v>
                </c:pt>
                <c:pt idx="4">
                  <c:v>88.831387062371562</c:v>
                </c:pt>
                <c:pt idx="5">
                  <c:v>88.307836909829604</c:v>
                </c:pt>
                <c:pt idx="6">
                  <c:v>87.651693554363263</c:v>
                </c:pt>
                <c:pt idx="7">
                  <c:v>86.89203129863354</c:v>
                </c:pt>
                <c:pt idx="8">
                  <c:v>86.04214420174624</c:v>
                </c:pt>
                <c:pt idx="9">
                  <c:v>85.099369286577897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Efficiency!$AO$15:$AO$24</c:f>
              <c:numCache>
                <c:formatCode>0.0</c:formatCode>
                <c:ptCount val="10"/>
                <c:pt idx="0">
                  <c:v>76.112632150549402</c:v>
                </c:pt>
                <c:pt idx="1">
                  <c:v>81.845777103916163</c:v>
                </c:pt>
                <c:pt idx="2">
                  <c:v>83.546844862373604</c:v>
                </c:pt>
                <c:pt idx="3">
                  <c:v>84.099905447424405</c:v>
                </c:pt>
                <c:pt idx="4">
                  <c:v>84.160714494909811</c:v>
                </c:pt>
                <c:pt idx="5">
                  <c:v>83.958738474759144</c:v>
                </c:pt>
                <c:pt idx="6">
                  <c:v>83.59364607402442</c:v>
                </c:pt>
                <c:pt idx="7">
                  <c:v>83.114296829924513</c:v>
                </c:pt>
                <c:pt idx="8">
                  <c:v>82.549918883192376</c:v>
                </c:pt>
                <c:pt idx="9">
                  <c:v>81.909313625392429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Efficiency!$BI$15:$BI$24</c:f>
              <c:numCache>
                <c:formatCode>0.0</c:formatCode>
                <c:ptCount val="10"/>
                <c:pt idx="0">
                  <c:v>68.416369955153002</c:v>
                </c:pt>
                <c:pt idx="1">
                  <c:v>75.361452590579134</c:v>
                </c:pt>
                <c:pt idx="2">
                  <c:v>77.665730432877069</c:v>
                </c:pt>
                <c:pt idx="3">
                  <c:v>78.599723760493291</c:v>
                </c:pt>
                <c:pt idx="4">
                  <c:v>78.938239589452195</c:v>
                </c:pt>
                <c:pt idx="5">
                  <c:v>78.958580815747808</c:v>
                </c:pt>
                <c:pt idx="6">
                  <c:v>78.783743717658254</c:v>
                </c:pt>
                <c:pt idx="7">
                  <c:v>78.475809408718476</c:v>
                </c:pt>
                <c:pt idx="8">
                  <c:v>78.072868178355122</c:v>
                </c:pt>
                <c:pt idx="9">
                  <c:v>77.58979705973023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44"/>
        <c:axId val="353281104"/>
      </c:scatterChart>
      <c:valAx>
        <c:axId val="353280544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3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1104"/>
        <c:crosses val="autoZero"/>
        <c:crossBetween val="midCat"/>
        <c:majorUnit val="0.25"/>
        <c:minorUnit val="0.125"/>
      </c:valAx>
      <c:valAx>
        <c:axId val="353281104"/>
        <c:scaling>
          <c:orientation val="minMax"/>
          <c:max val="95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53E-2"/>
              <c:y val="0.279266409690420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44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93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403549556305474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Efficiency!$O$4:$O$13</c:f>
              <c:numCache>
                <c:formatCode>0.0</c:formatCode>
                <c:ptCount val="10"/>
                <c:pt idx="0">
                  <c:v>31.141876225104255</c:v>
                </c:pt>
                <c:pt idx="1">
                  <c:v>33.106190094538086</c:v>
                </c:pt>
                <c:pt idx="2">
                  <c:v>35.46463624976348</c:v>
                </c:pt>
                <c:pt idx="3">
                  <c:v>38.249171775040864</c:v>
                </c:pt>
                <c:pt idx="4">
                  <c:v>41.500087697268441</c:v>
                </c:pt>
                <c:pt idx="5">
                  <c:v>45.267951084642789</c:v>
                </c:pt>
                <c:pt idx="6">
                  <c:v>49.616269131877445</c:v>
                </c:pt>
                <c:pt idx="7">
                  <c:v>54.625195580149139</c:v>
                </c:pt>
                <c:pt idx="8">
                  <c:v>60.396169068923854</c:v>
                </c:pt>
                <c:pt idx="9">
                  <c:v>67.06102474065105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Efficiency!$AI$4:$AI$13</c:f>
              <c:numCache>
                <c:formatCode>0.0</c:formatCode>
                <c:ptCount val="10"/>
                <c:pt idx="0">
                  <c:v>35.13602122926617</c:v>
                </c:pt>
                <c:pt idx="1">
                  <c:v>38.708107031175537</c:v>
                </c:pt>
                <c:pt idx="2">
                  <c:v>42.562936619794186</c:v>
                </c:pt>
                <c:pt idx="3">
                  <c:v>46.727397417357594</c:v>
                </c:pt>
                <c:pt idx="4">
                  <c:v>51.232822714802921</c:v>
                </c:pt>
                <c:pt idx="5">
                  <c:v>56.115906811945237</c:v>
                </c:pt>
                <c:pt idx="6">
                  <c:v>61.419876944108879</c:v>
                </c:pt>
                <c:pt idx="7">
                  <c:v>67.196011775742392</c:v>
                </c:pt>
                <c:pt idx="8">
                  <c:v>73.504915954081923</c:v>
                </c:pt>
                <c:pt idx="9">
                  <c:v>80.420926791186531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Efficiency!$BC$4:$BC$13</c:f>
              <c:numCache>
                <c:formatCode>0.0</c:formatCode>
                <c:ptCount val="10"/>
                <c:pt idx="0">
                  <c:v>39.855787105006961</c:v>
                </c:pt>
                <c:pt idx="1">
                  <c:v>45.827866336531393</c:v>
                </c:pt>
                <c:pt idx="2">
                  <c:v>52.031930154779403</c:v>
                </c:pt>
                <c:pt idx="3">
                  <c:v>58.496169669652957</c:v>
                </c:pt>
                <c:pt idx="4">
                  <c:v>65.252061752310055</c:v>
                </c:pt>
                <c:pt idx="5">
                  <c:v>72.33503431653979</c:v>
                </c:pt>
                <c:pt idx="6">
                  <c:v>79.785286514328448</c:v>
                </c:pt>
                <c:pt idx="7">
                  <c:v>87.648812077981859</c:v>
                </c:pt>
                <c:pt idx="8">
                  <c:v>95.977981720836965</c:v>
                </c:pt>
                <c:pt idx="9">
                  <c:v>104.83492211485539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70464"/>
        <c:axId val="354071024"/>
      </c:scatterChart>
      <c:valAx>
        <c:axId val="354070464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3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071024"/>
        <c:crosses val="autoZero"/>
        <c:crossBetween val="midCat"/>
        <c:majorUnit val="0.25"/>
        <c:minorUnit val="0.125"/>
      </c:valAx>
      <c:valAx>
        <c:axId val="35407102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07046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968"/>
          <c:w val="0.1685914260717412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8281527309086596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Efficiency!$O$15:$O$24</c:f>
              <c:numCache>
                <c:formatCode>0.0</c:formatCode>
                <c:ptCount val="10"/>
                <c:pt idx="0">
                  <c:v>91.213774921251428</c:v>
                </c:pt>
                <c:pt idx="1">
                  <c:v>93.378930996063417</c:v>
                </c:pt>
                <c:pt idx="2">
                  <c:v>96.082417636082482</c:v>
                </c:pt>
                <c:pt idx="3">
                  <c:v>99.367953852209737</c:v>
                </c:pt>
                <c:pt idx="4">
                  <c:v>103.29125720751173</c:v>
                </c:pt>
                <c:pt idx="5">
                  <c:v>107.92306469692426</c:v>
                </c:pt>
                <c:pt idx="6">
                  <c:v>113.35334192059553</c:v>
                </c:pt>
                <c:pt idx="7">
                  <c:v>119.69725661363626</c:v>
                </c:pt>
                <c:pt idx="8">
                  <c:v>127.10303319645206</c:v>
                </c:pt>
                <c:pt idx="9">
                  <c:v>135.76691385178384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Efficiency!$AI$15:$AI$24</c:f>
              <c:numCache>
                <c:formatCode>0.0</c:formatCode>
                <c:ptCount val="10"/>
                <c:pt idx="0">
                  <c:v>95.190410251333816</c:v>
                </c:pt>
                <c:pt idx="1">
                  <c:v>98.896245510919783</c:v>
                </c:pt>
                <c:pt idx="2">
                  <c:v>102.97926385890422</c:v>
                </c:pt>
                <c:pt idx="3">
                  <c:v>107.47229375687024</c:v>
                </c:pt>
                <c:pt idx="4">
                  <c:v>112.4141756305401</c:v>
                </c:pt>
                <c:pt idx="5">
                  <c:v>117.8510296610107</c:v>
                </c:pt>
                <c:pt idx="6">
                  <c:v>123.83790129534546</c:v>
                </c:pt>
                <c:pt idx="7">
                  <c:v>130.44092433871486</c:v>
                </c:pt>
                <c:pt idx="8">
                  <c:v>137.73925354670021</c:v>
                </c:pt>
                <c:pt idx="9">
                  <c:v>145.83130330175391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Efficiency!$BC$15:$BC$24</c:f>
              <c:numCache>
                <c:formatCode>0.0</c:formatCode>
                <c:ptCount val="10"/>
                <c:pt idx="0">
                  <c:v>99.899772996792592</c:v>
                </c:pt>
                <c:pt idx="1">
                  <c:v>105.97205016180557</c:v>
                </c:pt>
                <c:pt idx="2">
                  <c:v>112.34647533597504</c:v>
                </c:pt>
                <c:pt idx="3">
                  <c:v>119.05505559762554</c:v>
                </c:pt>
                <c:pt idx="4">
                  <c:v>126.13402081393028</c:v>
                </c:pt>
                <c:pt idx="5">
                  <c:v>133.62466676244802</c:v>
                </c:pt>
                <c:pt idx="6">
                  <c:v>141.57440826608806</c:v>
                </c:pt>
                <c:pt idx="7">
                  <c:v>150.0381099297224</c:v>
                </c:pt>
                <c:pt idx="8">
                  <c:v>159.07887340628349</c:v>
                </c:pt>
                <c:pt idx="9">
                  <c:v>168.77247880947385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Efficiency!$H$76:$H$77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Efficiency!$I$76:$I$77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075504"/>
        <c:axId val="354076064"/>
      </c:scatterChart>
      <c:valAx>
        <c:axId val="354075504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076064"/>
        <c:crosses val="autoZero"/>
        <c:crossBetween val="midCat"/>
        <c:majorUnit val="0.25"/>
        <c:minorUnit val="0.125"/>
      </c:valAx>
      <c:valAx>
        <c:axId val="354076064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075504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863235845519495"/>
          <c:y val="0.15375943069877968"/>
          <c:w val="0.14875015623047141"/>
          <c:h val="0.159461667709946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0860892388452027"/>
          <c:y val="2.0845385958554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Efficiency!$N$4:$N$13</c:f>
              <c:numCache>
                <c:formatCode>0.0</c:formatCode>
                <c:ptCount val="10"/>
                <c:pt idx="0">
                  <c:v>26.480401027696313</c:v>
                </c:pt>
                <c:pt idx="1">
                  <c:v>28.069215093135675</c:v>
                </c:pt>
                <c:pt idx="2">
                  <c:v>29.757952490868071</c:v>
                </c:pt>
                <c:pt idx="3">
                  <c:v>31.537455431721117</c:v>
                </c:pt>
                <c:pt idx="4">
                  <c:v>33.397671437655056</c:v>
                </c:pt>
                <c:pt idx="5">
                  <c:v>35.327360613438188</c:v>
                </c:pt>
                <c:pt idx="6">
                  <c:v>37.313707985755968</c:v>
                </c:pt>
                <c:pt idx="7">
                  <c:v>39.341797232556829</c:v>
                </c:pt>
                <c:pt idx="8">
                  <c:v>41.37588641007099</c:v>
                </c:pt>
                <c:pt idx="9">
                  <c:v>43.40938432173413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Efficiency!$AH$4:$AH$13</c:f>
              <c:numCache>
                <c:formatCode>0.0</c:formatCode>
                <c:ptCount val="10"/>
                <c:pt idx="0">
                  <c:v>27.344191472965676</c:v>
                </c:pt>
                <c:pt idx="1">
                  <c:v>29.886862624021493</c:v>
                </c:pt>
                <c:pt idx="2">
                  <c:v>32.619934057809466</c:v>
                </c:pt>
                <c:pt idx="3">
                  <c:v>35.535183695877279</c:v>
                </c:pt>
                <c:pt idx="4">
                  <c:v>38.624165012759633</c:v>
                </c:pt>
                <c:pt idx="5">
                  <c:v>41.878107911066927</c:v>
                </c:pt>
                <c:pt idx="6">
                  <c:v>45.287796197847953</c:v>
                </c:pt>
                <c:pt idx="7">
                  <c:v>48.843413211172347</c:v>
                </c:pt>
                <c:pt idx="8">
                  <c:v>52.503487768740655</c:v>
                </c:pt>
                <c:pt idx="9">
                  <c:v>56.281286500077414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Efficiency!$AP$4:$AP$13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Efficiency!$BB$4:$BB$13</c:f>
              <c:numCache>
                <c:formatCode>0.0</c:formatCode>
                <c:ptCount val="10"/>
                <c:pt idx="0">
                  <c:v>27.78247989761212</c:v>
                </c:pt>
                <c:pt idx="1">
                  <c:v>30.804950068953488</c:v>
                </c:pt>
                <c:pt idx="2">
                  <c:v>34.058764914153706</c:v>
                </c:pt>
                <c:pt idx="3">
                  <c:v>37.535292300510463</c:v>
                </c:pt>
                <c:pt idx="4">
                  <c:v>41.225864519433763</c:v>
                </c:pt>
                <c:pt idx="5">
                  <c:v>45.121720703815974</c:v>
                </c:pt>
                <c:pt idx="6">
                  <c:v>49.213938166740292</c:v>
                </c:pt>
                <c:pt idx="7">
                  <c:v>53.493349217823862</c:v>
                </c:pt>
                <c:pt idx="8">
                  <c:v>57.913153275644802</c:v>
                </c:pt>
                <c:pt idx="9">
                  <c:v>62.493334210357105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46448"/>
        <c:axId val="353847008"/>
      </c:scatterChart>
      <c:valAx>
        <c:axId val="353846448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47008"/>
        <c:crosses val="autoZero"/>
        <c:crossBetween val="midCat"/>
        <c:majorUnit val="0.25"/>
        <c:minorUnit val="0.125"/>
      </c:valAx>
      <c:valAx>
        <c:axId val="353847008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4644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295"/>
          <c:y val="0.10912902623573729"/>
          <c:w val="0.12461751371987591"/>
          <c:h val="0.1578844644419494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of D1</a:t>
            </a:r>
            <a:r>
              <a:rPr lang="en-US"/>
              <a:t>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5305336832895892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Efficiency!$C$2</c:f>
              <c:strCache>
                <c:ptCount val="1"/>
                <c:pt idx="0">
                  <c:v>8.0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Efficiency!$B$15:$B$24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Efficiency!$N$15:$N$24</c:f>
              <c:numCache>
                <c:formatCode>0.0</c:formatCode>
                <c:ptCount val="10"/>
                <c:pt idx="0">
                  <c:v>86.244598489365274</c:v>
                </c:pt>
                <c:pt idx="1">
                  <c:v>87.596573451411658</c:v>
                </c:pt>
                <c:pt idx="2">
                  <c:v>89.045533582484524</c:v>
                </c:pt>
                <c:pt idx="3">
                  <c:v>90.580232484810836</c:v>
                </c:pt>
                <c:pt idx="4">
                  <c:v>92.188251948597554</c:v>
                </c:pt>
                <c:pt idx="5">
                  <c:v>93.855588189868669</c:v>
                </c:pt>
                <c:pt idx="6">
                  <c:v>95.566095416634667</c:v>
                </c:pt>
                <c:pt idx="7">
                  <c:v>97.300715528835326</c:v>
                </c:pt>
                <c:pt idx="8">
                  <c:v>99.018921254131712</c:v>
                </c:pt>
                <c:pt idx="9">
                  <c:v>100.70691359175136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Efficiency!$V$15:$V$24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Efficiency!$AH$15:$AH$24</c:f>
              <c:numCache>
                <c:formatCode>0.0</c:formatCode>
                <c:ptCount val="10"/>
                <c:pt idx="0">
                  <c:v>86.971175945279853</c:v>
                </c:pt>
                <c:pt idx="1">
                  <c:v>89.145244343798069</c:v>
                </c:pt>
                <c:pt idx="2">
                  <c:v>91.513192392361915</c:v>
                </c:pt>
                <c:pt idx="3">
                  <c:v>94.065832198170284</c:v>
                </c:pt>
                <c:pt idx="4">
                  <c:v>96.793695623403138</c:v>
                </c:pt>
                <c:pt idx="5">
                  <c:v>99.686906366385202</c:v>
                </c:pt>
                <c:pt idx="6">
                  <c:v>102.73502077673267</c:v>
                </c:pt>
                <c:pt idx="7">
                  <c:v>105.92682532081417</c:v>
                </c:pt>
                <c:pt idx="8">
                  <c:v>109.21932468649801</c:v>
                </c:pt>
                <c:pt idx="9">
                  <c:v>112.62386208120488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16.0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Efficiency!$AP$15:$AP$24</c:f>
              <c:numCache>
                <c:formatCode>0.00</c:formatCode>
                <c:ptCount val="1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</c:numCache>
            </c:numRef>
          </c:xVal>
          <c:yVal>
            <c:numRef>
              <c:f>Efficiency!$BB$15:$BB$24</c:f>
              <c:numCache>
                <c:formatCode>0.0</c:formatCode>
                <c:ptCount val="10"/>
                <c:pt idx="0">
                  <c:v>87.338401489609382</c:v>
                </c:pt>
                <c:pt idx="1">
                  <c:v>89.923828554810058</c:v>
                </c:pt>
                <c:pt idx="2">
                  <c:v>92.747007607912821</c:v>
                </c:pt>
                <c:pt idx="3">
                  <c:v>95.798676932410729</c:v>
                </c:pt>
                <c:pt idx="4">
                  <c:v>99.069527705829842</c:v>
                </c:pt>
                <c:pt idx="5">
                  <c:v>102.55013477056427</c:v>
                </c:pt>
                <c:pt idx="6">
                  <c:v>106.23087386354003</c:v>
                </c:pt>
                <c:pt idx="7">
                  <c:v>110.10182081163462</c:v>
                </c:pt>
                <c:pt idx="8">
                  <c:v>114.11533405199152</c:v>
                </c:pt>
                <c:pt idx="9">
                  <c:v>118.29053093063746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850928"/>
        <c:axId val="353851488"/>
      </c:scatterChart>
      <c:valAx>
        <c:axId val="353850928"/>
        <c:scaling>
          <c:orientation val="minMax"/>
          <c:max val="2.25"/>
          <c:min val="0.2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51488"/>
        <c:crosses val="autoZero"/>
        <c:crossBetween val="midCat"/>
        <c:majorUnit val="0.25"/>
        <c:minorUnit val="0.125"/>
      </c:valAx>
      <c:valAx>
        <c:axId val="353851488"/>
        <c:scaling>
          <c:orientation val="minMax"/>
          <c:max val="16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850928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672759655043295"/>
          <c:y val="0.10912902623573729"/>
          <c:w val="0.12461751371987591"/>
          <c:h val="0.1578844644419494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Vout </a:t>
            </a:r>
            <a:r>
              <a:rPr lang="en-US" sz="1200" baseline="0"/>
              <a:t>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6268841394825637"/>
          <c:y val="2.08453859585547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5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Dropout!$Q$4:$Q$44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4.99903317535545</c:v>
                </c:pt>
                <c:pt idx="30">
                  <c:v>4.8018450254187366</c:v>
                </c:pt>
                <c:pt idx="31">
                  <c:v>4.5973567662006181</c:v>
                </c:pt>
                <c:pt idx="32">
                  <c:v>4.3928389393057605</c:v>
                </c:pt>
                <c:pt idx="33">
                  <c:v>4.1882922788850454</c:v>
                </c:pt>
                <c:pt idx="34">
                  <c:v>3.9837176786870971</c:v>
                </c:pt>
                <c:pt idx="35">
                  <c:v>3.7791151410591102</c:v>
                </c:pt>
                <c:pt idx="36">
                  <c:v>3.5744846660010872</c:v>
                </c:pt>
                <c:pt idx="37">
                  <c:v>3.3698262535130259</c:v>
                </c:pt>
                <c:pt idx="38">
                  <c:v>3.1651399035949281</c:v>
                </c:pt>
                <c:pt idx="39">
                  <c:v>2.9604256162467939</c:v>
                </c:pt>
                <c:pt idx="40">
                  <c:v>2.7556833914686232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</c:f>
              <c:strCache>
                <c:ptCount val="1"/>
                <c:pt idx="0">
                  <c:v>1.33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Dropout!$AF$4:$AF$44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4.99903317535545</c:v>
                </c:pt>
                <c:pt idx="30">
                  <c:v>4.9822026898660932</c:v>
                </c:pt>
                <c:pt idx="31">
                  <c:v>4.7772240426753694</c:v>
                </c:pt>
                <c:pt idx="32">
                  <c:v>4.5722327782530794</c:v>
                </c:pt>
                <c:pt idx="33">
                  <c:v>4.3672291746434784</c:v>
                </c:pt>
                <c:pt idx="34">
                  <c:v>4.1622138789298155</c:v>
                </c:pt>
                <c:pt idx="35">
                  <c:v>3.9571869183347186</c:v>
                </c:pt>
                <c:pt idx="36">
                  <c:v>3.7521482928581884</c:v>
                </c:pt>
                <c:pt idx="37">
                  <c:v>3.5470980025002228</c:v>
                </c:pt>
                <c:pt idx="38">
                  <c:v>3.342036047260823</c:v>
                </c:pt>
                <c:pt idx="39">
                  <c:v>3.1369624271399892</c:v>
                </c:pt>
                <c:pt idx="40">
                  <c:v>2.9318771421377212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</c:f>
              <c:strCache>
                <c:ptCount val="1"/>
                <c:pt idx="0">
                  <c:v>0.67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Dropout!$B$4:$B$44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Dropout!$AU$4:$AU$44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4.99903317535545</c:v>
                </c:pt>
                <c:pt idx="30">
                  <c:v>4.99903317535545</c:v>
                </c:pt>
                <c:pt idx="31">
                  <c:v>4.936271251591525</c:v>
                </c:pt>
                <c:pt idx="32">
                  <c:v>4.7309971838488147</c:v>
                </c:pt>
                <c:pt idx="33">
                  <c:v>4.5257199410287328</c:v>
                </c:pt>
                <c:pt idx="34">
                  <c:v>4.3204398481289621</c:v>
                </c:pt>
                <c:pt idx="35">
                  <c:v>4.1151569412314242</c:v>
                </c:pt>
                <c:pt idx="36">
                  <c:v>3.9098712203361217</c:v>
                </c:pt>
                <c:pt idx="37">
                  <c:v>3.7045826854430519</c:v>
                </c:pt>
                <c:pt idx="38">
                  <c:v>3.4992913365522158</c:v>
                </c:pt>
                <c:pt idx="39">
                  <c:v>3.2939971736636151</c:v>
                </c:pt>
                <c:pt idx="40">
                  <c:v>3.0887001967772481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306048"/>
        <c:axId val="354306608"/>
      </c:scatterChart>
      <c:valAx>
        <c:axId val="354306048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736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06608"/>
        <c:crosses val="autoZero"/>
        <c:crossBetween val="midCat"/>
        <c:majorUnit val="0.8"/>
        <c:minorUnit val="0.4"/>
      </c:valAx>
      <c:valAx>
        <c:axId val="354306608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4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30604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942600924884387"/>
          <c:y val="0.11191842651467614"/>
          <c:w val="0.1468136795400575"/>
          <c:h val="0.2152496732887468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Vout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80559856796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Dropout!$C$47</c:f>
              <c:strCache>
                <c:ptCount val="1"/>
                <c:pt idx="0">
                  <c:v>2.00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Dropout!$Q$47:$Q$87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4.8711924561615323</c:v>
                </c:pt>
                <c:pt idx="30">
                  <c:v>4.6717867908002217</c:v>
                </c:pt>
                <c:pt idx="31">
                  <c:v>4.4723524794393645</c:v>
                </c:pt>
                <c:pt idx="32">
                  <c:v>4.2728895329708285</c:v>
                </c:pt>
                <c:pt idx="33">
                  <c:v>4.073398610349626</c:v>
                </c:pt>
                <c:pt idx="34">
                  <c:v>3.8738805168905026</c:v>
                </c:pt>
                <c:pt idx="35">
                  <c:v>3.6743352547876</c:v>
                </c:pt>
                <c:pt idx="36">
                  <c:v>3.4747628240409161</c:v>
                </c:pt>
                <c:pt idx="37">
                  <c:v>3.2751632246504512</c:v>
                </c:pt>
                <c:pt idx="38">
                  <c:v>3.0755364566162058</c:v>
                </c:pt>
                <c:pt idx="39">
                  <c:v>2.8758825199381803</c:v>
                </c:pt>
                <c:pt idx="40">
                  <c:v>2.6762014146163748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Dropout!$R$47</c:f>
              <c:strCache>
                <c:ptCount val="1"/>
                <c:pt idx="0">
                  <c:v>1.33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Dropout!$AF$47:$AF$87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4.99903317535545</c:v>
                </c:pt>
                <c:pt idx="30">
                  <c:v>4.8488574668598021</c:v>
                </c:pt>
                <c:pt idx="31">
                  <c:v>4.6489470198422831</c:v>
                </c:pt>
                <c:pt idx="32">
                  <c:v>4.4490243504814107</c:v>
                </c:pt>
                <c:pt idx="33">
                  <c:v>4.2490897095440996</c:v>
                </c:pt>
                <c:pt idx="34">
                  <c:v>4.0491436811650932</c:v>
                </c:pt>
                <c:pt idx="35">
                  <c:v>3.8491862899694018</c:v>
                </c:pt>
                <c:pt idx="36">
                  <c:v>3.6492175359570238</c:v>
                </c:pt>
                <c:pt idx="37">
                  <c:v>3.4492374191279609</c:v>
                </c:pt>
                <c:pt idx="38">
                  <c:v>3.2492459394822113</c:v>
                </c:pt>
                <c:pt idx="39">
                  <c:v>3.0492430970197777</c:v>
                </c:pt>
                <c:pt idx="40">
                  <c:v>2.8492288917406592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Dropout!$AG$47</c:f>
              <c:strCache>
                <c:ptCount val="1"/>
                <c:pt idx="0">
                  <c:v>0.67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Dropout!$B$47:$B$87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11.784999999999995</c:v>
                </c:pt>
                <c:pt idx="2">
                  <c:v>11.569999999999995</c:v>
                </c:pt>
                <c:pt idx="3">
                  <c:v>11.354999999999995</c:v>
                </c:pt>
                <c:pt idx="4">
                  <c:v>11.139999999999995</c:v>
                </c:pt>
                <c:pt idx="5">
                  <c:v>10.924999999999995</c:v>
                </c:pt>
                <c:pt idx="6">
                  <c:v>10.709999999999996</c:v>
                </c:pt>
                <c:pt idx="7">
                  <c:v>10.494999999999996</c:v>
                </c:pt>
                <c:pt idx="8">
                  <c:v>10.279999999999996</c:v>
                </c:pt>
                <c:pt idx="9">
                  <c:v>10.064999999999996</c:v>
                </c:pt>
                <c:pt idx="10">
                  <c:v>9.8499999999999961</c:v>
                </c:pt>
                <c:pt idx="11">
                  <c:v>9.6349999999999962</c:v>
                </c:pt>
                <c:pt idx="12">
                  <c:v>9.4199999999999964</c:v>
                </c:pt>
                <c:pt idx="13">
                  <c:v>9.2049999999999965</c:v>
                </c:pt>
                <c:pt idx="14">
                  <c:v>8.9899999999999967</c:v>
                </c:pt>
                <c:pt idx="15">
                  <c:v>8.7749999999999968</c:v>
                </c:pt>
                <c:pt idx="16">
                  <c:v>8.5599999999999969</c:v>
                </c:pt>
                <c:pt idx="17">
                  <c:v>8.3449999999999971</c:v>
                </c:pt>
                <c:pt idx="18">
                  <c:v>8.1299999999999972</c:v>
                </c:pt>
                <c:pt idx="19">
                  <c:v>7.9149999999999974</c:v>
                </c:pt>
                <c:pt idx="20">
                  <c:v>7.6999999999999975</c:v>
                </c:pt>
                <c:pt idx="21">
                  <c:v>7.4849999999999977</c:v>
                </c:pt>
                <c:pt idx="22">
                  <c:v>7.2699999999999978</c:v>
                </c:pt>
                <c:pt idx="23">
                  <c:v>7.0549999999999979</c:v>
                </c:pt>
                <c:pt idx="24">
                  <c:v>6.8399999999999981</c:v>
                </c:pt>
                <c:pt idx="25">
                  <c:v>6.6249999999999982</c:v>
                </c:pt>
                <c:pt idx="26">
                  <c:v>6.4099999999999984</c:v>
                </c:pt>
                <c:pt idx="27">
                  <c:v>6.1949999999999985</c:v>
                </c:pt>
                <c:pt idx="28">
                  <c:v>5.9799999999999986</c:v>
                </c:pt>
                <c:pt idx="29">
                  <c:v>5.7649999999999988</c:v>
                </c:pt>
                <c:pt idx="30">
                  <c:v>5.5499999999999989</c:v>
                </c:pt>
                <c:pt idx="31">
                  <c:v>5.3349999999999991</c:v>
                </c:pt>
                <c:pt idx="32">
                  <c:v>5.1199999999999992</c:v>
                </c:pt>
                <c:pt idx="33">
                  <c:v>4.9049999999999994</c:v>
                </c:pt>
                <c:pt idx="34">
                  <c:v>4.6899999999999995</c:v>
                </c:pt>
                <c:pt idx="35">
                  <c:v>4.4749999999999996</c:v>
                </c:pt>
                <c:pt idx="36">
                  <c:v>4.26</c:v>
                </c:pt>
                <c:pt idx="37">
                  <c:v>4.0449999999999999</c:v>
                </c:pt>
                <c:pt idx="38">
                  <c:v>3.8299999999999996</c:v>
                </c:pt>
                <c:pt idx="39">
                  <c:v>3.6149999999999998</c:v>
                </c:pt>
                <c:pt idx="40">
                  <c:v>3.4</c:v>
                </c:pt>
              </c:numCache>
            </c:numRef>
          </c:xVal>
          <c:yVal>
            <c:numRef>
              <c:f>Dropout!$AU$47:$AU$87</c:f>
              <c:numCache>
                <c:formatCode>0.000</c:formatCode>
                <c:ptCount val="41"/>
                <c:pt idx="0">
                  <c:v>4.99903317535545</c:v>
                </c:pt>
                <c:pt idx="1">
                  <c:v>4.99903317535545</c:v>
                </c:pt>
                <c:pt idx="2">
                  <c:v>4.99903317535545</c:v>
                </c:pt>
                <c:pt idx="3">
                  <c:v>4.99903317535545</c:v>
                </c:pt>
                <c:pt idx="4">
                  <c:v>4.99903317535545</c:v>
                </c:pt>
                <c:pt idx="5">
                  <c:v>4.99903317535545</c:v>
                </c:pt>
                <c:pt idx="6">
                  <c:v>4.99903317535545</c:v>
                </c:pt>
                <c:pt idx="7">
                  <c:v>4.99903317535545</c:v>
                </c:pt>
                <c:pt idx="8">
                  <c:v>4.99903317535545</c:v>
                </c:pt>
                <c:pt idx="9">
                  <c:v>4.99903317535545</c:v>
                </c:pt>
                <c:pt idx="10">
                  <c:v>4.99903317535545</c:v>
                </c:pt>
                <c:pt idx="11">
                  <c:v>4.99903317535545</c:v>
                </c:pt>
                <c:pt idx="12">
                  <c:v>4.99903317535545</c:v>
                </c:pt>
                <c:pt idx="13">
                  <c:v>4.99903317535545</c:v>
                </c:pt>
                <c:pt idx="14">
                  <c:v>4.99903317535545</c:v>
                </c:pt>
                <c:pt idx="15">
                  <c:v>4.99903317535545</c:v>
                </c:pt>
                <c:pt idx="16">
                  <c:v>4.99903317535545</c:v>
                </c:pt>
                <c:pt idx="17">
                  <c:v>4.99903317535545</c:v>
                </c:pt>
                <c:pt idx="18">
                  <c:v>4.99903317535545</c:v>
                </c:pt>
                <c:pt idx="19">
                  <c:v>4.99903317535545</c:v>
                </c:pt>
                <c:pt idx="20">
                  <c:v>4.99903317535545</c:v>
                </c:pt>
                <c:pt idx="21">
                  <c:v>4.99903317535545</c:v>
                </c:pt>
                <c:pt idx="22">
                  <c:v>4.99903317535545</c:v>
                </c:pt>
                <c:pt idx="23">
                  <c:v>4.99903317535545</c:v>
                </c:pt>
                <c:pt idx="24">
                  <c:v>4.99903317535545</c:v>
                </c:pt>
                <c:pt idx="25">
                  <c:v>4.99903317535545</c:v>
                </c:pt>
                <c:pt idx="26">
                  <c:v>4.99903317535545</c:v>
                </c:pt>
                <c:pt idx="27">
                  <c:v>4.99903317535545</c:v>
                </c:pt>
                <c:pt idx="28">
                  <c:v>4.99903317535545</c:v>
                </c:pt>
                <c:pt idx="29">
                  <c:v>4.99903317535545</c:v>
                </c:pt>
                <c:pt idx="30">
                  <c:v>4.99903317535545</c:v>
                </c:pt>
                <c:pt idx="31">
                  <c:v>4.8057884753987317</c:v>
                </c:pt>
                <c:pt idx="32">
                  <c:v>4.6055904642664247</c:v>
                </c:pt>
                <c:pt idx="33">
                  <c:v>4.4053893830295454</c:v>
                </c:pt>
                <c:pt idx="34">
                  <c:v>4.2051855255442776</c:v>
                </c:pt>
                <c:pt idx="35">
                  <c:v>4.0049789244399481</c:v>
                </c:pt>
                <c:pt idx="36">
                  <c:v>3.8047695797165568</c:v>
                </c:pt>
                <c:pt idx="37">
                  <c:v>3.6045574913741034</c:v>
                </c:pt>
                <c:pt idx="38">
                  <c:v>3.4043426594125887</c:v>
                </c:pt>
                <c:pt idx="39">
                  <c:v>3.2041250838320119</c:v>
                </c:pt>
                <c:pt idx="40">
                  <c:v>3.0039047646323738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Dropout!$H$113:$H$114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Dropout!$I$113:$I$114</c:f>
              <c:numCache>
                <c:formatCode>General</c:formatCode>
                <c:ptCount val="2"/>
                <c:pt idx="0">
                  <c:v>1</c:v>
                </c:pt>
                <c:pt idx="1">
                  <c:v>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55520"/>
        <c:axId val="353556080"/>
      </c:scatterChart>
      <c:valAx>
        <c:axId val="353555520"/>
        <c:scaling>
          <c:orientation val="minMax"/>
          <c:max val="11.4"/>
          <c:min val="3.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56080"/>
        <c:crosses val="autoZero"/>
        <c:crossBetween val="midCat"/>
        <c:majorUnit val="0.8"/>
        <c:minorUnit val="0.4"/>
      </c:valAx>
      <c:valAx>
        <c:axId val="353556080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1.5705224346956741E-2"/>
              <c:y val="0.307160412479825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5555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9778"/>
          <c:y val="0.12028662735149852"/>
          <c:w val="0.15673431446069558"/>
          <c:h val="0.19572387133616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684"/>
          <c:y val="2.1798365122615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1863517060374"/>
          <c:y val="0.12319251646677808"/>
          <c:w val="0.82715987168271321"/>
          <c:h val="0.72752930406860061"/>
        </c:manualLayout>
      </c:layout>
      <c:scatterChart>
        <c:scatterStyle val="lineMarker"/>
        <c:varyColors val="0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6527850685331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Constants!$B$49:$B$53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Constants!$C$49:$C$53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558880"/>
        <c:axId val="353559440"/>
      </c:scatterChart>
      <c:valAx>
        <c:axId val="353558880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53559440"/>
        <c:crosses val="autoZero"/>
        <c:crossBetween val="midCat"/>
        <c:majorUnit val="1"/>
        <c:minorUnit val="1"/>
      </c:valAx>
      <c:valAx>
        <c:axId val="353559440"/>
        <c:scaling>
          <c:orientation val="minMax"/>
          <c:max val="10.5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74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53558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372"/>
          <c:y val="0.14972044025831921"/>
          <c:w val="0.2491294117647059"/>
          <c:h val="0.12401320662871176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7.png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76</xdr:row>
      <xdr:rowOff>66676</xdr:rowOff>
    </xdr:from>
    <xdr:to>
      <xdr:col>8</xdr:col>
      <xdr:colOff>600075</xdr:colOff>
      <xdr:row>92</xdr:row>
      <xdr:rowOff>70045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6221076"/>
          <a:ext cx="7810500" cy="305136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9</xdr:col>
      <xdr:colOff>106680</xdr:colOff>
      <xdr:row>7</xdr:row>
      <xdr:rowOff>191306</xdr:rowOff>
    </xdr:from>
    <xdr:to>
      <xdr:col>15</xdr:col>
      <xdr:colOff>609600</xdr:colOff>
      <xdr:row>21</xdr:row>
      <xdr:rowOff>169862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3400" y="1943906"/>
          <a:ext cx="4290060" cy="3354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17</xdr:row>
      <xdr:rowOff>171450</xdr:rowOff>
    </xdr:from>
    <xdr:to>
      <xdr:col>5</xdr:col>
      <xdr:colOff>473075</xdr:colOff>
      <xdr:row>31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1</xdr:row>
      <xdr:rowOff>179731</xdr:rowOff>
    </xdr:from>
    <xdr:to>
      <xdr:col>15</xdr:col>
      <xdr:colOff>419099</xdr:colOff>
      <xdr:row>14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425" b="10130"/>
        <a:stretch>
          <a:fillRect/>
        </a:stretch>
      </xdr:blipFill>
      <xdr:spPr bwMode="auto">
        <a:xfrm>
          <a:off x="7972425" y="179731"/>
          <a:ext cx="3952874" cy="32111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24</xdr:row>
      <xdr:rowOff>76200</xdr:rowOff>
    </xdr:from>
    <xdr:to>
      <xdr:col>14</xdr:col>
      <xdr:colOff>219075</xdr:colOff>
      <xdr:row>48</xdr:row>
      <xdr:rowOff>57150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133350</xdr:rowOff>
    </xdr:from>
    <xdr:to>
      <xdr:col>14</xdr:col>
      <xdr:colOff>219075</xdr:colOff>
      <xdr:row>72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24</xdr:row>
      <xdr:rowOff>80963</xdr:rowOff>
    </xdr:from>
    <xdr:to>
      <xdr:col>28</xdr:col>
      <xdr:colOff>419100</xdr:colOff>
      <xdr:row>48</xdr:row>
      <xdr:rowOff>61913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285750</xdr:colOff>
      <xdr:row>48</xdr:row>
      <xdr:rowOff>142875</xdr:rowOff>
    </xdr:from>
    <xdr:to>
      <xdr:col>28</xdr:col>
      <xdr:colOff>419100</xdr:colOff>
      <xdr:row>72</xdr:row>
      <xdr:rowOff>123825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38100</xdr:colOff>
      <xdr:row>24</xdr:row>
      <xdr:rowOff>85725</xdr:rowOff>
    </xdr:from>
    <xdr:to>
      <xdr:col>43</xdr:col>
      <xdr:colOff>171450</xdr:colOff>
      <xdr:row>48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38100</xdr:colOff>
      <xdr:row>48</xdr:row>
      <xdr:rowOff>152400</xdr:rowOff>
    </xdr:from>
    <xdr:to>
      <xdr:col>43</xdr:col>
      <xdr:colOff>171450</xdr:colOff>
      <xdr:row>72</xdr:row>
      <xdr:rowOff>133350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87</xdr:row>
      <xdr:rowOff>66675</xdr:rowOff>
    </xdr:from>
    <xdr:to>
      <xdr:col>14</xdr:col>
      <xdr:colOff>247649</xdr:colOff>
      <xdr:row>111</xdr:row>
      <xdr:rowOff>47625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87</xdr:row>
      <xdr:rowOff>66675</xdr:rowOff>
    </xdr:from>
    <xdr:to>
      <xdr:col>29</xdr:col>
      <xdr:colOff>19050</xdr:colOff>
      <xdr:row>111</xdr:row>
      <xdr:rowOff>47625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11</xdr:row>
      <xdr:rowOff>1</xdr:rowOff>
    </xdr:from>
    <xdr:to>
      <xdr:col>14</xdr:col>
      <xdr:colOff>209550</xdr:colOff>
      <xdr:row>20</xdr:row>
      <xdr:rowOff>130874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2590801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285750</xdr:colOff>
      <xdr:row>11</xdr:row>
      <xdr:rowOff>1</xdr:rowOff>
    </xdr:from>
    <xdr:to>
      <xdr:col>19</xdr:col>
      <xdr:colOff>438150</xdr:colOff>
      <xdr:row>20</xdr:row>
      <xdr:rowOff>130874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29850" y="2590801"/>
          <a:ext cx="3200400" cy="2188273"/>
        </a:xfrm>
        <a:prstGeom prst="rect">
          <a:avLst/>
        </a:prstGeom>
      </xdr:spPr>
    </xdr:pic>
    <xdr:clientData/>
  </xdr:twoCellAnchor>
  <xdr:twoCellAnchor>
    <xdr:from>
      <xdr:col>7</xdr:col>
      <xdr:colOff>114299</xdr:colOff>
      <xdr:row>37</xdr:row>
      <xdr:rowOff>0</xdr:rowOff>
    </xdr:from>
    <xdr:to>
      <xdr:col>14</xdr:col>
      <xdr:colOff>161924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20</xdr:row>
      <xdr:rowOff>180977</xdr:rowOff>
    </xdr:from>
    <xdr:to>
      <xdr:col>16</xdr:col>
      <xdr:colOff>104775</xdr:colOff>
      <xdr:row>35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381001</xdr:colOff>
      <xdr:row>16</xdr:row>
      <xdr:rowOff>133350</xdr:rowOff>
    </xdr:from>
    <xdr:to>
      <xdr:col>14</xdr:col>
      <xdr:colOff>9525</xdr:colOff>
      <xdr:row>17</xdr:row>
      <xdr:rowOff>209550</xdr:rowOff>
    </xdr:to>
    <xdr:sp macro="" textlink="">
      <xdr:nvSpPr>
        <xdr:cNvPr id="13" name="TextBox 12"/>
        <xdr:cNvSpPr txBox="1"/>
      </xdr:nvSpPr>
      <xdr:spPr>
        <a:xfrm>
          <a:off x="7277101" y="3867150"/>
          <a:ext cx="26765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552451</xdr:colOff>
      <xdr:row>16</xdr:row>
      <xdr:rowOff>123826</xdr:rowOff>
    </xdr:from>
    <xdr:to>
      <xdr:col>19</xdr:col>
      <xdr:colOff>219075</xdr:colOff>
      <xdr:row>17</xdr:row>
      <xdr:rowOff>200026</xdr:rowOff>
    </xdr:to>
    <xdr:sp macro="" textlink="">
      <xdr:nvSpPr>
        <xdr:cNvPr id="14" name="TextBox 13"/>
        <xdr:cNvSpPr txBox="1"/>
      </xdr:nvSpPr>
      <xdr:spPr>
        <a:xfrm>
          <a:off x="10496551" y="3857626"/>
          <a:ext cx="271462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 editAs="oneCell">
    <xdr:from>
      <xdr:col>9</xdr:col>
      <xdr:colOff>121920</xdr:colOff>
      <xdr:row>0</xdr:row>
      <xdr:rowOff>68580</xdr:rowOff>
    </xdr:from>
    <xdr:to>
      <xdr:col>14</xdr:col>
      <xdr:colOff>274320</xdr:colOff>
      <xdr:row>10</xdr:row>
      <xdr:rowOff>106680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7560" y="68580"/>
          <a:ext cx="3200400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97"/>
  <sheetViews>
    <sheetView tabSelected="1" workbookViewId="0">
      <selection activeCell="C6" sqref="C6"/>
    </sheetView>
  </sheetViews>
  <sheetFormatPr defaultRowHeight="14.4" x14ac:dyDescent="0.3"/>
  <cols>
    <col min="1" max="1" width="20.6640625" style="4" customWidth="1"/>
    <col min="2" max="4" width="12.6640625" style="6" customWidth="1"/>
    <col min="5" max="5" width="15.6640625" style="5" customWidth="1"/>
    <col min="6" max="6" width="15.6640625" style="6" customWidth="1"/>
    <col min="7" max="8" width="9.109375" style="6"/>
    <col min="9" max="10" width="9.109375" style="6" customWidth="1"/>
    <col min="11" max="11" width="9.109375" style="6"/>
    <col min="12" max="12" width="9.6640625" style="6" bestFit="1" customWidth="1"/>
    <col min="13" max="16" width="9.109375" style="6"/>
  </cols>
  <sheetData>
    <row r="1" spans="1:16" ht="24" customHeight="1" thickBot="1" x14ac:dyDescent="0.35">
      <c r="A1" s="376" t="s">
        <v>352</v>
      </c>
      <c r="B1" s="377"/>
      <c r="C1" s="377"/>
      <c r="D1" s="377"/>
      <c r="E1" s="377"/>
      <c r="F1" s="377"/>
      <c r="G1" s="377"/>
      <c r="H1" s="377"/>
      <c r="I1" s="378"/>
    </row>
    <row r="2" spans="1:16" ht="24" customHeight="1" thickBot="1" x14ac:dyDescent="0.35">
      <c r="A2" s="400" t="s">
        <v>157</v>
      </c>
      <c r="B2" s="401"/>
      <c r="C2" s="401"/>
      <c r="D2" s="401"/>
      <c r="E2" s="401"/>
      <c r="F2" s="401"/>
      <c r="G2" s="401"/>
      <c r="H2" s="401"/>
      <c r="I2" s="402"/>
    </row>
    <row r="3" spans="1:16" s="2" customFormat="1" ht="18" customHeight="1" thickBot="1" x14ac:dyDescent="0.4">
      <c r="A3" s="90" t="s">
        <v>133</v>
      </c>
      <c r="B3" s="42" t="s">
        <v>32</v>
      </c>
      <c r="C3" s="42" t="s">
        <v>33</v>
      </c>
      <c r="D3" s="42" t="s">
        <v>34</v>
      </c>
      <c r="E3" s="43" t="s">
        <v>35</v>
      </c>
      <c r="F3" s="405" t="s">
        <v>37</v>
      </c>
      <c r="G3" s="406"/>
      <c r="H3" s="406"/>
      <c r="I3" s="407"/>
      <c r="J3" s="3"/>
      <c r="K3" s="3"/>
      <c r="L3" s="3"/>
      <c r="M3" s="3"/>
      <c r="N3" s="3"/>
      <c r="O3" s="3"/>
      <c r="P3" s="3"/>
    </row>
    <row r="4" spans="1:16" ht="18" customHeight="1" thickBot="1" x14ac:dyDescent="0.35">
      <c r="A4" s="44" t="s">
        <v>319</v>
      </c>
      <c r="B4" s="249">
        <v>8</v>
      </c>
      <c r="C4" s="249">
        <v>12</v>
      </c>
      <c r="D4" s="249">
        <v>16</v>
      </c>
      <c r="E4" s="23" t="s">
        <v>2</v>
      </c>
      <c r="F4" s="408" t="str">
        <f>IF(B4&lt;Constants!D7,"Vin_min is lower than UVLO Stop_max","Steady-state input operating voltages")</f>
        <v>Steady-state input operating voltages</v>
      </c>
      <c r="G4" s="409"/>
      <c r="H4" s="409"/>
      <c r="I4" s="410"/>
    </row>
    <row r="5" spans="1:16" ht="18" customHeight="1" thickBot="1" x14ac:dyDescent="0.4">
      <c r="A5" s="44" t="s">
        <v>320</v>
      </c>
      <c r="B5" s="249">
        <v>7.8</v>
      </c>
      <c r="C5" s="299" t="s">
        <v>23</v>
      </c>
      <c r="D5" s="300" t="s">
        <v>23</v>
      </c>
      <c r="E5" s="13" t="s">
        <v>2</v>
      </c>
      <c r="F5" s="335" t="s">
        <v>321</v>
      </c>
      <c r="G5" s="343"/>
      <c r="H5" s="343"/>
      <c r="I5" s="344"/>
    </row>
    <row r="6" spans="1:16" ht="18" customHeight="1" thickBot="1" x14ac:dyDescent="0.35">
      <c r="A6" s="45" t="s">
        <v>50</v>
      </c>
      <c r="B6" s="301" t="s">
        <v>23</v>
      </c>
      <c r="C6" s="302">
        <v>5</v>
      </c>
      <c r="D6" s="62" t="s">
        <v>23</v>
      </c>
      <c r="E6" s="13" t="s">
        <v>2</v>
      </c>
      <c r="F6" s="411" t="s">
        <v>91</v>
      </c>
      <c r="G6" s="412"/>
      <c r="H6" s="412"/>
      <c r="I6" s="413"/>
    </row>
    <row r="7" spans="1:16" ht="18" customHeight="1" thickBot="1" x14ac:dyDescent="0.4">
      <c r="A7" s="45" t="s">
        <v>75</v>
      </c>
      <c r="B7" s="303" t="s">
        <v>23</v>
      </c>
      <c r="C7" s="342" t="s">
        <v>23</v>
      </c>
      <c r="D7" s="304">
        <v>2</v>
      </c>
      <c r="E7" s="23" t="s">
        <v>68</v>
      </c>
      <c r="F7" s="411" t="s">
        <v>92</v>
      </c>
      <c r="G7" s="412"/>
      <c r="H7" s="412"/>
      <c r="I7" s="413"/>
    </row>
    <row r="8" spans="1:16" ht="18" customHeight="1" thickBot="1" x14ac:dyDescent="0.35">
      <c r="A8" s="45" t="s">
        <v>136</v>
      </c>
      <c r="B8" s="305" t="s">
        <v>23</v>
      </c>
      <c r="C8" s="306" t="s">
        <v>23</v>
      </c>
      <c r="D8" s="58">
        <v>1.6</v>
      </c>
      <c r="E8" s="23" t="s">
        <v>25</v>
      </c>
      <c r="F8" s="411" t="s">
        <v>151</v>
      </c>
      <c r="G8" s="412"/>
      <c r="H8" s="412"/>
      <c r="I8" s="413"/>
    </row>
    <row r="9" spans="1:16" ht="18" customHeight="1" thickBot="1" x14ac:dyDescent="0.35">
      <c r="A9" s="45" t="s">
        <v>135</v>
      </c>
      <c r="B9" s="307" t="s">
        <v>23</v>
      </c>
      <c r="C9" s="60" t="s">
        <v>23</v>
      </c>
      <c r="D9" s="58">
        <v>1.6</v>
      </c>
      <c r="E9" s="23" t="s">
        <v>25</v>
      </c>
      <c r="F9" s="411" t="s">
        <v>151</v>
      </c>
      <c r="G9" s="412"/>
      <c r="H9" s="412"/>
      <c r="I9" s="413"/>
    </row>
    <row r="10" spans="1:16" ht="18" customHeight="1" thickBot="1" x14ac:dyDescent="0.35">
      <c r="A10" s="44" t="s">
        <v>134</v>
      </c>
      <c r="B10" s="58">
        <v>-20</v>
      </c>
      <c r="C10" s="308" t="s">
        <v>23</v>
      </c>
      <c r="D10" s="58">
        <v>20</v>
      </c>
      <c r="E10" s="23" t="s">
        <v>25</v>
      </c>
      <c r="F10" s="411" t="s">
        <v>59</v>
      </c>
      <c r="G10" s="412"/>
      <c r="H10" s="412"/>
      <c r="I10" s="413"/>
    </row>
    <row r="11" spans="1:16" ht="18" customHeight="1" thickBot="1" x14ac:dyDescent="0.35">
      <c r="A11" s="46" t="s">
        <v>71</v>
      </c>
      <c r="B11" s="309" t="s">
        <v>23</v>
      </c>
      <c r="C11" s="310">
        <v>1</v>
      </c>
      <c r="D11" s="62" t="s">
        <v>23</v>
      </c>
      <c r="E11" s="38" t="s">
        <v>38</v>
      </c>
      <c r="F11" s="382" t="s">
        <v>67</v>
      </c>
      <c r="G11" s="383"/>
      <c r="H11" s="383"/>
      <c r="I11" s="384"/>
    </row>
    <row r="12" spans="1:16" ht="18" customHeight="1" thickBot="1" x14ac:dyDescent="0.35">
      <c r="A12" s="39" t="s">
        <v>143</v>
      </c>
      <c r="B12" s="40" t="s">
        <v>23</v>
      </c>
      <c r="C12" s="37">
        <v>34</v>
      </c>
      <c r="D12" s="54" t="s">
        <v>23</v>
      </c>
      <c r="E12" s="41" t="s">
        <v>24</v>
      </c>
      <c r="F12" s="394" t="s">
        <v>278</v>
      </c>
      <c r="G12" s="395"/>
      <c r="H12" s="395"/>
      <c r="I12" s="396"/>
    </row>
    <row r="13" spans="1:16" ht="18" customHeight="1" thickBot="1" x14ac:dyDescent="0.35">
      <c r="A13" s="55" t="s">
        <v>103</v>
      </c>
      <c r="B13" s="56" t="s">
        <v>23</v>
      </c>
      <c r="C13" s="57" t="s">
        <v>23</v>
      </c>
      <c r="D13" s="58">
        <v>85</v>
      </c>
      <c r="E13" s="59" t="s">
        <v>102</v>
      </c>
      <c r="F13" s="385" t="s">
        <v>161</v>
      </c>
      <c r="G13" s="386"/>
      <c r="H13" s="386"/>
      <c r="I13" s="387"/>
    </row>
    <row r="14" spans="1:16" ht="18" customHeight="1" thickBot="1" x14ac:dyDescent="0.35">
      <c r="A14" s="415" t="s">
        <v>238</v>
      </c>
      <c r="B14" s="416"/>
      <c r="C14" s="417"/>
      <c r="D14" s="220" t="s">
        <v>35</v>
      </c>
      <c r="E14" s="416" t="s">
        <v>37</v>
      </c>
      <c r="F14" s="416"/>
      <c r="G14" s="416"/>
      <c r="H14" s="416"/>
      <c r="I14" s="418"/>
    </row>
    <row r="15" spans="1:16" ht="18" customHeight="1" thickBot="1" x14ac:dyDescent="0.35">
      <c r="A15" s="252" t="s">
        <v>231</v>
      </c>
      <c r="B15" s="215">
        <v>0.2</v>
      </c>
      <c r="C15" s="216">
        <v>0.33</v>
      </c>
      <c r="D15" s="217" t="s">
        <v>228</v>
      </c>
      <c r="E15" s="419" t="s">
        <v>245</v>
      </c>
      <c r="F15" s="420"/>
      <c r="G15" s="420"/>
      <c r="H15" s="420"/>
      <c r="I15" s="421"/>
      <c r="M15" s="246"/>
    </row>
    <row r="16" spans="1:16" ht="18" customHeight="1" thickBot="1" x14ac:dyDescent="0.35">
      <c r="A16" s="135" t="s">
        <v>232</v>
      </c>
      <c r="B16" s="215">
        <v>2</v>
      </c>
      <c r="C16" s="216">
        <v>0.46</v>
      </c>
      <c r="D16" s="218" t="s">
        <v>228</v>
      </c>
      <c r="E16" s="411" t="s">
        <v>246</v>
      </c>
      <c r="F16" s="412"/>
      <c r="G16" s="412"/>
      <c r="H16" s="412"/>
      <c r="I16" s="413"/>
    </row>
    <row r="17" spans="1:16" ht="18" customHeight="1" thickBot="1" x14ac:dyDescent="0.35">
      <c r="A17" s="135" t="s">
        <v>233</v>
      </c>
      <c r="B17" s="215">
        <v>4</v>
      </c>
      <c r="C17" s="216">
        <v>0.6</v>
      </c>
      <c r="D17" s="218" t="s">
        <v>228</v>
      </c>
      <c r="E17" s="411" t="s">
        <v>247</v>
      </c>
      <c r="F17" s="412"/>
      <c r="G17" s="412"/>
      <c r="H17" s="412"/>
      <c r="I17" s="413"/>
      <c r="K17" s="244"/>
      <c r="L17" s="245"/>
      <c r="M17" s="245"/>
      <c r="N17" s="245"/>
      <c r="O17" s="245"/>
      <c r="P17" s="245"/>
    </row>
    <row r="18" spans="1:16" ht="18" customHeight="1" thickBot="1" x14ac:dyDescent="0.35">
      <c r="A18" s="135" t="s">
        <v>271</v>
      </c>
      <c r="B18" s="403">
        <v>-0.9</v>
      </c>
      <c r="C18" s="404"/>
      <c r="D18" s="218" t="s">
        <v>229</v>
      </c>
      <c r="E18" s="412" t="s">
        <v>270</v>
      </c>
      <c r="F18" s="412"/>
      <c r="G18" s="412"/>
      <c r="H18" s="412"/>
      <c r="I18" s="413"/>
      <c r="K18" s="258"/>
      <c r="L18" s="245"/>
      <c r="M18" s="245"/>
      <c r="N18" s="245"/>
      <c r="O18" s="245"/>
      <c r="P18" s="245"/>
    </row>
    <row r="19" spans="1:16" ht="18" customHeight="1" thickBot="1" x14ac:dyDescent="0.35">
      <c r="A19" s="261" t="s">
        <v>272</v>
      </c>
      <c r="B19" s="422">
        <v>50</v>
      </c>
      <c r="C19" s="423"/>
      <c r="D19" s="41" t="s">
        <v>24</v>
      </c>
      <c r="E19" s="257" t="s">
        <v>273</v>
      </c>
      <c r="F19" s="259"/>
      <c r="G19" s="259"/>
      <c r="H19" s="259"/>
      <c r="I19" s="260"/>
    </row>
    <row r="20" spans="1:16" ht="32.1" customHeight="1" thickBot="1" x14ac:dyDescent="0.35">
      <c r="A20" s="397" t="s">
        <v>177</v>
      </c>
      <c r="B20" s="398"/>
      <c r="C20" s="398"/>
      <c r="D20" s="398"/>
      <c r="E20" s="398"/>
      <c r="F20" s="398"/>
      <c r="G20" s="398"/>
      <c r="H20" s="398"/>
      <c r="I20" s="399"/>
    </row>
    <row r="21" spans="1:16" s="2" customFormat="1" ht="18" customHeight="1" x14ac:dyDescent="0.35">
      <c r="A21" s="132" t="s">
        <v>31</v>
      </c>
      <c r="B21" s="243" t="s">
        <v>30</v>
      </c>
      <c r="C21" s="243" t="s">
        <v>35</v>
      </c>
      <c r="D21" s="391" t="s">
        <v>37</v>
      </c>
      <c r="E21" s="392"/>
      <c r="F21" s="392"/>
      <c r="G21" s="392"/>
      <c r="H21" s="392"/>
      <c r="I21" s="393"/>
      <c r="J21" s="3"/>
      <c r="K21" s="3"/>
      <c r="L21" s="3"/>
      <c r="M21" s="3"/>
      <c r="N21" s="3"/>
      <c r="O21" s="3"/>
      <c r="P21" s="3"/>
    </row>
    <row r="22" spans="1:16" s="2" customFormat="1" ht="18" customHeight="1" x14ac:dyDescent="0.35">
      <c r="A22" s="388" t="s">
        <v>256</v>
      </c>
      <c r="B22" s="389"/>
      <c r="C22" s="389"/>
      <c r="D22" s="389"/>
      <c r="E22" s="389"/>
      <c r="F22" s="389"/>
      <c r="G22" s="389"/>
      <c r="H22" s="389"/>
      <c r="I22" s="390"/>
      <c r="J22" s="3"/>
      <c r="K22" s="3"/>
      <c r="L22" s="3"/>
      <c r="M22" s="3"/>
      <c r="N22" s="3"/>
      <c r="O22" s="3"/>
      <c r="P22" s="3"/>
    </row>
    <row r="23" spans="1:16" ht="18" customHeight="1" thickBot="1" x14ac:dyDescent="0.35">
      <c r="A23" s="47" t="s">
        <v>51</v>
      </c>
      <c r="B23" s="424">
        <f>Constants!C5*1000*Design!C6/Constants!C3/1000</f>
        <v>222.5</v>
      </c>
      <c r="C23" s="424"/>
      <c r="D23" s="16" t="s">
        <v>66</v>
      </c>
      <c r="E23" s="20" t="s">
        <v>89</v>
      </c>
      <c r="F23" s="18"/>
      <c r="G23" s="18"/>
      <c r="H23" s="18"/>
      <c r="I23" s="48"/>
      <c r="K23" s="247" t="s">
        <v>353</v>
      </c>
    </row>
    <row r="24" spans="1:16" ht="18" customHeight="1" thickBot="1" x14ac:dyDescent="0.35">
      <c r="A24" s="95" t="s">
        <v>53</v>
      </c>
      <c r="B24" s="425">
        <v>221.499</v>
      </c>
      <c r="C24" s="426"/>
      <c r="D24" s="96" t="s">
        <v>178</v>
      </c>
      <c r="E24" s="20" t="s">
        <v>93</v>
      </c>
      <c r="F24" s="18"/>
      <c r="G24" s="18"/>
      <c r="H24" s="18"/>
      <c r="I24" s="48"/>
    </row>
    <row r="25" spans="1:16" ht="18" customHeight="1" thickBot="1" x14ac:dyDescent="0.35">
      <c r="A25" s="47" t="s">
        <v>52</v>
      </c>
      <c r="B25" s="424">
        <f>1000/((1/Constants!C5*1000)-(1/Design!B23*1000))</f>
        <v>42.380952380952387</v>
      </c>
      <c r="C25" s="424"/>
      <c r="D25" s="16" t="s">
        <v>66</v>
      </c>
      <c r="E25" s="20" t="s">
        <v>90</v>
      </c>
      <c r="F25" s="18"/>
      <c r="G25" s="18"/>
      <c r="H25" s="18"/>
      <c r="I25" s="48"/>
    </row>
    <row r="26" spans="1:16" ht="18" customHeight="1" thickBot="1" x14ac:dyDescent="0.35">
      <c r="A26" s="95" t="s">
        <v>54</v>
      </c>
      <c r="B26" s="425">
        <v>42.2</v>
      </c>
      <c r="C26" s="426"/>
      <c r="D26" s="96" t="s">
        <v>178</v>
      </c>
      <c r="E26" s="20" t="s">
        <v>93</v>
      </c>
      <c r="F26" s="18"/>
      <c r="G26" s="18"/>
      <c r="H26" s="18"/>
      <c r="I26" s="48"/>
    </row>
    <row r="27" spans="1:16" ht="18" customHeight="1" thickBot="1" x14ac:dyDescent="0.35">
      <c r="A27" s="95" t="s">
        <v>282</v>
      </c>
      <c r="B27" s="337">
        <f>1.5*B25/B23*Constants!B60</f>
        <v>4.2857142857142865</v>
      </c>
      <c r="C27" s="337">
        <f>1.6*B25/B23*Constants!B61</f>
        <v>7.6190476190476213</v>
      </c>
      <c r="D27" s="96" t="s">
        <v>18</v>
      </c>
      <c r="E27" s="79" t="s">
        <v>325</v>
      </c>
      <c r="F27" s="18"/>
      <c r="G27" s="18"/>
      <c r="H27" s="18"/>
      <c r="I27" s="48"/>
    </row>
    <row r="28" spans="1:16" ht="18" customHeight="1" x14ac:dyDescent="0.3">
      <c r="A28" s="379" t="s">
        <v>170</v>
      </c>
      <c r="B28" s="380"/>
      <c r="C28" s="380"/>
      <c r="D28" s="380"/>
      <c r="E28" s="380"/>
      <c r="F28" s="380"/>
      <c r="G28" s="380"/>
      <c r="H28" s="380"/>
      <c r="I28" s="381"/>
    </row>
    <row r="29" spans="1:16" ht="18" customHeight="1" x14ac:dyDescent="0.3">
      <c r="A29" s="47" t="s">
        <v>150</v>
      </c>
      <c r="B29" s="338">
        <f>Constants!B3*(1+(1-D8/100)*IF(ISBLANK(B24),B23,B24)/((1+D9/100)*IF(ISBLANK(B26),B25,B26)))</f>
        <v>4.8181123603388434</v>
      </c>
      <c r="C29" s="338">
        <f>Constants!C3*(1+IF(ISBLANK(B24),B23,B24)/IF(ISBLANK(B26),B25,B26))</f>
        <v>4.99903317535545</v>
      </c>
      <c r="D29" s="338">
        <f>Constants!D3*(1+(1+D8/100)*IF(ISBLANK(B24),B23,B24)/((1-D9/100)*IF(ISBLANK(B26),B25,B26)))</f>
        <v>5.186942970754826</v>
      </c>
      <c r="E29" s="20" t="s">
        <v>149</v>
      </c>
      <c r="F29" s="18"/>
      <c r="G29" s="18"/>
      <c r="H29" s="18"/>
      <c r="I29" s="48"/>
    </row>
    <row r="30" spans="1:16" ht="18" customHeight="1" thickBot="1" x14ac:dyDescent="0.35">
      <c r="A30" s="47" t="s">
        <v>236</v>
      </c>
      <c r="B30" s="334">
        <f ca="1">MIN(Efficiency!AR4:AR13,Efficiency!AR15:AR24)</f>
        <v>32.588214828267652</v>
      </c>
      <c r="C30" s="334">
        <f ca="1">AVERAGE(Efficiency!X4:X13,Efficiency!X15:X24)</f>
        <v>44.89746648294097</v>
      </c>
      <c r="D30" s="334">
        <f ca="1">MAX(Efficiency!D4:D13,Efficiency!D15:D24)</f>
        <v>70.563136232544409</v>
      </c>
      <c r="E30" s="20" t="s">
        <v>237</v>
      </c>
      <c r="F30" s="204"/>
      <c r="G30" s="18"/>
      <c r="H30" s="18"/>
      <c r="I30" s="48"/>
    </row>
    <row r="31" spans="1:16" ht="18" customHeight="1" x14ac:dyDescent="0.3">
      <c r="A31" s="379" t="s">
        <v>137</v>
      </c>
      <c r="B31" s="380"/>
      <c r="C31" s="380"/>
      <c r="D31" s="380"/>
      <c r="E31" s="380"/>
      <c r="F31" s="380"/>
      <c r="G31" s="380"/>
      <c r="H31" s="380"/>
      <c r="I31" s="381"/>
      <c r="L31" s="5"/>
    </row>
    <row r="32" spans="1:16" ht="18" customHeight="1" thickBot="1" x14ac:dyDescent="0.35">
      <c r="A32" s="248" t="s">
        <v>43</v>
      </c>
      <c r="B32" s="339">
        <f ca="1">MIN($B$30/100/Constants!D$19/0.000000001/1000000, Constants!D17)</f>
        <v>2.4500000000000002</v>
      </c>
      <c r="C32" s="315" t="s">
        <v>16</v>
      </c>
      <c r="D32" s="21" t="s">
        <v>189</v>
      </c>
      <c r="E32" s="16"/>
      <c r="F32" s="18"/>
      <c r="G32" s="18"/>
      <c r="H32" s="18"/>
      <c r="I32" s="48"/>
    </row>
    <row r="33" spans="1:14" ht="18" customHeight="1" thickBot="1" x14ac:dyDescent="0.35">
      <c r="A33" s="248" t="s">
        <v>41</v>
      </c>
      <c r="B33" s="340">
        <v>2.1</v>
      </c>
      <c r="C33" s="315" t="s">
        <v>16</v>
      </c>
      <c r="D33" s="87" t="s">
        <v>187</v>
      </c>
      <c r="E33" s="131" t="str">
        <f ca="1">IF(D30&gt;B36," See the DROPOUT tab for operation approaching Vin_min "," ")</f>
        <v xml:space="preserve"> </v>
      </c>
      <c r="F33" s="110"/>
      <c r="G33" s="111"/>
      <c r="H33" s="107"/>
      <c r="I33" s="48"/>
      <c r="M33" s="5"/>
      <c r="N33" s="106"/>
    </row>
    <row r="34" spans="1:14" ht="18" customHeight="1" x14ac:dyDescent="0.3">
      <c r="A34" s="98" t="s">
        <v>179</v>
      </c>
      <c r="B34" s="99">
        <f>(26385/IF(ISBLANK(B33),1000*B32,1000*B33)-2.75)</f>
        <v>9.8142857142857149</v>
      </c>
      <c r="C34" s="321" t="s">
        <v>178</v>
      </c>
      <c r="D34" s="21" t="s">
        <v>86</v>
      </c>
      <c r="E34" s="16"/>
      <c r="F34" s="18"/>
      <c r="G34" s="18"/>
      <c r="H34" s="18"/>
      <c r="I34" s="48"/>
      <c r="L34" s="5"/>
    </row>
    <row r="35" spans="1:14" ht="18" customHeight="1" x14ac:dyDescent="0.35">
      <c r="A35" s="248" t="s">
        <v>347</v>
      </c>
      <c r="B35" s="337">
        <f>100*IF(ISBLANK(B33),B32,B33)*1000000*Constants!C19/1000000000</f>
        <v>17.850000000000001</v>
      </c>
      <c r="C35" s="337">
        <f>100*IF(ISBLANK(B33),B32,B33)*1000000*Constants!D19/1000000000</f>
        <v>25.2</v>
      </c>
      <c r="D35" s="20" t="s">
        <v>274</v>
      </c>
      <c r="E35" s="206"/>
      <c r="F35" s="18"/>
      <c r="G35" s="18"/>
      <c r="H35" s="18"/>
      <c r="I35" s="48"/>
      <c r="K35" s="105"/>
      <c r="L35" s="5"/>
      <c r="M35" s="5"/>
      <c r="N35" s="106"/>
    </row>
    <row r="36" spans="1:14" ht="18" customHeight="1" x14ac:dyDescent="0.35">
      <c r="A36" s="248" t="s">
        <v>348</v>
      </c>
      <c r="B36" s="207">
        <f>100*(1-IF(ISBLANK(B33),B32,B33)*1000000*Constants!D20/1000000000)</f>
        <v>72.7</v>
      </c>
      <c r="C36" s="341">
        <f>100*(1-IF(ISBLANK(B33),B32,B33)*1000000*Constants!C20/1000000000)</f>
        <v>82.15</v>
      </c>
      <c r="D36" s="20" t="s">
        <v>275</v>
      </c>
      <c r="E36" s="206"/>
      <c r="F36" s="205"/>
      <c r="G36" s="205"/>
      <c r="H36" s="205"/>
      <c r="I36" s="48"/>
      <c r="K36" s="105"/>
      <c r="L36" s="5"/>
      <c r="M36" s="5"/>
      <c r="N36" s="106"/>
    </row>
    <row r="37" spans="1:14" ht="18" customHeight="1" x14ac:dyDescent="0.3">
      <c r="A37" s="248" t="s">
        <v>349</v>
      </c>
      <c r="B37" s="207">
        <f>100*(1-IF(ISBLANK(B33),B32,B33)/4*1000000*Constants!D20/1000000000)</f>
        <v>93.174999999999997</v>
      </c>
      <c r="C37" s="341">
        <f>100*(1-IF(ISBLANK(B33),B32,B33)/4*1000000*Constants!C20/1000000000)</f>
        <v>95.537499999999994</v>
      </c>
      <c r="D37" s="87" t="s">
        <v>350</v>
      </c>
      <c r="E37" s="206"/>
      <c r="F37" s="205"/>
      <c r="G37" s="205"/>
      <c r="H37" s="205"/>
      <c r="I37" s="48"/>
      <c r="K37" s="105"/>
      <c r="L37" s="5"/>
      <c r="M37" s="5"/>
      <c r="N37" s="106"/>
    </row>
    <row r="38" spans="1:14" ht="18" customHeight="1" thickBot="1" x14ac:dyDescent="0.4">
      <c r="A38" s="76" t="s">
        <v>191</v>
      </c>
      <c r="B38" s="339">
        <f ca="1">MIN(1.5*B32, 1.5*IF(ISBLANK(B33),B32,B33), C30/100/(Constants!C19/1000000000)/1000000)</f>
        <v>3.1500000000000004</v>
      </c>
      <c r="C38" s="78" t="s">
        <v>16</v>
      </c>
      <c r="D38" s="82" t="s">
        <v>254</v>
      </c>
      <c r="E38" s="50"/>
      <c r="F38" s="52"/>
      <c r="G38" s="52"/>
      <c r="H38" s="52"/>
      <c r="I38" s="53"/>
    </row>
    <row r="39" spans="1:14" ht="18" customHeight="1" x14ac:dyDescent="0.3">
      <c r="A39" s="379" t="s">
        <v>141</v>
      </c>
      <c r="B39" s="380"/>
      <c r="C39" s="380"/>
      <c r="D39" s="380"/>
      <c r="E39" s="380"/>
      <c r="F39" s="380"/>
      <c r="G39" s="380"/>
      <c r="H39" s="380"/>
      <c r="I39" s="381"/>
      <c r="K39" s="105"/>
      <c r="L39" s="5"/>
      <c r="M39" s="5"/>
      <c r="N39" s="106"/>
    </row>
    <row r="40" spans="1:14" ht="18" customHeight="1" x14ac:dyDescent="0.3">
      <c r="A40" s="248" t="s">
        <v>335</v>
      </c>
      <c r="B40" s="320">
        <f ca="1">0.4*(C6+Efficiency!C13)/Constants!I60</f>
        <v>0.70943368388853079</v>
      </c>
      <c r="C40" s="336">
        <f ca="1">1.1*(C6+Efficiency!C13)/Constants!G60</f>
        <v>3.2480659612748681</v>
      </c>
      <c r="D40" s="315" t="s">
        <v>72</v>
      </c>
      <c r="E40" s="318" t="s">
        <v>336</v>
      </c>
      <c r="F40" s="18"/>
      <c r="G40" s="18"/>
      <c r="H40" s="18"/>
      <c r="I40" s="49"/>
      <c r="J40" s="9"/>
      <c r="L40" s="5"/>
    </row>
    <row r="41" spans="1:14" ht="18" customHeight="1" thickBot="1" x14ac:dyDescent="0.35">
      <c r="A41" s="248" t="s">
        <v>346</v>
      </c>
      <c r="B41" s="424">
        <f ca="1">(C29+Efficiency!C24)*(1-0.18/(D30/100))/(Constants!H60)</f>
        <v>1.6316511605101665</v>
      </c>
      <c r="C41" s="424"/>
      <c r="D41" s="315" t="s">
        <v>72</v>
      </c>
      <c r="E41" s="87" t="s">
        <v>337</v>
      </c>
      <c r="F41" s="18"/>
      <c r="G41" s="18"/>
      <c r="H41" s="18"/>
      <c r="I41" s="49"/>
      <c r="J41" s="9"/>
      <c r="L41" s="5"/>
    </row>
    <row r="42" spans="1:14" ht="18" customHeight="1" thickBot="1" x14ac:dyDescent="0.35">
      <c r="A42" s="98" t="s">
        <v>42</v>
      </c>
      <c r="B42" s="425">
        <v>3.3</v>
      </c>
      <c r="C42" s="426"/>
      <c r="D42" s="321" t="s">
        <v>180</v>
      </c>
      <c r="E42" s="318" t="s">
        <v>334</v>
      </c>
      <c r="F42" s="18"/>
      <c r="G42" s="18"/>
      <c r="H42" s="18"/>
      <c r="I42" s="48"/>
    </row>
    <row r="43" spans="1:14" ht="18" customHeight="1" thickBot="1" x14ac:dyDescent="0.35">
      <c r="A43" s="322" t="s">
        <v>193</v>
      </c>
      <c r="B43" s="442">
        <v>40</v>
      </c>
      <c r="C43" s="443"/>
      <c r="D43" s="323" t="s">
        <v>192</v>
      </c>
      <c r="E43" s="319" t="s">
        <v>194</v>
      </c>
      <c r="F43" s="108"/>
      <c r="G43" s="108"/>
      <c r="H43" s="108"/>
      <c r="I43" s="109"/>
    </row>
    <row r="44" spans="1:14" ht="18" customHeight="1" x14ac:dyDescent="0.3">
      <c r="A44" s="248" t="s">
        <v>48</v>
      </c>
      <c r="B44" s="424">
        <f ca="1">(C4-C6)/(IF(ISBLANK(B42),B40,B42)*0.000001)*(C30/100)/(IF(ISBLANK(B33),B32,B33)*1000000)</f>
        <v>0.45350976245394931</v>
      </c>
      <c r="C44" s="424"/>
      <c r="D44" s="315" t="s">
        <v>69</v>
      </c>
      <c r="E44" s="318" t="s">
        <v>168</v>
      </c>
      <c r="F44" s="18"/>
      <c r="G44" s="18"/>
      <c r="H44" s="18"/>
      <c r="I44" s="48"/>
      <c r="L44" s="5"/>
      <c r="M44" s="5"/>
      <c r="N44" s="5"/>
    </row>
    <row r="45" spans="1:14" ht="18" customHeight="1" x14ac:dyDescent="0.3">
      <c r="A45" s="248" t="s">
        <v>47</v>
      </c>
      <c r="B45" s="424">
        <f ca="1">(D4-(1+Constants!B4/100)*C6)/((1+B10/100)*IF(ISBLANK(B42),B40,B42)*0.000001)*(B30/100)/((1+Constants!B18/100)*IF(ISBLANK(B33),B32,B33)*1000000)</f>
        <v>0.72170068512978502</v>
      </c>
      <c r="C45" s="424"/>
      <c r="D45" s="315" t="s">
        <v>69</v>
      </c>
      <c r="E45" s="318" t="s">
        <v>142</v>
      </c>
      <c r="F45" s="18"/>
      <c r="G45" s="18"/>
      <c r="H45" s="18"/>
      <c r="I45" s="48"/>
      <c r="L45" s="106"/>
    </row>
    <row r="46" spans="1:14" ht="18" customHeight="1" x14ac:dyDescent="0.3">
      <c r="A46" s="248" t="s">
        <v>315</v>
      </c>
      <c r="B46" s="424">
        <f ca="1">D7+B45/2</f>
        <v>2.3608503425648926</v>
      </c>
      <c r="C46" s="424"/>
      <c r="D46" s="315" t="s">
        <v>70</v>
      </c>
      <c r="E46" s="318" t="s">
        <v>332</v>
      </c>
      <c r="F46" s="18"/>
      <c r="G46" s="18"/>
      <c r="H46" s="18"/>
      <c r="I46" s="48"/>
    </row>
    <row r="47" spans="1:14" ht="18" customHeight="1" thickBot="1" x14ac:dyDescent="0.35">
      <c r="A47" s="248" t="s">
        <v>343</v>
      </c>
      <c r="B47" s="424">
        <f ca="1">FORECAST(Design!C30,OFFSET(Constants!B34:B35,MATCH(Design!C30,Constants!A34:A35,1)-1,0,2), OFFSET(Constants!A34:A35,MATCH(Design!C30,Constants!A34:A35,1)-1,0,2))-(D7+B44/2)</f>
        <v>0.98639060362375153</v>
      </c>
      <c r="C47" s="424"/>
      <c r="D47" s="315" t="s">
        <v>13</v>
      </c>
      <c r="E47" s="87" t="s">
        <v>341</v>
      </c>
      <c r="F47" s="347"/>
      <c r="G47" s="347"/>
      <c r="H47" s="347"/>
      <c r="I47" s="348"/>
    </row>
    <row r="48" spans="1:14" ht="18" customHeight="1" thickBot="1" x14ac:dyDescent="0.35">
      <c r="A48" s="76" t="s">
        <v>344</v>
      </c>
      <c r="B48" s="441">
        <f ca="1">FORECAST(Design!D30,OFFSET(Constants!B34:B35,MATCH(Design!D30,Constants!A34:A35,1)-1,0,2), OFFSET(Constants!A34:A35,MATCH(Design!D30,Constants!A34:A35,1)-1,0,2))-B46</f>
        <v>0.47477708150057074</v>
      </c>
      <c r="C48" s="441"/>
      <c r="D48" s="78" t="s">
        <v>13</v>
      </c>
      <c r="E48" s="79" t="s">
        <v>342</v>
      </c>
      <c r="F48" s="80"/>
      <c r="G48" s="80"/>
      <c r="H48" s="80"/>
      <c r="I48" s="81"/>
      <c r="K48" s="430" t="s">
        <v>262</v>
      </c>
      <c r="L48" s="431"/>
      <c r="M48" s="432"/>
      <c r="N48" s="5"/>
    </row>
    <row r="49" spans="1:13" ht="18" customHeight="1" thickBot="1" x14ac:dyDescent="0.35">
      <c r="A49" s="379" t="s">
        <v>308</v>
      </c>
      <c r="B49" s="380"/>
      <c r="C49" s="380"/>
      <c r="D49" s="380"/>
      <c r="E49" s="380"/>
      <c r="F49" s="380"/>
      <c r="G49" s="380"/>
      <c r="H49" s="380"/>
      <c r="I49" s="381"/>
      <c r="K49" s="427" t="s">
        <v>264</v>
      </c>
      <c r="L49" s="428"/>
      <c r="M49" s="429"/>
    </row>
    <row r="50" spans="1:13" ht="18" customHeight="1" thickBot="1" x14ac:dyDescent="0.35">
      <c r="A50" s="85" t="s">
        <v>158</v>
      </c>
      <c r="B50" s="88">
        <v>90</v>
      </c>
      <c r="C50" s="86" t="s">
        <v>25</v>
      </c>
      <c r="D50" s="87" t="s">
        <v>303</v>
      </c>
      <c r="E50" s="83"/>
      <c r="F50" s="83"/>
      <c r="G50" s="83"/>
      <c r="H50" s="83"/>
      <c r="I50" s="84"/>
      <c r="K50" s="433" t="s">
        <v>263</v>
      </c>
      <c r="L50" s="434"/>
      <c r="M50" s="435"/>
    </row>
    <row r="51" spans="1:13" ht="18" customHeight="1" thickBot="1" x14ac:dyDescent="0.35">
      <c r="A51" s="47" t="s">
        <v>140</v>
      </c>
      <c r="B51" s="103">
        <f>(IF(ISBLANK(B50),Constants!B42,B50))/Constants!B42*Constants!B43*Constants!B39/C6*Constants!B44/(IF(ISBLANK(B33),B32,B33))*D7/Constants!B40</f>
        <v>1.0285714285714285</v>
      </c>
      <c r="C51" s="19" t="s">
        <v>132</v>
      </c>
      <c r="D51" s="21" t="s">
        <v>302</v>
      </c>
      <c r="E51" s="100"/>
      <c r="F51" s="101"/>
      <c r="G51" s="101"/>
      <c r="H51" s="101"/>
      <c r="I51" s="102"/>
      <c r="K51" s="436"/>
      <c r="L51" s="434"/>
      <c r="M51" s="435"/>
    </row>
    <row r="52" spans="1:13" ht="18" customHeight="1" thickBot="1" x14ac:dyDescent="0.35">
      <c r="A52" s="95" t="s">
        <v>123</v>
      </c>
      <c r="B52" s="104">
        <v>3</v>
      </c>
      <c r="C52" s="97" t="s">
        <v>132</v>
      </c>
      <c r="D52" s="21" t="s">
        <v>184</v>
      </c>
      <c r="E52" s="16"/>
      <c r="F52" s="18"/>
      <c r="G52" s="18"/>
      <c r="H52" s="18"/>
      <c r="I52" s="48"/>
      <c r="K52" s="248" t="s">
        <v>257</v>
      </c>
      <c r="L52" s="330"/>
      <c r="M52" s="250" t="s">
        <v>260</v>
      </c>
    </row>
    <row r="53" spans="1:13" ht="18" customHeight="1" thickBot="1" x14ac:dyDescent="0.35">
      <c r="A53" s="47" t="s">
        <v>126</v>
      </c>
      <c r="B53" s="15">
        <f>IF(ISBLANK(L52), IF(ISBLANK(B52),B51,B52)*(1-Constants!B46/100)*(Constants!C54*$C$6^3+Constants!C55*$C$6^2+Constants!C56*$C$6+Constants!C57), L52*IF(ISBLANK(L55),1,L55))</f>
        <v>23.911199999999997</v>
      </c>
      <c r="C53" s="16" t="s">
        <v>73</v>
      </c>
      <c r="D53" s="21" t="s">
        <v>167</v>
      </c>
      <c r="E53" s="16"/>
      <c r="F53" s="18"/>
      <c r="G53" s="18"/>
      <c r="H53" s="18"/>
      <c r="I53" s="48"/>
      <c r="K53" s="248" t="s">
        <v>258</v>
      </c>
      <c r="L53" s="330"/>
      <c r="M53" s="250" t="s">
        <v>261</v>
      </c>
    </row>
    <row r="54" spans="1:13" ht="18" customHeight="1" thickBot="1" x14ac:dyDescent="0.35">
      <c r="A54" s="295" t="s">
        <v>284</v>
      </c>
      <c r="B54" s="329">
        <f ca="1">IF(ISBLANK(L52), 1000*(B44*Constants!B47/1000/IF(ISBLANK(B52),B51,B52)+B44/(8*(IF(ISBLANK(B33),B32,B33))*1000000*B53/1000000)+(C4-C6)/(IF(ISBLANK(B42),B40,B42)/1000000)*Constants!B48/1000000000),
1000*(B44*L53/1000/IF(ISBLANK(L55),1,L55)+B44/(8*(IF(ISBLANK(B33),B32,B33))*1000000*L52*IF(ISBLANK(L55),1,L55)/1000000)+(C4-C6)/(IF(ISBLANK(B42),B40,B42)/1000000)*L54/1000000000/IF(ISBLANK(L55),1,L55)) )</f>
        <v>5.8541546669503761</v>
      </c>
      <c r="C54" s="314" t="s">
        <v>317</v>
      </c>
      <c r="D54" s="317" t="s">
        <v>283</v>
      </c>
      <c r="E54" s="296"/>
      <c r="F54" s="297"/>
      <c r="G54" s="297"/>
      <c r="H54" s="297"/>
      <c r="I54" s="298"/>
      <c r="K54" s="248" t="s">
        <v>259</v>
      </c>
      <c r="L54" s="330"/>
      <c r="M54" s="250" t="s">
        <v>29</v>
      </c>
    </row>
    <row r="55" spans="1:13" ht="18" customHeight="1" thickBot="1" x14ac:dyDescent="0.35">
      <c r="A55" s="248" t="s">
        <v>298</v>
      </c>
      <c r="B55" s="287">
        <f ca="1">1000*Constants!C30/1000*Constants!B68/1000000/(2*B53/1000000)</f>
        <v>14.691160637475166</v>
      </c>
      <c r="C55" s="315" t="s">
        <v>317</v>
      </c>
      <c r="D55" s="87" t="s">
        <v>345</v>
      </c>
      <c r="E55" s="16"/>
      <c r="F55" s="18"/>
      <c r="G55" s="18"/>
      <c r="H55" s="18"/>
      <c r="I55" s="48"/>
      <c r="K55" s="76" t="s">
        <v>265</v>
      </c>
      <c r="L55" s="346"/>
      <c r="M55" s="251" t="s">
        <v>132</v>
      </c>
    </row>
    <row r="56" spans="1:13" ht="18" customHeight="1" thickBot="1" x14ac:dyDescent="0.35">
      <c r="A56" s="76" t="s">
        <v>299</v>
      </c>
      <c r="B56" s="288">
        <f ca="1">IF(Constants!H67="NO", 1000*Constants!D30/1000*Constants!C68/1000000/(2*B53/1000000), "N/A")</f>
        <v>38.186403633843284</v>
      </c>
      <c r="C56" s="316" t="s">
        <v>318</v>
      </c>
      <c r="D56" s="79" t="str">
        <f>IF(Constants!H67="NO", "Single-pulse PFM ripple at MIN Vin.  Increase Co or reduce Lo if too high.", "Single-pulse limiting at MIN Vin, will require more than 1 PFM pulse.")</f>
        <v>Single-pulse PFM ripple at MIN Vin.  Increase Co or reduce Lo if too high.</v>
      </c>
      <c r="E56" s="50"/>
      <c r="F56" s="52"/>
      <c r="G56" s="52"/>
      <c r="H56" s="52"/>
      <c r="I56" s="53"/>
    </row>
    <row r="57" spans="1:13" ht="18" customHeight="1" x14ac:dyDescent="0.3">
      <c r="A57" s="94" t="s">
        <v>176</v>
      </c>
      <c r="B57" s="92"/>
      <c r="C57" s="16"/>
      <c r="D57" s="93"/>
      <c r="E57" s="16"/>
      <c r="F57" s="18"/>
      <c r="G57" s="18"/>
      <c r="H57" s="18"/>
      <c r="I57" s="48"/>
    </row>
    <row r="58" spans="1:13" ht="18" customHeight="1" thickBot="1" x14ac:dyDescent="0.4">
      <c r="A58" s="98" t="s">
        <v>181</v>
      </c>
      <c r="B58" s="99">
        <f ca="1">MAX(MAX(D7*SQRT(B30/100*(1-B30/100)),D7*SQRT(C30/100*(1-C30/100)), D7*SQRT(D30/100*(1-D30/100))),IF((B30&lt;50)*AND(D30&gt;50),D7*SQRT(0.5*(1-0.5)),0))</f>
        <v>1</v>
      </c>
      <c r="C58" s="96" t="s">
        <v>182</v>
      </c>
      <c r="D58" s="82" t="s">
        <v>174</v>
      </c>
      <c r="E58" s="16"/>
      <c r="F58" s="18"/>
      <c r="G58" s="18"/>
      <c r="H58" s="18"/>
      <c r="I58" s="48"/>
    </row>
    <row r="59" spans="1:13" ht="18" customHeight="1" x14ac:dyDescent="0.3">
      <c r="A59" s="379" t="s">
        <v>138</v>
      </c>
      <c r="B59" s="380"/>
      <c r="C59" s="380"/>
      <c r="D59" s="380"/>
      <c r="E59" s="380"/>
      <c r="F59" s="380"/>
      <c r="G59" s="380"/>
      <c r="H59" s="380"/>
      <c r="I59" s="381"/>
    </row>
    <row r="60" spans="1:13" ht="18" customHeight="1" x14ac:dyDescent="0.3">
      <c r="A60" s="98" t="s">
        <v>44</v>
      </c>
      <c r="B60" s="99">
        <f ca="1">IF(AND(B30&lt;50, D30&gt;50), 1000000*D7*0.5*(1-0.5)/((1+Constants!B18/100)*IF(ISBLANK(B33),B32,B33)*1000000*Constants!C9*Constants!B8/1000), MAX(1000000*D7*D30/100*(1-D30/100)/((1+Constants!B18/100)*IF(ISBLANK(B33),B32,B33)*1000000*Constants!C9*Constants!B8/1000), 1000000*D7*C30/100*(1-C30/100)/((1+Constants!B18/100)*IF(ISBLANK(B33),B32,B33)*1000000*Constants!C9*Constants!B8/1000), 1000000*D7*B30/100*(1-B30/100)/((1+Constants!B18/100)*IF(ISBLANK(B33),B32,B33)*1000000*Constants!C9*Constants!B8/1000)))</f>
        <v>1.3227513227513226</v>
      </c>
      <c r="C60" s="321" t="s">
        <v>183</v>
      </c>
      <c r="D60" s="21" t="s">
        <v>78</v>
      </c>
      <c r="E60" s="16"/>
      <c r="F60" s="18"/>
      <c r="G60" s="18"/>
      <c r="H60" s="18"/>
      <c r="I60" s="48"/>
    </row>
    <row r="61" spans="1:13" ht="18" customHeight="1" thickBot="1" x14ac:dyDescent="0.35">
      <c r="A61" s="76" t="s">
        <v>175</v>
      </c>
      <c r="B61" s="77">
        <f ca="1">D7*SQRT(D30/100*(1-D30/100))</f>
        <v>0.9115168519082506</v>
      </c>
      <c r="C61" s="78" t="s">
        <v>74</v>
      </c>
      <c r="D61" s="51" t="s">
        <v>46</v>
      </c>
      <c r="E61" s="50"/>
      <c r="F61" s="52"/>
      <c r="G61" s="52"/>
      <c r="H61" s="52"/>
      <c r="I61" s="53"/>
    </row>
    <row r="62" spans="1:13" ht="18" customHeight="1" x14ac:dyDescent="0.3">
      <c r="A62" s="379" t="s">
        <v>139</v>
      </c>
      <c r="B62" s="380"/>
      <c r="C62" s="380"/>
      <c r="D62" s="380"/>
      <c r="E62" s="380"/>
      <c r="F62" s="380"/>
      <c r="G62" s="380"/>
      <c r="H62" s="380"/>
      <c r="I62" s="381"/>
    </row>
    <row r="63" spans="1:13" ht="18" customHeight="1" thickBot="1" x14ac:dyDescent="0.35">
      <c r="A63" s="248" t="s">
        <v>58</v>
      </c>
      <c r="B63" s="320">
        <f>1000000000*Constants!C28/1000000*C11/1000/Constants!C3</f>
        <v>25</v>
      </c>
      <c r="C63" s="315" t="s">
        <v>17</v>
      </c>
      <c r="D63" s="21" t="s">
        <v>65</v>
      </c>
      <c r="E63" s="16"/>
      <c r="F63" s="18"/>
      <c r="G63" s="18"/>
      <c r="H63" s="18"/>
      <c r="I63" s="48"/>
    </row>
    <row r="64" spans="1:13" ht="18" customHeight="1" thickBot="1" x14ac:dyDescent="0.35">
      <c r="A64" s="98" t="s">
        <v>64</v>
      </c>
      <c r="B64" s="324">
        <v>22</v>
      </c>
      <c r="C64" s="321" t="s">
        <v>17</v>
      </c>
      <c r="D64" s="21" t="s">
        <v>144</v>
      </c>
      <c r="E64" s="16"/>
      <c r="F64" s="18"/>
      <c r="G64" s="18"/>
      <c r="H64" s="18"/>
      <c r="I64" s="48"/>
    </row>
    <row r="65" spans="1:12" ht="18" customHeight="1" x14ac:dyDescent="0.3">
      <c r="A65" s="248" t="s">
        <v>61</v>
      </c>
      <c r="B65" s="320">
        <f>1000*IF(ISBLANK(B64),B63,B64)/1000000000*Constants!C3/(Constants!C28/1000000)</f>
        <v>0.88</v>
      </c>
      <c r="C65" s="315" t="s">
        <v>38</v>
      </c>
      <c r="D65" s="21" t="s">
        <v>63</v>
      </c>
      <c r="E65" s="16"/>
      <c r="F65" s="18"/>
      <c r="G65" s="18"/>
      <c r="H65" s="18"/>
      <c r="I65" s="48"/>
    </row>
    <row r="66" spans="1:12" ht="18" customHeight="1" thickBot="1" x14ac:dyDescent="0.35">
      <c r="A66" s="76" t="s">
        <v>62</v>
      </c>
      <c r="B66" s="77">
        <f>1000*IF(ISBLANK(B64),B63,B64)/1000000000*Constants!C29/1000/(Constants!C28/1000000)</f>
        <v>0.36299999999999999</v>
      </c>
      <c r="C66" s="78" t="s">
        <v>38</v>
      </c>
      <c r="D66" s="51" t="s">
        <v>79</v>
      </c>
      <c r="E66" s="50"/>
      <c r="F66" s="52"/>
      <c r="G66" s="52"/>
      <c r="H66" s="52"/>
      <c r="I66" s="53"/>
    </row>
    <row r="67" spans="1:12" ht="18" customHeight="1" x14ac:dyDescent="0.3">
      <c r="A67" s="379" t="s">
        <v>304</v>
      </c>
      <c r="B67" s="380"/>
      <c r="C67" s="380"/>
      <c r="D67" s="380"/>
      <c r="E67" s="380"/>
      <c r="F67" s="380"/>
      <c r="G67" s="380"/>
      <c r="H67" s="380"/>
      <c r="I67" s="381"/>
      <c r="L67" s="471"/>
    </row>
    <row r="68" spans="1:12" ht="18" customHeight="1" thickBot="1" x14ac:dyDescent="0.35">
      <c r="A68" s="248" t="s">
        <v>76</v>
      </c>
      <c r="B68" s="438">
        <f>1000*IF(ISBLANK(B33),B32,B33)/15</f>
        <v>140</v>
      </c>
      <c r="C68" s="438"/>
      <c r="D68" s="315" t="s">
        <v>19</v>
      </c>
      <c r="E68" s="318" t="s">
        <v>305</v>
      </c>
      <c r="F68" s="18"/>
      <c r="G68" s="18"/>
      <c r="H68" s="18"/>
      <c r="I68" s="48"/>
      <c r="L68" s="471"/>
    </row>
    <row r="69" spans="1:12" ht="18" customHeight="1" thickBot="1" x14ac:dyDescent="0.35">
      <c r="A69" s="248" t="s">
        <v>45</v>
      </c>
      <c r="B69" s="439">
        <v>95</v>
      </c>
      <c r="C69" s="440"/>
      <c r="D69" s="315" t="s">
        <v>19</v>
      </c>
      <c r="E69" s="318" t="s">
        <v>312</v>
      </c>
      <c r="F69" s="18"/>
      <c r="G69" s="18"/>
      <c r="H69" s="18"/>
      <c r="I69" s="48"/>
    </row>
    <row r="70" spans="1:12" ht="18" customHeight="1" x14ac:dyDescent="0.3">
      <c r="A70" s="248" t="s">
        <v>87</v>
      </c>
      <c r="B70" s="437">
        <f ca="1">C6/AVERAGE(B44/2, D7)</f>
        <v>4.4908400490357758</v>
      </c>
      <c r="C70" s="437"/>
      <c r="D70" s="325" t="s">
        <v>80</v>
      </c>
      <c r="E70" s="318" t="s">
        <v>306</v>
      </c>
      <c r="F70" s="18"/>
      <c r="G70" s="18"/>
      <c r="H70" s="18"/>
      <c r="I70" s="48"/>
    </row>
    <row r="71" spans="1:12" ht="18" customHeight="1" x14ac:dyDescent="0.3">
      <c r="A71" s="248" t="s">
        <v>81</v>
      </c>
      <c r="B71" s="424">
        <f ca="1">1/(6.28*B70*B53/1000000)/1000</f>
        <v>1.4828984021845366</v>
      </c>
      <c r="C71" s="424"/>
      <c r="D71" s="325" t="s">
        <v>19</v>
      </c>
      <c r="E71" s="318" t="s">
        <v>307</v>
      </c>
      <c r="F71" s="18"/>
      <c r="G71" s="18"/>
      <c r="H71" s="18"/>
      <c r="I71" s="48"/>
    </row>
    <row r="72" spans="1:12" ht="18" customHeight="1" x14ac:dyDescent="0.3">
      <c r="A72" s="248" t="s">
        <v>82</v>
      </c>
      <c r="B72" s="437">
        <f>IF(ISBLANK(L52), 1/(6.28*Constants!B47/(IF(ISBLANK(B52),B51,B52))/1000*B53/1000000)/1000, 1/(6.28*IF(ISBLANK(L53),Constants!B47,L53)/(IF(ISBLANK(L55),1,L55))/1000*B53/1000000)/1000)</f>
        <v>3329.729766590739</v>
      </c>
      <c r="C72" s="437"/>
      <c r="D72" s="325" t="s">
        <v>19</v>
      </c>
      <c r="E72" s="318" t="s">
        <v>88</v>
      </c>
      <c r="F72" s="18"/>
      <c r="G72" s="18"/>
      <c r="H72" s="18"/>
      <c r="I72" s="48"/>
    </row>
    <row r="73" spans="1:12" ht="18" customHeight="1" thickBot="1" x14ac:dyDescent="0.35">
      <c r="A73" s="248" t="s">
        <v>14</v>
      </c>
      <c r="B73" s="437">
        <f>IF(ISBLANK(B69),B68,B69)*1000*(C6/Constants!C3)*((6.28*B53/1000000)/(Constants!C13*Constants!C11/1000000))/1000</f>
        <v>41.711759999999998</v>
      </c>
      <c r="C73" s="437"/>
      <c r="D73" s="315" t="s">
        <v>66</v>
      </c>
      <c r="E73" s="318" t="s">
        <v>313</v>
      </c>
      <c r="F73" s="18"/>
      <c r="G73" s="18"/>
      <c r="H73" s="18"/>
      <c r="I73" s="48"/>
    </row>
    <row r="74" spans="1:12" ht="18" customHeight="1" thickBot="1" x14ac:dyDescent="0.35">
      <c r="A74" s="98" t="s">
        <v>85</v>
      </c>
      <c r="B74" s="425">
        <v>41.2</v>
      </c>
      <c r="C74" s="426"/>
      <c r="D74" s="321" t="s">
        <v>178</v>
      </c>
      <c r="E74" s="318" t="s">
        <v>314</v>
      </c>
      <c r="F74" s="18"/>
      <c r="G74" s="18"/>
      <c r="H74" s="18"/>
      <c r="I74" s="48"/>
    </row>
    <row r="75" spans="1:12" ht="18" customHeight="1" x14ac:dyDescent="0.3">
      <c r="A75" s="98" t="s">
        <v>310</v>
      </c>
      <c r="B75" s="99">
        <f>4*1000000000/(6.28*IF(ISBLANK(B74),B73,B74)*1000*IF(ISBLANK(B69),B68,B69)*1000)</f>
        <v>0.16273445967277353</v>
      </c>
      <c r="C75" s="99">
        <f ca="1">1000000000/(6.28*IF(ISBLANK(B74),B73,B74)*1000*1.5*B71*1000)</f>
        <v>1.7375626954774137</v>
      </c>
      <c r="D75" s="321" t="s">
        <v>17</v>
      </c>
      <c r="E75" s="318" t="s">
        <v>311</v>
      </c>
      <c r="F75" s="18"/>
      <c r="G75" s="18"/>
      <c r="H75" s="18"/>
      <c r="I75" s="48"/>
    </row>
    <row r="76" spans="1:12" ht="18" customHeight="1" thickBot="1" x14ac:dyDescent="0.35">
      <c r="A76" s="326" t="s">
        <v>15</v>
      </c>
      <c r="B76" s="472">
        <f>IF(B72&gt;10*IF(ISBLANK(B69),B68,B69), 1000000000000/(6.28*IF(ISBLANK(B74),B73,B74)*1000*5*IF(ISBLANK(B69),B68,B69)*1000),
1000000000000/(6.28*IF(ISBLANK(B74),B73,B74)*1000*B72*1000))</f>
        <v>8.136722983638677</v>
      </c>
      <c r="C76" s="472"/>
      <c r="D76" s="327" t="s">
        <v>18</v>
      </c>
      <c r="E76" s="328" t="s">
        <v>309</v>
      </c>
      <c r="F76" s="52"/>
      <c r="G76" s="52"/>
      <c r="H76" s="52"/>
      <c r="I76" s="53"/>
    </row>
    <row r="77" spans="1:12" x14ac:dyDescent="0.3">
      <c r="B77" s="5"/>
      <c r="C77" s="7"/>
    </row>
    <row r="78" spans="1:12" x14ac:dyDescent="0.3">
      <c r="B78" s="8"/>
      <c r="C78" s="10"/>
    </row>
    <row r="97" spans="1:9" x14ac:dyDescent="0.3">
      <c r="A97" s="414"/>
      <c r="B97" s="414"/>
      <c r="C97" s="414"/>
      <c r="D97" s="414"/>
      <c r="E97" s="414"/>
      <c r="F97" s="414"/>
      <c r="G97" s="414"/>
      <c r="H97" s="414"/>
      <c r="I97" s="414"/>
    </row>
  </sheetData>
  <sheetProtection algorithmName="SHA-512" hashValue="okqNNI2Ee/7R8H7Gb3TvpeOklrnvexwfNRXaczxcnWFGIQMsYbT4mgztRC7/sNOukSxMdS6UZy3yWVYzaI4zGA==" saltValue="KwJD0P4ZPMEFTuJH0oPZRw==" spinCount="100000" sheet="1" objects="1" scenarios="1"/>
  <mergeCells count="54">
    <mergeCell ref="B46:C46"/>
    <mergeCell ref="B48:C48"/>
    <mergeCell ref="B41:C41"/>
    <mergeCell ref="B42:C42"/>
    <mergeCell ref="B43:C43"/>
    <mergeCell ref="B44:C44"/>
    <mergeCell ref="B45:C45"/>
    <mergeCell ref="B47:C47"/>
    <mergeCell ref="B73:C73"/>
    <mergeCell ref="B74:C74"/>
    <mergeCell ref="B76:C76"/>
    <mergeCell ref="B68:C68"/>
    <mergeCell ref="B69:C69"/>
    <mergeCell ref="B70:C70"/>
    <mergeCell ref="B71:C71"/>
    <mergeCell ref="B72:C72"/>
    <mergeCell ref="K49:M49"/>
    <mergeCell ref="K48:M48"/>
    <mergeCell ref="K50:M51"/>
    <mergeCell ref="F8:I8"/>
    <mergeCell ref="F9:I9"/>
    <mergeCell ref="F10:I10"/>
    <mergeCell ref="F3:I3"/>
    <mergeCell ref="F4:I4"/>
    <mergeCell ref="F6:I6"/>
    <mergeCell ref="F7:I7"/>
    <mergeCell ref="A97:I97"/>
    <mergeCell ref="A14:C14"/>
    <mergeCell ref="E14:I14"/>
    <mergeCell ref="E18:I18"/>
    <mergeCell ref="E17:I17"/>
    <mergeCell ref="E16:I16"/>
    <mergeCell ref="E15:I15"/>
    <mergeCell ref="B19:C19"/>
    <mergeCell ref="B23:C23"/>
    <mergeCell ref="B24:C24"/>
    <mergeCell ref="B25:C25"/>
    <mergeCell ref="B26:C26"/>
    <mergeCell ref="A1:I1"/>
    <mergeCell ref="A59:I59"/>
    <mergeCell ref="A62:I62"/>
    <mergeCell ref="A67:I67"/>
    <mergeCell ref="A28:I28"/>
    <mergeCell ref="F11:I11"/>
    <mergeCell ref="F13:I13"/>
    <mergeCell ref="A22:I22"/>
    <mergeCell ref="A31:I31"/>
    <mergeCell ref="A39:I39"/>
    <mergeCell ref="A49:I49"/>
    <mergeCell ref="D21:I21"/>
    <mergeCell ref="F12:I12"/>
    <mergeCell ref="A20:I20"/>
    <mergeCell ref="A2:I2"/>
    <mergeCell ref="B18:C18"/>
  </mergeCells>
  <conditionalFormatting sqref="B48">
    <cfRule type="cellIs" dxfId="5" priority="4" operator="lessThan">
      <formula>0</formula>
    </cfRule>
    <cfRule type="cellIs" dxfId="4" priority="5" operator="lessThan">
      <formula>0</formula>
    </cfRule>
    <cfRule type="cellIs" dxfId="3" priority="6" operator="lessThan">
      <formula>0</formula>
    </cfRule>
  </conditionalFormatting>
  <conditionalFormatting sqref="B47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B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3"/>
  <sheetViews>
    <sheetView workbookViewId="0">
      <selection activeCell="B14" sqref="B14"/>
    </sheetView>
  </sheetViews>
  <sheetFormatPr defaultRowHeight="14.4" x14ac:dyDescent="0.3"/>
  <cols>
    <col min="1" max="1" width="20.6640625" customWidth="1"/>
    <col min="2" max="4" width="12.6640625" customWidth="1"/>
    <col min="5" max="6" width="15.6640625" customWidth="1"/>
  </cols>
  <sheetData>
    <row r="1" spans="1:11" ht="24" customHeight="1" thickBot="1" x14ac:dyDescent="0.35">
      <c r="A1" s="376" t="s">
        <v>351</v>
      </c>
      <c r="B1" s="377"/>
      <c r="C1" s="377"/>
      <c r="D1" s="377"/>
      <c r="E1" s="377"/>
      <c r="F1" s="377"/>
      <c r="G1" s="377"/>
      <c r="H1" s="377"/>
      <c r="I1" s="378"/>
    </row>
    <row r="2" spans="1:11" ht="24" customHeight="1" thickBot="1" x14ac:dyDescent="0.35">
      <c r="A2" s="400" t="s">
        <v>157</v>
      </c>
      <c r="B2" s="401"/>
      <c r="C2" s="401"/>
      <c r="D2" s="401"/>
      <c r="E2" s="401"/>
      <c r="F2" s="401"/>
      <c r="G2" s="401"/>
      <c r="H2" s="401"/>
      <c r="I2" s="402"/>
    </row>
    <row r="3" spans="1:11" ht="18.600000000000001" thickBot="1" x14ac:dyDescent="0.4">
      <c r="A3" s="90" t="s">
        <v>133</v>
      </c>
      <c r="B3" s="43" t="s">
        <v>32</v>
      </c>
      <c r="C3" s="42" t="s">
        <v>33</v>
      </c>
      <c r="D3" s="43" t="s">
        <v>34</v>
      </c>
      <c r="E3" s="43" t="s">
        <v>35</v>
      </c>
      <c r="F3" s="405" t="s">
        <v>37</v>
      </c>
      <c r="G3" s="406"/>
      <c r="H3" s="406"/>
      <c r="I3" s="407"/>
    </row>
    <row r="4" spans="1:11" ht="16.2" thickBot="1" x14ac:dyDescent="0.4">
      <c r="A4" s="44" t="s">
        <v>206</v>
      </c>
      <c r="B4" s="24" t="s">
        <v>23</v>
      </c>
      <c r="C4" s="22">
        <v>180</v>
      </c>
      <c r="D4" s="226" t="s">
        <v>23</v>
      </c>
      <c r="E4" s="133" t="s">
        <v>16</v>
      </c>
      <c r="F4" s="447" t="s">
        <v>203</v>
      </c>
      <c r="G4" s="448"/>
      <c r="H4" s="448"/>
      <c r="I4" s="449"/>
    </row>
    <row r="5" spans="1:11" ht="16.2" thickBot="1" x14ac:dyDescent="0.4">
      <c r="A5" s="44" t="s">
        <v>209</v>
      </c>
      <c r="B5" s="14" t="s">
        <v>23</v>
      </c>
      <c r="C5" s="227">
        <f>1000000000/(C4*1000000)</f>
        <v>5.5555555555555554</v>
      </c>
      <c r="D5" s="14" t="s">
        <v>23</v>
      </c>
      <c r="E5" s="133" t="s">
        <v>4</v>
      </c>
      <c r="F5" s="141" t="s">
        <v>208</v>
      </c>
      <c r="G5" s="142"/>
      <c r="H5" s="142"/>
      <c r="I5" s="143"/>
    </row>
    <row r="6" spans="1:11" ht="16.2" thickBot="1" x14ac:dyDescent="0.35">
      <c r="A6" s="135" t="s">
        <v>202</v>
      </c>
      <c r="B6" s="60" t="s">
        <v>23</v>
      </c>
      <c r="C6" s="61">
        <v>80</v>
      </c>
      <c r="D6" s="218" t="s">
        <v>23</v>
      </c>
      <c r="E6" s="63" t="s">
        <v>18</v>
      </c>
      <c r="F6" s="411" t="s">
        <v>204</v>
      </c>
      <c r="G6" s="412"/>
      <c r="H6" s="412"/>
      <c r="I6" s="413"/>
    </row>
    <row r="7" spans="1:11" s="290" customFormat="1" ht="18.75" customHeight="1" thickBot="1" x14ac:dyDescent="0.35">
      <c r="A7" s="135" t="s">
        <v>217</v>
      </c>
      <c r="B7" s="60" t="s">
        <v>23</v>
      </c>
      <c r="C7" s="61">
        <v>50</v>
      </c>
      <c r="D7" s="218" t="s">
        <v>23</v>
      </c>
      <c r="E7" s="63" t="s">
        <v>18</v>
      </c>
      <c r="F7" s="450" t="s">
        <v>218</v>
      </c>
      <c r="G7" s="451"/>
      <c r="H7" s="451"/>
      <c r="I7" s="452"/>
    </row>
    <row r="8" spans="1:11" ht="16.2" thickBot="1" x14ac:dyDescent="0.35">
      <c r="A8" s="145" t="s">
        <v>215</v>
      </c>
      <c r="B8" s="146" t="s">
        <v>23</v>
      </c>
      <c r="C8" s="262">
        <v>2.5</v>
      </c>
      <c r="D8" s="219" t="s">
        <v>23</v>
      </c>
      <c r="E8" s="134" t="s">
        <v>226</v>
      </c>
      <c r="F8" s="385" t="s">
        <v>214</v>
      </c>
      <c r="G8" s="386"/>
      <c r="H8" s="386"/>
      <c r="I8" s="387"/>
    </row>
    <row r="9" spans="1:11" ht="32.1" customHeight="1" thickBot="1" x14ac:dyDescent="0.35">
      <c r="A9" s="444" t="s">
        <v>177</v>
      </c>
      <c r="B9" s="445"/>
      <c r="C9" s="445"/>
      <c r="D9" s="445"/>
      <c r="E9" s="445"/>
      <c r="F9" s="445"/>
      <c r="G9" s="445"/>
      <c r="H9" s="445"/>
      <c r="I9" s="446"/>
    </row>
    <row r="10" spans="1:11" ht="18" customHeight="1" x14ac:dyDescent="0.3">
      <c r="A10" s="132" t="s">
        <v>31</v>
      </c>
      <c r="B10" s="91" t="s">
        <v>30</v>
      </c>
      <c r="C10" s="91" t="s">
        <v>35</v>
      </c>
      <c r="D10" s="391" t="s">
        <v>37</v>
      </c>
      <c r="E10" s="392"/>
      <c r="F10" s="392"/>
      <c r="G10" s="392"/>
      <c r="H10" s="392"/>
      <c r="I10" s="393"/>
    </row>
    <row r="11" spans="1:11" ht="15.6" x14ac:dyDescent="0.3">
      <c r="A11" s="388" t="s">
        <v>201</v>
      </c>
      <c r="B11" s="389"/>
      <c r="C11" s="389"/>
      <c r="D11" s="389"/>
      <c r="E11" s="389"/>
      <c r="F11" s="389"/>
      <c r="G11" s="389"/>
      <c r="H11" s="389"/>
      <c r="I11" s="390"/>
    </row>
    <row r="12" spans="1:11" ht="15.6" x14ac:dyDescent="0.35">
      <c r="A12" s="47" t="s">
        <v>205</v>
      </c>
      <c r="B12" s="17">
        <f>1000000000*(C5/1000000000)^2/(4*3.14^2*(C6/1000000000000+C7/1000000000000))</f>
        <v>6.0199425961390602</v>
      </c>
      <c r="C12" s="16" t="s">
        <v>29</v>
      </c>
      <c r="D12" s="20" t="s">
        <v>213</v>
      </c>
      <c r="E12" s="16"/>
      <c r="F12" s="18"/>
      <c r="G12" s="18"/>
      <c r="H12" s="18"/>
      <c r="I12" s="48"/>
    </row>
    <row r="13" spans="1:11" ht="16.2" thickBot="1" x14ac:dyDescent="0.4">
      <c r="A13" s="47" t="s">
        <v>248</v>
      </c>
      <c r="B13" s="221">
        <f>SQRT(B12*0.000000001/(C6*0.000000000001+C7*0.000000000001))</f>
        <v>6.8049431106755947</v>
      </c>
      <c r="C13" s="222" t="s">
        <v>80</v>
      </c>
      <c r="D13" s="20" t="s">
        <v>211</v>
      </c>
      <c r="E13" s="100"/>
      <c r="F13" s="101"/>
      <c r="G13" s="101"/>
      <c r="H13" s="101"/>
      <c r="I13" s="102"/>
    </row>
    <row r="14" spans="1:11" ht="16.2" thickBot="1" x14ac:dyDescent="0.4">
      <c r="A14" s="95" t="s">
        <v>251</v>
      </c>
      <c r="B14" s="225">
        <v>6.8</v>
      </c>
      <c r="C14" s="97" t="s">
        <v>80</v>
      </c>
      <c r="D14" s="20" t="s">
        <v>250</v>
      </c>
      <c r="E14" s="100"/>
      <c r="F14" s="101"/>
      <c r="G14" s="101"/>
      <c r="H14" s="101"/>
      <c r="I14" s="102"/>
    </row>
    <row r="15" spans="1:11" ht="16.2" thickBot="1" x14ac:dyDescent="0.4">
      <c r="A15" s="47" t="s">
        <v>249</v>
      </c>
      <c r="B15" s="223">
        <f>1000000000000/C8*(C5/1000000000)/B14</f>
        <v>326.79738562091501</v>
      </c>
      <c r="C15" s="224" t="s">
        <v>18</v>
      </c>
      <c r="D15" s="20" t="s">
        <v>212</v>
      </c>
      <c r="E15" s="16"/>
      <c r="F15" s="18"/>
      <c r="G15" s="18"/>
      <c r="H15" s="18"/>
      <c r="I15" s="48"/>
    </row>
    <row r="16" spans="1:11" ht="16.2" thickBot="1" x14ac:dyDescent="0.4">
      <c r="A16" s="95" t="s">
        <v>252</v>
      </c>
      <c r="B16" s="263">
        <v>330</v>
      </c>
      <c r="C16" s="96" t="s">
        <v>18</v>
      </c>
      <c r="D16" s="20" t="s">
        <v>276</v>
      </c>
      <c r="E16" s="16"/>
      <c r="F16" s="18"/>
      <c r="G16" s="18"/>
      <c r="H16" s="18"/>
      <c r="I16" s="48"/>
      <c r="K16" s="12" t="s">
        <v>338</v>
      </c>
    </row>
    <row r="17" spans="1:9" ht="16.2" thickBot="1" x14ac:dyDescent="0.4">
      <c r="A17" s="138" t="s">
        <v>207</v>
      </c>
      <c r="B17" s="144">
        <f>1000*0.5*B16/1000000000000*Design!D4^2*IF(ISBLANK(Design!B33),Design!B32,Design!B33)*1000000</f>
        <v>88.704000000000008</v>
      </c>
      <c r="C17" s="139" t="s">
        <v>210</v>
      </c>
      <c r="D17" s="140" t="s">
        <v>216</v>
      </c>
      <c r="E17" s="136"/>
      <c r="F17" s="136"/>
      <c r="G17" s="136"/>
      <c r="H17" s="136"/>
      <c r="I17" s="137"/>
    </row>
    <row r="33" spans="3:3" x14ac:dyDescent="0.3">
      <c r="C33" s="12" t="s">
        <v>225</v>
      </c>
    </row>
  </sheetData>
  <sheetProtection password="83AF" sheet="1" objects="1" scenarios="1"/>
  <mergeCells count="10">
    <mergeCell ref="A1:I1"/>
    <mergeCell ref="F8:I8"/>
    <mergeCell ref="A9:I9"/>
    <mergeCell ref="D10:I10"/>
    <mergeCell ref="A11:I11"/>
    <mergeCell ref="A2:I2"/>
    <mergeCell ref="F3:I3"/>
    <mergeCell ref="F4:I4"/>
    <mergeCell ref="F6:I6"/>
    <mergeCell ref="F7:I7"/>
  </mergeCells>
  <printOptions horizontalCentered="1"/>
  <pageMargins left="0.7" right="0.7" top="0.75" bottom="0.75" header="0.3" footer="0.3"/>
  <pageSetup scale="77" fitToHeight="2" orientation="portrait" horizontalDpi="4294967293" r:id="rId1"/>
  <ignoredErrors>
    <ignoredError sqref="C5 B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I78"/>
  <sheetViews>
    <sheetView topLeftCell="A25" zoomScale="75" zoomScaleNormal="75" workbookViewId="0">
      <selection activeCell="AT52" sqref="AT52"/>
    </sheetView>
  </sheetViews>
  <sheetFormatPr defaultRowHeight="14.4" x14ac:dyDescent="0.3"/>
  <cols>
    <col min="1" max="5" width="6.6640625" style="1" customWidth="1"/>
    <col min="6" max="20" width="6.6640625" style="155" customWidth="1"/>
    <col min="21" max="61" width="6.6640625" customWidth="1"/>
  </cols>
  <sheetData>
    <row r="1" spans="1:61" ht="24" customHeight="1" thickBot="1" x14ac:dyDescent="0.35">
      <c r="A1" s="453" t="s">
        <v>169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4"/>
      <c r="AR1" s="454"/>
      <c r="AS1" s="454"/>
      <c r="AT1" s="454"/>
      <c r="AU1" s="454"/>
      <c r="AV1" s="454"/>
      <c r="AW1" s="454"/>
      <c r="AX1" s="454"/>
      <c r="AY1" s="454"/>
      <c r="AZ1" s="454"/>
      <c r="BA1" s="454"/>
      <c r="BB1" s="454"/>
      <c r="BC1" s="454"/>
      <c r="BD1" s="454"/>
      <c r="BE1" s="454"/>
      <c r="BF1" s="454"/>
      <c r="BG1" s="454"/>
      <c r="BH1" s="454"/>
      <c r="BI1" s="455"/>
    </row>
    <row r="2" spans="1:61" s="209" customFormat="1" ht="18" customHeight="1" x14ac:dyDescent="0.3">
      <c r="A2" s="213"/>
      <c r="B2" s="253" t="s">
        <v>255</v>
      </c>
      <c r="C2" s="254">
        <f>Design!B4</f>
        <v>8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6"/>
      <c r="V2" s="253" t="s">
        <v>255</v>
      </c>
      <c r="W2" s="254">
        <f>Design!C4</f>
        <v>12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6"/>
      <c r="AP2" s="253" t="s">
        <v>255</v>
      </c>
      <c r="AQ2" s="254">
        <f>Design!D4</f>
        <v>16</v>
      </c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6"/>
    </row>
    <row r="3" spans="1:61" s="158" customFormat="1" ht="16.2" thickBot="1" x14ac:dyDescent="0.35">
      <c r="A3" s="214" t="s">
        <v>198</v>
      </c>
      <c r="B3" s="210" t="s">
        <v>94</v>
      </c>
      <c r="C3" s="208" t="s">
        <v>223</v>
      </c>
      <c r="D3" s="200" t="s">
        <v>221</v>
      </c>
      <c r="E3" s="200" t="s">
        <v>222</v>
      </c>
      <c r="F3" s="200" t="s">
        <v>95</v>
      </c>
      <c r="G3" s="200" t="s">
        <v>96</v>
      </c>
      <c r="H3" s="200" t="s">
        <v>97</v>
      </c>
      <c r="I3" s="200" t="s">
        <v>186</v>
      </c>
      <c r="J3" s="200" t="s">
        <v>239</v>
      </c>
      <c r="K3" s="200" t="s">
        <v>241</v>
      </c>
      <c r="L3" s="200" t="s">
        <v>242</v>
      </c>
      <c r="M3" s="200" t="s">
        <v>253</v>
      </c>
      <c r="N3" s="200" t="s">
        <v>268</v>
      </c>
      <c r="O3" s="200" t="s">
        <v>269</v>
      </c>
      <c r="P3" s="200" t="s">
        <v>113</v>
      </c>
      <c r="Q3" s="200" t="s">
        <v>235</v>
      </c>
      <c r="R3" s="200" t="s">
        <v>240</v>
      </c>
      <c r="S3" s="200" t="s">
        <v>243</v>
      </c>
      <c r="T3" s="200" t="s">
        <v>244</v>
      </c>
      <c r="U3" s="211" t="s">
        <v>230</v>
      </c>
      <c r="V3" s="210" t="s">
        <v>94</v>
      </c>
      <c r="W3" s="208" t="s">
        <v>223</v>
      </c>
      <c r="X3" s="200" t="s">
        <v>221</v>
      </c>
      <c r="Y3" s="200" t="s">
        <v>222</v>
      </c>
      <c r="Z3" s="200" t="s">
        <v>95</v>
      </c>
      <c r="AA3" s="200" t="s">
        <v>96</v>
      </c>
      <c r="AB3" s="200" t="s">
        <v>97</v>
      </c>
      <c r="AC3" s="200" t="s">
        <v>186</v>
      </c>
      <c r="AD3" s="200" t="s">
        <v>239</v>
      </c>
      <c r="AE3" s="200" t="s">
        <v>241</v>
      </c>
      <c r="AF3" s="200" t="s">
        <v>242</v>
      </c>
      <c r="AG3" s="200" t="s">
        <v>253</v>
      </c>
      <c r="AH3" s="200" t="s">
        <v>268</v>
      </c>
      <c r="AI3" s="200" t="s">
        <v>269</v>
      </c>
      <c r="AJ3" s="200" t="s">
        <v>113</v>
      </c>
      <c r="AK3" s="200" t="s">
        <v>235</v>
      </c>
      <c r="AL3" s="200" t="s">
        <v>240</v>
      </c>
      <c r="AM3" s="200" t="s">
        <v>243</v>
      </c>
      <c r="AN3" s="200" t="s">
        <v>244</v>
      </c>
      <c r="AO3" s="211" t="s">
        <v>230</v>
      </c>
      <c r="AP3" s="210" t="s">
        <v>94</v>
      </c>
      <c r="AQ3" s="208" t="s">
        <v>223</v>
      </c>
      <c r="AR3" s="200" t="s">
        <v>221</v>
      </c>
      <c r="AS3" s="200" t="s">
        <v>222</v>
      </c>
      <c r="AT3" s="200" t="s">
        <v>95</v>
      </c>
      <c r="AU3" s="200" t="s">
        <v>96</v>
      </c>
      <c r="AV3" s="200" t="s">
        <v>97</v>
      </c>
      <c r="AW3" s="200" t="s">
        <v>186</v>
      </c>
      <c r="AX3" s="200" t="s">
        <v>239</v>
      </c>
      <c r="AY3" s="200" t="s">
        <v>241</v>
      </c>
      <c r="AZ3" s="200" t="s">
        <v>242</v>
      </c>
      <c r="BA3" s="200" t="s">
        <v>253</v>
      </c>
      <c r="BB3" s="200" t="s">
        <v>268</v>
      </c>
      <c r="BC3" s="200" t="s">
        <v>269</v>
      </c>
      <c r="BD3" s="200" t="s">
        <v>113</v>
      </c>
      <c r="BE3" s="200" t="s">
        <v>235</v>
      </c>
      <c r="BF3" s="200" t="s">
        <v>240</v>
      </c>
      <c r="BG3" s="200" t="s">
        <v>243</v>
      </c>
      <c r="BH3" s="200" t="s">
        <v>244</v>
      </c>
      <c r="BI3" s="211" t="s">
        <v>230</v>
      </c>
    </row>
    <row r="4" spans="1:61" s="120" customFormat="1" ht="12.75" customHeight="1" x14ac:dyDescent="0.25">
      <c r="A4" s="159">
        <v>25</v>
      </c>
      <c r="B4" s="349">
        <v>0.25</v>
      </c>
      <c r="C4" s="350">
        <f ca="1">FORECAST(B4, OFFSET(Design!$C$15:$C$17,MATCH(B4,Design!$B$15:$B$17,1)-1,0,2), OFFSET(Design!$B$15:$B$17,MATCH(B4,Design!$B$15:$B$17,1)-1,0,2))+(N4-25)*Design!$B$18/1000</f>
        <v>0.33227875018618447</v>
      </c>
      <c r="D4" s="164">
        <f ca="1">IF(100*(Design!$C$29+C4+B4*IF(ISBLANK(Design!$B$43),Constants!$C$6,Design!$B$43)/1000*(1+Constants!$C$36/100*(O4-25)))/($C$2+C4-B4*P4/1000)&gt;Design!$C$36,Design!$C$36,100*(Design!$C$29+C4+B4*IF(ISBLANK(Design!$B$43),Constants!$C$6,Design!$B$43)/1000*(1+Constants!$C$36/100*(O4-25)))/($C$2+C4-B4*P4/1000))</f>
        <v>64.357611749368687</v>
      </c>
      <c r="E4" s="163">
        <f ca="1">IF(($C$2-B4*IF(ISBLANK(Design!$B$43),Constants!$C$6,Design!$B$43)/1000*(1+Constants!$C$36/100*(O4-25))-Design!$C$29) / (IF(ISBLANK(Design!$B$42),Design!$B$40,Design!$B$42)/1000000) * D4/100/(IF(ISBLANK(Design!$B$33),Design!$B$32,Design!$B$33)*1000000)&lt;0,0,($C$2-B4*IF(ISBLANK(Design!$B$43),Constants!$C$6,Design!$B$43)/1000*(1+Constants!$C$36/100*(O4-25))-Design!$C$29) / (IF(ISBLANK(Design!$B$42),Design!$B$40,Design!$B$42)/1000000) * D4/100/(IF(ISBLANK(Design!$B$33),Design!$B$32,Design!$B$33)*1000000))</f>
        <v>0.27774306968230245</v>
      </c>
      <c r="F4" s="163">
        <f>$C$2*Constants!$C$21/1000+IF(ISBLANK(Design!$B$33),Design!$B$32,Design!$B$33)*1000000*Constants!$D$25/1000000000*($C$2-Constants!$C$24)</f>
        <v>6.4950000000000008E-2</v>
      </c>
      <c r="G4" s="163">
        <f>$C$2*B4*($C$2/(Constants!$C$26*1000000000)*IF(ISBLANK(Design!$B$33),Design!$B$32,Design!$B$33)*1000000/2+$C$2/(Constants!$C$27*1000000000)*IF(ISBLANK(Design!$B$33),Design!$B$32,Design!$B$33)*1000000/2)</f>
        <v>4.1680365296803655E-2</v>
      </c>
      <c r="H4" s="163">
        <f t="shared" ref="H4:H9" ca="1" si="0">IF($D$78,1,D4/100*(B4^2+E4^2/12)*P4/1000)</f>
        <v>5.7630530886156103E-3</v>
      </c>
      <c r="I4" s="163">
        <f>Constants!$D$25/1000000000*Constants!$C$24*IF(ISBLANK(Design!$B$33),Design!$B$32,Design!$B$33)*1000000</f>
        <v>6.8250000000000005E-2</v>
      </c>
      <c r="J4" s="163">
        <f t="shared" ref="J4:J9" ca="1" si="1">SUM(F4:I4)</f>
        <v>0.18064341838541928</v>
      </c>
      <c r="K4" s="163">
        <f t="shared" ref="K4:K9" ca="1" si="2">B4*C4*(1-D4/100)</f>
        <v>2.9608020553926299E-2</v>
      </c>
      <c r="L4" s="163">
        <f ca="1">B4^2*IF(ISBLANK(Design!$B$43),Constants!$C$6,Design!$B$43)/1000*(1+(O4-25)*(Constants!$C$36/100))</f>
        <v>2.5603439339116491E-3</v>
      </c>
      <c r="M4" s="163">
        <f>0.5*Snubber!$B$16/1000000000000*$C$2^2*Design!$B$33*1000000</f>
        <v>2.2175999999999998E-2</v>
      </c>
      <c r="N4" s="164">
        <f ca="1">$A4+K4*Design!$B$19</f>
        <v>26.480401027696313</v>
      </c>
      <c r="O4" s="164">
        <f ca="1">J4*Design!$C$12+A4</f>
        <v>31.141876225104255</v>
      </c>
      <c r="P4" s="164">
        <f ca="1">Constants!$D$22+Constants!$D$22*Constants!$C$23/100*(O4-25)</f>
        <v>129.9135009800834</v>
      </c>
      <c r="Q4" s="163">
        <f ca="1">(1-Constants!$C$20/1000000000*Design!$B$33*1000000) * ($C$2+C4-B4*P4/1000) - (C4+B4*Design!$B$43/1000)</f>
        <v>6.4760072578279813</v>
      </c>
      <c r="R4" s="163">
        <f ca="1">IF(Q4&gt;Design!$C$29,Design!$C$29,Q4)</f>
        <v>4.99903317535545</v>
      </c>
      <c r="S4" s="163">
        <f t="shared" ref="S4:S9" ca="1" si="3">SUM(J4:M4)</f>
        <v>0.23498778287325725</v>
      </c>
      <c r="T4" s="163">
        <f t="shared" ref="T4:T9" ca="1" si="4">R4*B4</f>
        <v>1.2497582938388625</v>
      </c>
      <c r="U4" s="351">
        <f t="shared" ref="U4:U9" ca="1" si="5">100*T4/(T4+S4)</f>
        <v>84.173200619352812</v>
      </c>
      <c r="V4" s="358">
        <v>0.25</v>
      </c>
      <c r="W4" s="359">
        <f ca="1">FORECAST(V4, OFFSET(Design!$C$15:$C$17,MATCH(V4,Design!$B$15:$B$17,1)-1,0,2), OFFSET(Design!$B$15:$B$17,MATCH(V4,Design!$B$15:$B$17,1)-1,0,2))+(AH4-25)*Design!$B$18/1000</f>
        <v>0.33150133878544202</v>
      </c>
      <c r="X4" s="180">
        <f ca="1">IF(100*(Design!$C$29+W4+V4*IF(ISBLANK(Design!$B$43),Constants!$C$6,Design!$B$43)/1000*(1+Constants!$C$36/100*(AI4-25)))/($W$2+W4-V4*AJ4/1000)&gt;Design!$C$36,Design!$C$36,100*(Design!$C$29+W4+V4*IF(ISBLANK(Design!$B$43),Constants!$C$6,Design!$B$43)/1000*(1+Constants!$C$36/100*(AI4-25)))/($W$2+W4-V4*AJ4/1000))</f>
        <v>43.428488547181217</v>
      </c>
      <c r="Y4" s="179">
        <f ca="1">($W$2-V4*IF(ISBLANK(Design!$B$43),Constants!$C$6,Design!$B$43)/1000*(1+Constants!$C$36/100*(AI4-25))-Design!$C$29) / (IF(ISBLANK(Design!$B$42),Design!$B$40,Design!$B$42)/1000000) * X4/100/(IF(ISBLANK(Design!$B$33),Design!$B$32,Design!$B$33)*1000000)</f>
        <v>0.43808055285567421</v>
      </c>
      <c r="Z4" s="179">
        <f>$W$2*Constants!$C$21/1000+IF(ISBLANK(Design!$B$33),Design!$B$32,Design!$B$33)*1000000*Constants!$D$25/1000000000*($W$2-Constants!$C$24)</f>
        <v>0.13155</v>
      </c>
      <c r="AA4" s="179">
        <f>$W$2*V4*($W$2/(Constants!$C$26*1000000000)*IF(ISBLANK(Design!$B$33),Design!$B$32,Design!$B$33)*1000000/2+$W$2/(Constants!$C$27*1000000000)*IF(ISBLANK(Design!$B$33),Design!$B$32,Design!$B$33)*1000000/2)</f>
        <v>9.3780821917808219E-2</v>
      </c>
      <c r="AB4" s="179">
        <f t="shared" ref="AB4:AB9" ca="1" si="6">IF($D$78,1,X4/100*(V4^2+Y4^2/12)*AJ4/1000)</f>
        <v>4.5374495311968077E-3</v>
      </c>
      <c r="AC4" s="179">
        <f>Constants!$D$25/1000000000*Constants!$C$24*IF(ISBLANK(Design!$B$33),Design!$B$32,Design!$B$33)*1000000</f>
        <v>6.8250000000000005E-2</v>
      </c>
      <c r="AD4" s="179">
        <f t="shared" ref="AD4:AD9" ca="1" si="7">SUM(Z4:AC4)</f>
        <v>0.29811827144900505</v>
      </c>
      <c r="AE4" s="179">
        <f t="shared" ref="AE4:AE9" ca="1" si="8">V4*W4*(1-X4/100)</f>
        <v>4.6883829459313478E-2</v>
      </c>
      <c r="AF4" s="179">
        <f ca="1">V4^2*IF(ISBLANK(Design!$B$43),Constants!$C$6,Design!$B$43)/1000*(1+(AI4-25)*(Constants!$C$36/100))</f>
        <v>2.5995864085775399E-3</v>
      </c>
      <c r="AG4" s="179">
        <f>0.5*Snubber!$B$16/1000000000000*$W$2^2*Design!$B$33*1000000</f>
        <v>4.9895999999999996E-2</v>
      </c>
      <c r="AH4" s="180">
        <f ca="1">$A4+AE4*Design!$B$19</f>
        <v>27.344191472965676</v>
      </c>
      <c r="AI4" s="180">
        <f ca="1">AD4*Design!$C$12+$A4</f>
        <v>35.13602122926617</v>
      </c>
      <c r="AJ4" s="180">
        <f ca="1">Constants!$D$22+Constants!$D$22*Constants!$C$23/100*(AI4-25)</f>
        <v>133.10881698341294</v>
      </c>
      <c r="AK4" s="179">
        <f ca="1">(1-Constants!$C$20/1000000000*Design!$B$33*1000000) * ($W$2+W4-V4*AJ4/1000) - (W4+V4*Design!$B$43/1000)</f>
        <v>9.7614897877388298</v>
      </c>
      <c r="AL4" s="179">
        <f ca="1">IF(AK4&gt;Design!$C$29,Design!$C$29,AK4)</f>
        <v>4.99903317535545</v>
      </c>
      <c r="AM4" s="179">
        <f t="shared" ref="AM4:AM9" ca="1" si="9">SUM(AD4:AG4)</f>
        <v>0.39749768731689605</v>
      </c>
      <c r="AN4" s="179">
        <f t="shared" ref="AN4:AN9" ca="1" si="10">AL4*V4</f>
        <v>1.2497582938388625</v>
      </c>
      <c r="AO4" s="360">
        <f t="shared" ref="AO4:AO9" ca="1" si="11">100*AN4/(AN4+AM4)</f>
        <v>75.869100378800809</v>
      </c>
      <c r="AP4" s="367">
        <v>0.25</v>
      </c>
      <c r="AQ4" s="368">
        <f ca="1">FORECAST(AP4, OFFSET(Design!$C$15:$C$17,MATCH(AP4,Design!$B$15:$B$17,1)-1,0,2), OFFSET(Design!$B$15:$B$17,MATCH(AP4,Design!$B$15:$B$17,1)-1,0,2))+(BB4-25)*Design!$B$18/1000</f>
        <v>0.33110687920326021</v>
      </c>
      <c r="AR4" s="193">
        <f ca="1">IF(100*(Design!$C$29+AQ4+AP4*IF(ISBLANK(Design!$B$43),Constants!$C$6,Design!$B$43)/1000*(1+Constants!$C$36/100*(BC4-25)))/($AQ$2+AQ4-AP4*BD4/1000)&gt;Design!$C$36,Design!$C$36,100*(Design!$C$29+AQ4+AP4*IF(ISBLANK(Design!$B$43),Constants!$C$6,Design!$B$43)/1000*(1+Constants!$C$36/100*(BC4-25)))/($AQ$2+AQ4-AP4*BD4/1000))</f>
        <v>32.771438532293182</v>
      </c>
      <c r="AS4" s="192">
        <f ca="1">($AQ$2-AP4*IF(ISBLANK(Design!$B$43),Constants!$C$6,Design!$B$43)/1000*(1+Constants!$C$36/100*(BC4-25))-Design!$C$29) / (IF(ISBLANK(Design!$B$42),Design!$B$40,Design!$B$42)/1000000) * AR4/100/(IF(ISBLANK(Design!$B$33),Design!$B$32,Design!$B$33)*1000000)</f>
        <v>0.51972678308169384</v>
      </c>
      <c r="AT4" s="192">
        <f>$AQ$2*Constants!$C$21/1000+IF(ISBLANK(Design!$B$33),Design!$B$32,Design!$B$33)*1000000*Constants!$D$25/1000000000*($AQ$2-Constants!$C$24)</f>
        <v>0.19814999999999999</v>
      </c>
      <c r="AU4" s="192">
        <f>$AQ$2*AP4*($AQ$2/(Constants!$C$26*1000000000)*IF(ISBLANK(Design!$B$33),Design!$B$32,Design!$B$33)*1000000/2+$AQ$2/(Constants!$C$27*1000000000)*IF(ISBLANK(Design!$B$33),Design!$B$32,Design!$B$33)*1000000/2)</f>
        <v>0.16672146118721462</v>
      </c>
      <c r="AV4" s="192">
        <f t="shared" ref="AV4:AV9" ca="1" si="12">IF($D$78,1,AR4/100*(AP4^2+AS4^2/12)*BD4/1000)</f>
        <v>3.813453665931288E-3</v>
      </c>
      <c r="AW4" s="192">
        <f>Constants!$D$25/1000000000*Constants!$C$24*IF(ISBLANK(Design!$B$33),Design!$B$32,Design!$B$33)*1000000</f>
        <v>6.8250000000000005E-2</v>
      </c>
      <c r="AX4" s="192">
        <f t="shared" ref="AX4:AX9" ca="1" si="13">SUM(AT4:AW4)</f>
        <v>0.43693491485314584</v>
      </c>
      <c r="AY4" s="192">
        <f t="shared" ref="AY4:AY9" ca="1" si="14">AP4*AQ4*(1-AR4/100)</f>
        <v>5.5649597952242384E-2</v>
      </c>
      <c r="AZ4" s="192">
        <f ca="1">AP4^2*IF(ISBLANK(Design!$B$43),Constants!$C$6,Design!$B$43)/1000*(1+(BC4-25)*(Constants!$C$36/100))</f>
        <v>2.6459581083066934E-3</v>
      </c>
      <c r="BA4" s="192">
        <f>0.5*Snubber!$B$16/1000000000000*$AQ$2^2*Design!$B$33*1000000</f>
        <v>8.8703999999999991E-2</v>
      </c>
      <c r="BB4" s="193">
        <f ca="1">$A4+AY4*Design!$B$19</f>
        <v>27.78247989761212</v>
      </c>
      <c r="BC4" s="193">
        <f ca="1">AX4*Design!$C$12+$A4</f>
        <v>39.855787105006961</v>
      </c>
      <c r="BD4" s="193">
        <f ca="1">Constants!$D$22+Constants!$D$22*Constants!$C$23/100*(BC4-25)</f>
        <v>136.88462968400557</v>
      </c>
      <c r="BE4" s="192">
        <f ca="1">(1-Constants!$C$20/1000000000*Design!$B$33*1000000) * ($AQ$2+AQ4-AP4*BD4/1000) - (AQ4+AP4*Design!$B$43/1000)</f>
        <v>13.046784741240867</v>
      </c>
      <c r="BF4" s="192">
        <f ca="1">IF(BE4&gt;Design!$C$29,Design!$C$29,BE4)</f>
        <v>4.99903317535545</v>
      </c>
      <c r="BG4" s="192">
        <f t="shared" ref="BG4:BG9" ca="1" si="15">SUM(AX4:BA4)</f>
        <v>0.58393447091369488</v>
      </c>
      <c r="BH4" s="192">
        <f t="shared" ref="BH4:BH9" ca="1" si="16">BF4*AP4</f>
        <v>1.2497582938388625</v>
      </c>
      <c r="BI4" s="369">
        <f t="shared" ref="BI4:BI9" ca="1" si="17">100*BH4/(BH4+BG4)</f>
        <v>68.155272129652957</v>
      </c>
    </row>
    <row r="5" spans="1:61" s="120" customFormat="1" ht="13.2" x14ac:dyDescent="0.25">
      <c r="A5" s="112">
        <v>25</v>
      </c>
      <c r="B5" s="352">
        <f>B4+0.25</f>
        <v>0.5</v>
      </c>
      <c r="C5" s="353">
        <f ca="1">FORECAST(B5, OFFSET(Design!$C$15:$C$17,MATCH(B5,Design!$B$15:$B$17,1)-1,0,2), OFFSET(Design!$B$15:$B$17,MATCH(B5,Design!$B$15:$B$17,1)-1,0,2))+(N5-25)*Design!$B$18/1000</f>
        <v>0.34890437308284455</v>
      </c>
      <c r="D5" s="166">
        <f ca="1">IF(100*(Design!$C$29+C5+B5*IF(ISBLANK(Design!$B$43),Constants!$C$6,Design!$B$43)/1000*(1+Constants!$C$36/100*(O5-25)))/($C$2+C5-B5*P5/1000)&gt;Design!$C$36,Design!$C$36,100*(Design!$C$29+C5+B5*IF(ISBLANK(Design!$B$43),Constants!$C$6,Design!$B$43)/1000*(1+Constants!$C$36/100*(O5-25)))/($C$2+C5-B5*P5/1000))</f>
        <v>64.813108348092697</v>
      </c>
      <c r="E5" s="165">
        <f ca="1">IF(($C$2-B5*IF(ISBLANK(Design!$B$43),Constants!$C$6,Design!$B$43)/1000*(1+Constants!$C$36/100*(O5-25))-Design!$C$29) / (IF(ISBLANK(Design!$B$42),Design!$B$40,Design!$B$42)/1000000) * D5/100/(IF(ISBLANK(Design!$B$33),Design!$B$32,Design!$B$33)*1000000)&lt;0,0,($C$2-B5*IF(ISBLANK(Design!$B$43),Constants!$C$6,Design!$B$43)/1000*(1+Constants!$C$36/100*(O5-25))-Design!$C$29) / (IF(ISBLANK(Design!$B$42),Design!$B$40,Design!$B$42)/1000000) * D5/100/(IF(ISBLANK(Design!$B$33),Design!$B$32,Design!$B$33)*1000000))</f>
        <v>0.27873655171707612</v>
      </c>
      <c r="F5" s="165">
        <f>$C$2*Constants!$C$21/1000+IF(ISBLANK(Design!$B$33),Design!$B$32,Design!$B$33)*1000000*Constants!$D$25/1000000000*($C$2-Constants!$C$24)</f>
        <v>6.4950000000000008E-2</v>
      </c>
      <c r="G5" s="165">
        <f>$C$2*B5*($C$2/(Constants!$C$26*1000000000)*IF(ISBLANK(Design!$B$33),Design!$B$32,Design!$B$33)*1000000/2+$C$2/(Constants!$C$27*1000000000)*IF(ISBLANK(Design!$B$33),Design!$B$32,Design!$B$33)*1000000/2)</f>
        <v>8.336073059360731E-2</v>
      </c>
      <c r="H5" s="165">
        <f t="shared" ca="1" si="0"/>
        <v>2.1856625128101121E-2</v>
      </c>
      <c r="I5" s="165">
        <f>Constants!$D$25/1000000000*Constants!$C$24*IF(ISBLANK(Design!$B$33),Design!$B$32,Design!$B$33)*1000000</f>
        <v>6.8250000000000005E-2</v>
      </c>
      <c r="J5" s="165">
        <f t="shared" ca="1" si="1"/>
        <v>0.23841735572170847</v>
      </c>
      <c r="K5" s="165">
        <f t="shared" ca="1" si="2"/>
        <v>6.1384301862713472E-2</v>
      </c>
      <c r="L5" s="165">
        <f ca="1">B5^2*IF(ISBLANK(Design!$B$43),Constants!$C$6,Design!$B$43)/1000*(1+(O5-25)*(Constants!$C$36/100))</f>
        <v>1.0318573270715349E-2</v>
      </c>
      <c r="M5" s="165">
        <f>0.5*Snubber!$B$16/1000000000000*$C$2^2*Design!$B$33*1000000</f>
        <v>2.2175999999999998E-2</v>
      </c>
      <c r="N5" s="166">
        <f ca="1">$A5+K5*Design!$B$19</f>
        <v>28.069215093135675</v>
      </c>
      <c r="O5" s="166">
        <f ca="1">J5*Design!$C$12+A5</f>
        <v>33.106190094538086</v>
      </c>
      <c r="P5" s="166">
        <f ca="1">Constants!$D$22+Constants!$D$22*Constants!$C$23/100*(O5-25)</f>
        <v>131.48495207563047</v>
      </c>
      <c r="Q5" s="165">
        <f ca="1">(1-Constants!$C$20/1000000000*Design!$B$33*1000000) * ($C$2+C5-B5*P5/1000) - (C5+B5*Design!$B$43/1000)</f>
        <v>6.4357131253396469</v>
      </c>
      <c r="R5" s="165">
        <f ca="1">IF(Q5&gt;Design!$C$29,Design!$C$29,Q5)</f>
        <v>4.99903317535545</v>
      </c>
      <c r="S5" s="165">
        <f t="shared" ca="1" si="3"/>
        <v>0.33229623085513726</v>
      </c>
      <c r="T5" s="165">
        <f t="shared" ca="1" si="4"/>
        <v>2.499516587677725</v>
      </c>
      <c r="U5" s="354">
        <f t="shared" ca="1" si="5"/>
        <v>88.265600442217888</v>
      </c>
      <c r="V5" s="361">
        <f>V4+0.25</f>
        <v>0.5</v>
      </c>
      <c r="W5" s="362">
        <f ca="1">FORECAST(V5, OFFSET(Design!$C$15:$C$17,MATCH(V5,Design!$B$15:$B$17,1)-1,0,2), OFFSET(Design!$B$15:$B$17,MATCH(V5,Design!$B$15:$B$17,1)-1,0,2))+(AH5-25)*Design!$B$18/1000</f>
        <v>0.34726849030504736</v>
      </c>
      <c r="X5" s="184">
        <f ca="1">IF(100*(Design!$C$29+W5+V5*IF(ISBLANK(Design!$B$43),Constants!$C$6,Design!$B$43)/1000*(1+Constants!$C$36/100*(AI5-25)))/($W$2+W5-V5*AJ5/1000)&gt;Design!$C$36,Design!$C$36,100*(Design!$C$29+W5+V5*IF(ISBLANK(Design!$B$43),Constants!$C$6,Design!$B$43)/1000*(1+Constants!$C$36/100*(AI5-25)))/($W$2+W5-V5*AJ5/1000))</f>
        <v>43.710843218412599</v>
      </c>
      <c r="Y5" s="183">
        <f ca="1">($W$2-V5*IF(ISBLANK(Design!$B$43),Constants!$C$6,Design!$B$43)/1000*(1+Constants!$C$36/100*(AI5-25))-Design!$C$29) / (IF(ISBLANK(Design!$B$42),Design!$B$40,Design!$B$42)/1000000) * X5/100/(IF(ISBLANK(Design!$B$33),Design!$B$32,Design!$B$33)*1000000)</f>
        <v>0.44025519454788009</v>
      </c>
      <c r="Z5" s="183">
        <f>$W$2*Constants!$C$21/1000+IF(ISBLANK(Design!$B$33),Design!$B$32,Design!$B$33)*1000000*Constants!$D$25/1000000000*($W$2-Constants!$C$24)</f>
        <v>0.13155</v>
      </c>
      <c r="AA5" s="183">
        <f>$W$2*V5*($W$2/(Constants!$C$26*1000000000)*IF(ISBLANK(Design!$B$33),Design!$B$32,Design!$B$33)*1000000/2+$W$2/(Constants!$C$27*1000000000)*IF(ISBLANK(Design!$B$33),Design!$B$32,Design!$B$33)*1000000/2)</f>
        <v>0.18756164383561644</v>
      </c>
      <c r="AB5" s="183">
        <f t="shared" ca="1" si="6"/>
        <v>1.5817974728370012E-2</v>
      </c>
      <c r="AC5" s="183">
        <f>Constants!$D$25/1000000000*Constants!$C$24*IF(ISBLANK(Design!$B$33),Design!$B$32,Design!$B$33)*1000000</f>
        <v>6.8250000000000005E-2</v>
      </c>
      <c r="AD5" s="183">
        <f t="shared" ca="1" si="7"/>
        <v>0.40317961856398643</v>
      </c>
      <c r="AE5" s="183">
        <f t="shared" ca="1" si="8"/>
        <v>9.7737252480429873E-2</v>
      </c>
      <c r="AF5" s="183">
        <f ca="1">V5^2*IF(ISBLANK(Design!$B$43),Constants!$C$6,Design!$B$43)/1000*(1+(AI5-25)*(Constants!$C$36/100))</f>
        <v>1.0538728606325199E-2</v>
      </c>
      <c r="AG5" s="183">
        <f>0.5*Snubber!$B$16/1000000000000*$W$2^2*Design!$B$33*1000000</f>
        <v>4.9895999999999996E-2</v>
      </c>
      <c r="AH5" s="184">
        <f ca="1">$A5+AE5*Design!$B$19</f>
        <v>29.886862624021493</v>
      </c>
      <c r="AI5" s="184">
        <f ca="1">AD5*Design!$C$12+$A5</f>
        <v>38.708107031175537</v>
      </c>
      <c r="AJ5" s="184">
        <f ca="1">Constants!$D$22+Constants!$D$22*Constants!$C$23/100*(AI5-25)</f>
        <v>135.96648562494042</v>
      </c>
      <c r="AK5" s="183">
        <f ca="1">(1-Constants!$C$20/1000000000*Design!$B$33*1000000) * ($W$2+W5-V5*AJ5/1000) - (W5+V5*Design!$B$43/1000)</f>
        <v>9.7201643405101041</v>
      </c>
      <c r="AL5" s="183">
        <f ca="1">IF(AK5&gt;Design!$C$29,Design!$C$29,AK5)</f>
        <v>4.99903317535545</v>
      </c>
      <c r="AM5" s="183">
        <f t="shared" ca="1" si="9"/>
        <v>0.56135159965074144</v>
      </c>
      <c r="AN5" s="183">
        <f t="shared" ca="1" si="10"/>
        <v>2.499516587677725</v>
      </c>
      <c r="AO5" s="363">
        <f t="shared" ca="1" si="11"/>
        <v>81.660379823781611</v>
      </c>
      <c r="AP5" s="370">
        <f>AP4+0.25</f>
        <v>0.5</v>
      </c>
      <c r="AQ5" s="371">
        <f ca="1">FORECAST(AP5, OFFSET(Design!$C$15:$C$17,MATCH(AP5,Design!$B$15:$B$17,1)-1,0,2), OFFSET(Design!$B$15:$B$17,MATCH(AP5,Design!$B$15:$B$17,1)-1,0,2))+(BB5-25)*Design!$B$18/1000</f>
        <v>0.34644221160460853</v>
      </c>
      <c r="AR5" s="196">
        <f ca="1">IF(100*(Design!$C$29+AQ5+AP5*IF(ISBLANK(Design!$B$43),Constants!$C$6,Design!$B$43)/1000*(1+Constants!$C$36/100*(BC5-25)))/($AQ$2+AQ5-AP5*BD5/1000)&gt;Design!$C$36,Design!$C$36,100*(Design!$C$29+AQ5+AP5*IF(ISBLANK(Design!$B$43),Constants!$C$6,Design!$B$43)/1000*(1+Constants!$C$36/100*(BC5-25)))/($AQ$2+AQ5-AP5*BD5/1000))</f>
        <v>32.976411366653828</v>
      </c>
      <c r="AS5" s="195">
        <f ca="1">($AQ$2-AP5*IF(ISBLANK(Design!$B$43),Constants!$C$6,Design!$B$43)/1000*(1+Constants!$C$36/100*(BC5-25))-Design!$C$29) / (IF(ISBLANK(Design!$B$42),Design!$B$40,Design!$B$42)/1000000) * AR5/100/(IF(ISBLANK(Design!$B$33),Design!$B$32,Design!$B$33)*1000000)</f>
        <v>0.52245150722886635</v>
      </c>
      <c r="AT5" s="195">
        <f>$AQ$2*Constants!$C$21/1000+IF(ISBLANK(Design!$B$33),Design!$B$32,Design!$B$33)*1000000*Constants!$D$25/1000000000*($AQ$2-Constants!$C$24)</f>
        <v>0.19814999999999999</v>
      </c>
      <c r="AU5" s="195">
        <f>$AQ$2*AP5*($AQ$2/(Constants!$C$26*1000000000)*IF(ISBLANK(Design!$B$33),Design!$B$32,Design!$B$33)*1000000/2+$AQ$2/(Constants!$C$27*1000000000)*IF(ISBLANK(Design!$B$33),Design!$B$32,Design!$B$33)*1000000/2)</f>
        <v>0.33344292237442924</v>
      </c>
      <c r="AV5" s="195">
        <f t="shared" ca="1" si="12"/>
        <v>1.2741381641199954E-2</v>
      </c>
      <c r="AW5" s="195">
        <f>Constants!$D$25/1000000000*Constants!$C$24*IF(ISBLANK(Design!$B$33),Design!$B$32,Design!$B$33)*1000000</f>
        <v>6.8250000000000005E-2</v>
      </c>
      <c r="AX5" s="195">
        <f t="shared" ca="1" si="13"/>
        <v>0.61258430401562924</v>
      </c>
      <c r="AY5" s="195">
        <f t="shared" ca="1" si="14"/>
        <v>0.11609900137906974</v>
      </c>
      <c r="AZ5" s="195">
        <f ca="1">AP5^2*IF(ISBLANK(Design!$B$43),Constants!$C$6,Design!$B$43)/1000*(1+(BC5-25)*(Constants!$C$36/100))</f>
        <v>1.0818535147025684E-2</v>
      </c>
      <c r="BA5" s="195">
        <f>0.5*Snubber!$B$16/1000000000000*$AQ$2^2*Design!$B$33*1000000</f>
        <v>8.8703999999999991E-2</v>
      </c>
      <c r="BB5" s="196">
        <f ca="1">$A5+AY5*Design!$B$19</f>
        <v>30.804950068953488</v>
      </c>
      <c r="BC5" s="196">
        <f ca="1">AX5*Design!$C$12+$A5</f>
        <v>45.827866336531393</v>
      </c>
      <c r="BD5" s="196">
        <f ca="1">Constants!$D$22+Constants!$D$22*Constants!$C$23/100*(BC5-25)</f>
        <v>141.66229306922511</v>
      </c>
      <c r="BE5" s="195">
        <f ca="1">(1-Constants!$C$20/1000000000*Design!$B$33*1000000) * ($AQ$2+AQ5-AP5*BD5/1000) - (AQ5+AP5*Design!$B$43/1000)</f>
        <v>13.003972278350393</v>
      </c>
      <c r="BF5" s="195">
        <f ca="1">IF(BE5&gt;Design!$C$29,Design!$C$29,BE5)</f>
        <v>4.99903317535545</v>
      </c>
      <c r="BG5" s="195">
        <f t="shared" ca="1" si="15"/>
        <v>0.82820584054172464</v>
      </c>
      <c r="BH5" s="195">
        <f t="shared" ca="1" si="16"/>
        <v>2.499516587677725</v>
      </c>
      <c r="BI5" s="372">
        <f t="shared" ca="1" si="17"/>
        <v>75.111931406344212</v>
      </c>
    </row>
    <row r="6" spans="1:61" s="120" customFormat="1" ht="13.2" x14ac:dyDescent="0.25">
      <c r="A6" s="112">
        <v>25</v>
      </c>
      <c r="B6" s="352">
        <f t="shared" ref="B6:B13" si="18">B5+0.25</f>
        <v>0.75</v>
      </c>
      <c r="C6" s="353">
        <f ca="1">FORECAST(B6, OFFSET(Design!$C$15:$C$17,MATCH(B6,Design!$B$15:$B$17,1)-1,0,2), OFFSET(Design!$B$15:$B$17,MATCH(B6,Design!$B$15:$B$17,1)-1,0,2))+(N6-25)*Design!$B$18/1000</f>
        <v>0.36544006498044096</v>
      </c>
      <c r="D6" s="166">
        <f ca="1">IF(100*(Design!$C$29+C6+B6*IF(ISBLANK(Design!$B$43),Constants!$C$6,Design!$B$43)/1000*(1+Constants!$C$36/100*(O6-25)))/($C$2+C6-B6*P6/1000)&gt;Design!$C$36,Design!$C$36,100*(Design!$C$29+C6+B6*IF(ISBLANK(Design!$B$43),Constants!$C$6,Design!$B$43)/1000*(1+Constants!$C$36/100*(O6-25)))/($C$2+C6-B6*P6/1000))</f>
        <v>65.280563011993209</v>
      </c>
      <c r="E6" s="165">
        <f ca="1">IF(($C$2-B6*IF(ISBLANK(Design!$B$43),Constants!$C$6,Design!$B$43)/1000*(1+Constants!$C$36/100*(O6-25))-Design!$C$29) / (IF(ISBLANK(Design!$B$42),Design!$B$40,Design!$B$42)/1000000) * D6/100/(IF(ISBLANK(Design!$B$33),Design!$B$32,Design!$B$33)*1000000)&lt;0,0,($C$2-B6*IF(ISBLANK(Design!$B$43),Constants!$C$6,Design!$B$43)/1000*(1+Constants!$C$36/100*(O6-25))-Design!$C$29) / (IF(ISBLANK(Design!$B$42),Design!$B$40,Design!$B$42)/1000000) * D6/100/(IF(ISBLANK(Design!$B$33),Design!$B$32,Design!$B$33)*1000000))</f>
        <v>0.27974869424191162</v>
      </c>
      <c r="F6" s="165">
        <f>$C$2*Constants!$C$21/1000+IF(ISBLANK(Design!$B$33),Design!$B$32,Design!$B$33)*1000000*Constants!$D$25/1000000000*($C$2-Constants!$C$24)</f>
        <v>6.4950000000000008E-2</v>
      </c>
      <c r="G6" s="165">
        <f>$C$2*B6*($C$2/(Constants!$C$26*1000000000)*IF(ISBLANK(Design!$B$33),Design!$B$32,Design!$B$33)*1000000/2+$C$2/(Constants!$C$27*1000000000)*IF(ISBLANK(Design!$B$33),Design!$B$32,Design!$B$33)*1000000/2)</f>
        <v>0.12504109589041096</v>
      </c>
      <c r="H6" s="165">
        <f t="shared" ca="1" si="0"/>
        <v>4.9542323220279683E-2</v>
      </c>
      <c r="I6" s="165">
        <f>Constants!$D$25/1000000000*Constants!$C$24*IF(ISBLANK(Design!$B$33),Design!$B$32,Design!$B$33)*1000000</f>
        <v>6.8250000000000005E-2</v>
      </c>
      <c r="J6" s="165">
        <f t="shared" ca="1" si="1"/>
        <v>0.30778341911069063</v>
      </c>
      <c r="K6" s="165">
        <f t="shared" ca="1" si="2"/>
        <v>9.5159049817361452E-2</v>
      </c>
      <c r="L6" s="165">
        <f ca="1">B6^2*IF(ISBLANK(Design!$B$43),Constants!$C$6,Design!$B$43)/1000*(1+(O6-25)*(Constants!$C$36/100))</f>
        <v>2.3425335460385333E-2</v>
      </c>
      <c r="M6" s="165">
        <f>0.5*Snubber!$B$16/1000000000000*$C$2^2*Design!$B$33*1000000</f>
        <v>2.2175999999999998E-2</v>
      </c>
      <c r="N6" s="166">
        <f ca="1">$A6+K6*Design!$B$19</f>
        <v>29.757952490868071</v>
      </c>
      <c r="O6" s="166">
        <f ca="1">J6*Design!$C$12+A6</f>
        <v>35.46463624976348</v>
      </c>
      <c r="P6" s="166">
        <f ca="1">Constants!$D$22+Constants!$D$22*Constants!$C$23/100*(O6-25)</f>
        <v>133.37170899981078</v>
      </c>
      <c r="Q6" s="165">
        <f ca="1">(1-Constants!$C$20/1000000000*Design!$B$33*1000000) * ($C$2+C6-B6*P6/1000) - (C6+B6*Design!$B$43/1000)</f>
        <v>6.3945953041934827</v>
      </c>
      <c r="R6" s="165">
        <f ca="1">IF(Q6&gt;Design!$C$29,Design!$C$29,Q6)</f>
        <v>4.99903317535545</v>
      </c>
      <c r="S6" s="165">
        <f t="shared" ca="1" si="3"/>
        <v>0.44854380438843738</v>
      </c>
      <c r="T6" s="165">
        <f t="shared" ca="1" si="4"/>
        <v>3.7492748815165875</v>
      </c>
      <c r="U6" s="354">
        <f t="shared" ca="1" si="5"/>
        <v>89.314836157776213</v>
      </c>
      <c r="V6" s="361">
        <f t="shared" ref="V6:V13" si="19">V5+0.25</f>
        <v>0.75</v>
      </c>
      <c r="W6" s="362">
        <f ca="1">FORECAST(V6, OFFSET(Design!$C$15:$C$17,MATCH(V6,Design!$B$15:$B$17,1)-1,0,2), OFFSET(Design!$B$15:$B$17,MATCH(V6,Design!$B$15:$B$17,1)-1,0,2))+(AH6-25)*Design!$B$18/1000</f>
        <v>0.36286428157019374</v>
      </c>
      <c r="X6" s="184">
        <f ca="1">IF(100*(Design!$C$29+W6+V6*IF(ISBLANK(Design!$B$43),Constants!$C$6,Design!$B$43)/1000*(1+Constants!$C$36/100*(AI6-25)))/($W$2+W6-V6*AJ6/1000)&gt;Design!$C$36,Design!$C$36,100*(Design!$C$29+W6+V6*IF(ISBLANK(Design!$B$43),Constants!$C$6,Design!$B$43)/1000*(1+Constants!$C$36/100*(AI6-25)))/($W$2+W6-V6*AJ6/1000))</f>
        <v>44.001586305959322</v>
      </c>
      <c r="Y6" s="183">
        <f ca="1">($W$2-V6*IF(ISBLANK(Design!$B$43),Constants!$C$6,Design!$B$43)/1000*(1+Constants!$C$36/100*(AI6-25))-Design!$C$29) / (IF(ISBLANK(Design!$B$42),Design!$B$40,Design!$B$42)/1000000) * X6/100/(IF(ISBLANK(Design!$B$33),Design!$B$32,Design!$B$33)*1000000)</f>
        <v>0.4424855492003622</v>
      </c>
      <c r="Z6" s="183">
        <f>$W$2*Constants!$C$21/1000+IF(ISBLANK(Design!$B$33),Design!$B$32,Design!$B$33)*1000000*Constants!$D$25/1000000000*($W$2-Constants!$C$24)</f>
        <v>0.13155</v>
      </c>
      <c r="AA6" s="183">
        <f>$W$2*V6*($W$2/(Constants!$C$26*1000000000)*IF(ISBLANK(Design!$B$33),Design!$B$32,Design!$B$33)*1000000/2+$W$2/(Constants!$C$27*1000000000)*IF(ISBLANK(Design!$B$33),Design!$B$32,Design!$B$33)*1000000/2)</f>
        <v>0.28134246575342464</v>
      </c>
      <c r="AB6" s="183">
        <f t="shared" ca="1" si="6"/>
        <v>3.5414493652286619E-2</v>
      </c>
      <c r="AC6" s="183">
        <f>Constants!$D$25/1000000000*Constants!$C$24*IF(ISBLANK(Design!$B$33),Design!$B$32,Design!$B$33)*1000000</f>
        <v>6.8250000000000005E-2</v>
      </c>
      <c r="AD6" s="183">
        <f t="shared" ca="1" si="7"/>
        <v>0.51655695940571122</v>
      </c>
      <c r="AE6" s="183">
        <f t="shared" ca="1" si="8"/>
        <v>0.15239868115618929</v>
      </c>
      <c r="AF6" s="183">
        <f ca="1">V6^2*IF(ISBLANK(Design!$B$43),Constants!$C$6,Design!$B$43)/1000*(1+(AI6-25)*(Constants!$C$36/100))</f>
        <v>2.4053002670605297E-2</v>
      </c>
      <c r="AG6" s="183">
        <f>0.5*Snubber!$B$16/1000000000000*$W$2^2*Design!$B$33*1000000</f>
        <v>4.9895999999999996E-2</v>
      </c>
      <c r="AH6" s="184">
        <f ca="1">$A6+AE6*Design!$B$19</f>
        <v>32.619934057809466</v>
      </c>
      <c r="AI6" s="184">
        <f ca="1">AD6*Design!$C$12+$A6</f>
        <v>42.562936619794186</v>
      </c>
      <c r="AJ6" s="184">
        <f ca="1">Constants!$D$22+Constants!$D$22*Constants!$C$23/100*(AI6-25)</f>
        <v>139.05034929583536</v>
      </c>
      <c r="AK6" s="183">
        <f ca="1">(1-Constants!$C$20/1000000000*Design!$B$33*1000000) * ($W$2+W6-V6*AJ6/1000) - (W6+V6*Design!$B$43/1000)</f>
        <v>9.6775563292798221</v>
      </c>
      <c r="AL6" s="183">
        <f ca="1">IF(AK6&gt;Design!$C$29,Design!$C$29,AK6)</f>
        <v>4.99903317535545</v>
      </c>
      <c r="AM6" s="183">
        <f t="shared" ca="1" si="9"/>
        <v>0.74290464323250571</v>
      </c>
      <c r="AN6" s="183">
        <f t="shared" ca="1" si="10"/>
        <v>3.7492748815165875</v>
      </c>
      <c r="AO6" s="363">
        <f t="shared" ca="1" si="11"/>
        <v>83.46226727717432</v>
      </c>
      <c r="AP6" s="370">
        <f t="shared" ref="AP6:AP13" si="20">AP5+0.25</f>
        <v>0.75</v>
      </c>
      <c r="AQ6" s="371">
        <f ca="1">FORECAST(AP6, OFFSET(Design!$C$15:$C$17,MATCH(AP6,Design!$B$15:$B$17,1)-1,0,2), OFFSET(Design!$B$15:$B$17,MATCH(AP6,Design!$B$15:$B$17,1)-1,0,2))+(BB6-25)*Design!$B$18/1000</f>
        <v>0.36156933379948392</v>
      </c>
      <c r="AR6" s="196">
        <f ca="1">IF(100*(Design!$C$29+AQ6+AP6*IF(ISBLANK(Design!$B$43),Constants!$C$6,Design!$B$43)/1000*(1+Constants!$C$36/100*(BC6-25)))/($AQ$2+AQ6-AP6*BD6/1000)&gt;Design!$C$36,Design!$C$36,100*(Design!$C$29+AQ6+AP6*IF(ISBLANK(Design!$B$43),Constants!$C$6,Design!$B$43)/1000*(1+Constants!$C$36/100*(BC6-25)))/($AQ$2+AQ6-AP6*BD6/1000))</f>
        <v>33.189282996162937</v>
      </c>
      <c r="AS6" s="195">
        <f ca="1">($AQ$2-AP6*IF(ISBLANK(Design!$B$43),Constants!$C$6,Design!$B$43)/1000*(1+Constants!$C$36/100*(BC6-25))-Design!$C$29) / (IF(ISBLANK(Design!$B$42),Design!$B$40,Design!$B$42)/1000000) * AR6/100/(IF(ISBLANK(Design!$B$33),Design!$B$32,Design!$B$33)*1000000)</f>
        <v>0.5252709181772871</v>
      </c>
      <c r="AT6" s="195">
        <f>$AQ$2*Constants!$C$21/1000+IF(ISBLANK(Design!$B$33),Design!$B$32,Design!$B$33)*1000000*Constants!$D$25/1000000000*($AQ$2-Constants!$C$24)</f>
        <v>0.19814999999999999</v>
      </c>
      <c r="AU6" s="195">
        <f>$AQ$2*AP6*($AQ$2/(Constants!$C$26*1000000000)*IF(ISBLANK(Design!$B$33),Design!$B$32,Design!$B$33)*1000000/2+$AQ$2/(Constants!$C$27*1000000000)*IF(ISBLANK(Design!$B$33),Design!$B$32,Design!$B$33)*1000000/2)</f>
        <v>0.50016438356164383</v>
      </c>
      <c r="AV6" s="195">
        <f t="shared" ca="1" si="12"/>
        <v>2.8492385696573915E-2</v>
      </c>
      <c r="AW6" s="195">
        <f>Constants!$D$25/1000000000*Constants!$C$24*IF(ISBLANK(Design!$B$33),Design!$B$32,Design!$B$33)*1000000</f>
        <v>6.8250000000000005E-2</v>
      </c>
      <c r="AX6" s="195">
        <f t="shared" ca="1" si="13"/>
        <v>0.79505676925821778</v>
      </c>
      <c r="AY6" s="195">
        <f t="shared" ca="1" si="14"/>
        <v>0.18117529828307416</v>
      </c>
      <c r="AZ6" s="195">
        <f ca="1">AP6^2*IF(ISBLANK(Design!$B$43),Constants!$C$6,Design!$B$43)/1000*(1+(BC6-25)*(Constants!$C$36/100))</f>
        <v>2.4890298423936367E-2</v>
      </c>
      <c r="BA6" s="195">
        <f>0.5*Snubber!$B$16/1000000000000*$AQ$2^2*Design!$B$33*1000000</f>
        <v>8.8703999999999991E-2</v>
      </c>
      <c r="BB6" s="196">
        <f ca="1">$A6+AY6*Design!$B$19</f>
        <v>34.058764914153706</v>
      </c>
      <c r="BC6" s="196">
        <f ca="1">AX6*Design!$C$12+$A6</f>
        <v>52.031930154779403</v>
      </c>
      <c r="BD6" s="196">
        <f ca="1">Constants!$D$22+Constants!$D$22*Constants!$C$23/100*(BC6-25)</f>
        <v>146.62554412382352</v>
      </c>
      <c r="BE6" s="195">
        <f ca="1">(1-Constants!$C$20/1000000000*Design!$B$33*1000000) * ($AQ$2+AQ6-AP6*BD6/1000) - (AQ6+AP6*Design!$B$43/1000)</f>
        <v>12.959120210543501</v>
      </c>
      <c r="BF6" s="195">
        <f ca="1">IF(BE6&gt;Design!$C$29,Design!$C$29,BE6)</f>
        <v>4.99903317535545</v>
      </c>
      <c r="BG6" s="195">
        <f t="shared" ca="1" si="15"/>
        <v>1.0898263659652281</v>
      </c>
      <c r="BH6" s="195">
        <f t="shared" ca="1" si="16"/>
        <v>3.7492748815165875</v>
      </c>
      <c r="BI6" s="372">
        <f t="shared" ca="1" si="17"/>
        <v>77.478744290949578</v>
      </c>
    </row>
    <row r="7" spans="1:61" s="120" customFormat="1" ht="13.2" x14ac:dyDescent="0.25">
      <c r="A7" s="112">
        <v>25</v>
      </c>
      <c r="B7" s="352">
        <f t="shared" si="18"/>
        <v>1</v>
      </c>
      <c r="C7" s="353">
        <f ca="1">FORECAST(B7, OFFSET(Design!$C$15:$C$17,MATCH(B7,Design!$B$15:$B$17,1)-1,0,2), OFFSET(Design!$B$15:$B$17,MATCH(B7,Design!$B$15:$B$17,1)-1,0,2))+(N7-25)*Design!$B$18/1000</f>
        <v>0.38189406788922875</v>
      </c>
      <c r="D7" s="166">
        <f ca="1">IF(100*(Design!$C$29+C7+B7*IF(ISBLANK(Design!$B$43),Constants!$C$6,Design!$B$43)/1000*(1+Constants!$C$36/100*(O7-25)))/($C$2+C7-B7*P7/1000)&gt;Design!$C$36,Design!$C$36,100*(Design!$C$29+C7+B7*IF(ISBLANK(Design!$B$43),Constants!$C$6,Design!$B$43)/1000*(1+Constants!$C$36/100*(O7-25)))/($C$2+C7-B7*P7/1000))</f>
        <v>65.762990413261122</v>
      </c>
      <c r="E7" s="165">
        <f ca="1">IF(($C$2-B7*IF(ISBLANK(Design!$B$43),Constants!$C$6,Design!$B$43)/1000*(1+Constants!$C$36/100*(O7-25))-Design!$C$29) / (IF(ISBLANK(Design!$B$42),Design!$B$40,Design!$B$42)/1000000) * D7/100/(IF(ISBLANK(Design!$B$33),Design!$B$32,Design!$B$33)*1000000)&lt;0,0,($C$2-B7*IF(ISBLANK(Design!$B$43),Constants!$C$6,Design!$B$43)/1000*(1+Constants!$C$36/100*(O7-25))-Design!$C$29) / (IF(ISBLANK(Design!$B$42),Design!$B$40,Design!$B$42)/1000000) * D7/100/(IF(ISBLANK(Design!$B$33),Design!$B$32,Design!$B$33)*1000000))</f>
        <v>0.28078652775251611</v>
      </c>
      <c r="F7" s="165">
        <f>$C$2*Constants!$C$21/1000+IF(ISBLANK(Design!$B$33),Design!$B$32,Design!$B$33)*1000000*Constants!$D$25/1000000000*($C$2-Constants!$C$24)</f>
        <v>6.4950000000000008E-2</v>
      </c>
      <c r="G7" s="165">
        <f>$C$2*B7*($C$2/(Constants!$C$26*1000000000)*IF(ISBLANK(Design!$B$33),Design!$B$32,Design!$B$33)*1000000/2+$C$2/(Constants!$C$27*1000000000)*IF(ISBLANK(Design!$B$33),Design!$B$32,Design!$B$33)*1000000/2)</f>
        <v>0.16672146118721462</v>
      </c>
      <c r="H7" s="165">
        <f t="shared" ca="1" si="0"/>
        <v>8.9760061608104735E-2</v>
      </c>
      <c r="I7" s="165">
        <f>Constants!$D$25/1000000000*Constants!$C$24*IF(ISBLANK(Design!$B$33),Design!$B$32,Design!$B$33)*1000000</f>
        <v>6.8250000000000005E-2</v>
      </c>
      <c r="J7" s="165">
        <f t="shared" ca="1" si="1"/>
        <v>0.38968152279531942</v>
      </c>
      <c r="K7" s="165">
        <f t="shared" ca="1" si="2"/>
        <v>0.13074910863442232</v>
      </c>
      <c r="L7" s="165">
        <f ca="1">B7^2*IF(ISBLANK(Design!$B$43),Constants!$C$6,Design!$B$43)/1000*(1+(O7-25)*(Constants!$C$36/100))</f>
        <v>4.2082769803036428E-2</v>
      </c>
      <c r="M7" s="165">
        <f>0.5*Snubber!$B$16/1000000000000*$C$2^2*Design!$B$33*1000000</f>
        <v>2.2175999999999998E-2</v>
      </c>
      <c r="N7" s="166">
        <f ca="1">$A7+K7*Design!$B$19</f>
        <v>31.537455431721117</v>
      </c>
      <c r="O7" s="166">
        <f ca="1">J7*Design!$C$12+A7</f>
        <v>38.249171775040864</v>
      </c>
      <c r="P7" s="166">
        <f ca="1">Constants!$D$22+Constants!$D$22*Constants!$C$23/100*(O7-25)</f>
        <v>135.5993374200327</v>
      </c>
      <c r="Q7" s="165">
        <f ca="1">(1-Constants!$C$20/1000000000*Design!$B$33*1000000) * ($C$2+C7-B7*P7/1000) - (C7+B7*Design!$B$43/1000)</f>
        <v>6.3524370531912169</v>
      </c>
      <c r="R7" s="165">
        <f ca="1">IF(Q7&gt;Design!$C$29,Design!$C$29,Q7)</f>
        <v>4.99903317535545</v>
      </c>
      <c r="S7" s="165">
        <f t="shared" ca="1" si="3"/>
        <v>0.58468940123277813</v>
      </c>
      <c r="T7" s="165">
        <f t="shared" ca="1" si="4"/>
        <v>4.99903317535545</v>
      </c>
      <c r="U7" s="354">
        <f t="shared" ca="1" si="5"/>
        <v>89.52868103289552</v>
      </c>
      <c r="V7" s="361">
        <f t="shared" si="19"/>
        <v>1</v>
      </c>
      <c r="W7" s="362">
        <f ca="1">FORECAST(V7, OFFSET(Design!$C$15:$C$17,MATCH(V7,Design!$B$15:$B$17,1)-1,0,2), OFFSET(Design!$B$15:$B$17,MATCH(V7,Design!$B$15:$B$17,1)-1,0,2))+(AH7-25)*Design!$B$18/1000</f>
        <v>0.3782961124514882</v>
      </c>
      <c r="X7" s="184">
        <f ca="1">IF(100*(Design!$C$29+W7+V7*IF(ISBLANK(Design!$B$43),Constants!$C$6,Design!$B$43)/1000*(1+Constants!$C$36/100*(AI7-25)))/($W$2+W7-V7*AJ7/1000)&gt;Design!$C$36,Design!$C$36,100*(Design!$C$29+W7+V7*IF(ISBLANK(Design!$B$43),Constants!$C$6,Design!$B$43)/1000*(1+Constants!$C$36/100*(AI7-25)))/($W$2+W7-V7*AJ7/1000))</f>
        <v>44.301919321318493</v>
      </c>
      <c r="Y7" s="183">
        <f ca="1">($W$2-V7*IF(ISBLANK(Design!$B$43),Constants!$C$6,Design!$B$43)/1000*(1+Constants!$C$36/100*(AI7-25))-Design!$C$29) / (IF(ISBLANK(Design!$B$42),Design!$B$40,Design!$B$42)/1000000) * X7/100/(IF(ISBLANK(Design!$B$33),Design!$B$32,Design!$B$33)*1000000)</f>
        <v>0.44478048395631598</v>
      </c>
      <c r="Z7" s="183">
        <f>$W$2*Constants!$C$21/1000+IF(ISBLANK(Design!$B$33),Design!$B$32,Design!$B$33)*1000000*Constants!$D$25/1000000000*($W$2-Constants!$C$24)</f>
        <v>0.13155</v>
      </c>
      <c r="AA7" s="183">
        <f>$W$2*V7*($W$2/(Constants!$C$26*1000000000)*IF(ISBLANK(Design!$B$33),Design!$B$32,Design!$B$33)*1000000/2+$W$2/(Constants!$C$27*1000000000)*IF(ISBLANK(Design!$B$33),Design!$B$32,Design!$B$33)*1000000/2)</f>
        <v>0.37512328767123287</v>
      </c>
      <c r="AB7" s="183">
        <f t="shared" ca="1" si="6"/>
        <v>6.4117812839284527E-2</v>
      </c>
      <c r="AC7" s="183">
        <f>Constants!$D$25/1000000000*Constants!$C$24*IF(ISBLANK(Design!$B$33),Design!$B$32,Design!$B$33)*1000000</f>
        <v>6.8250000000000005E-2</v>
      </c>
      <c r="AD7" s="183">
        <f t="shared" ca="1" si="7"/>
        <v>0.63904110051051743</v>
      </c>
      <c r="AE7" s="183">
        <f t="shared" ca="1" si="8"/>
        <v>0.2107036739175456</v>
      </c>
      <c r="AF7" s="183">
        <f ca="1">V7^2*IF(ISBLANK(Design!$B$43),Constants!$C$6,Design!$B$43)/1000*(1+(AI7-25)*(Constants!$C$36/100))</f>
        <v>4.3415546874008608E-2</v>
      </c>
      <c r="AG7" s="183">
        <f>0.5*Snubber!$B$16/1000000000000*$W$2^2*Design!$B$33*1000000</f>
        <v>4.9895999999999996E-2</v>
      </c>
      <c r="AH7" s="184">
        <f ca="1">$A7+AE7*Design!$B$19</f>
        <v>35.535183695877279</v>
      </c>
      <c r="AI7" s="184">
        <f ca="1">AD7*Design!$C$12+$A7</f>
        <v>46.727397417357594</v>
      </c>
      <c r="AJ7" s="184">
        <f ca="1">Constants!$D$22+Constants!$D$22*Constants!$C$23/100*(AI7-25)</f>
        <v>142.38191793388609</v>
      </c>
      <c r="AK7" s="183">
        <f ca="1">(1-Constants!$C$20/1000000000*Design!$B$33*1000000) * ($W$2+W7-V7*AJ7/1000) - (W7+V7*Design!$B$43/1000)</f>
        <v>9.6335073983447224</v>
      </c>
      <c r="AL7" s="183">
        <f ca="1">IF(AK7&gt;Design!$C$29,Design!$C$29,AK7)</f>
        <v>4.99903317535545</v>
      </c>
      <c r="AM7" s="183">
        <f t="shared" ca="1" si="9"/>
        <v>0.94305632130207173</v>
      </c>
      <c r="AN7" s="183">
        <f t="shared" ca="1" si="10"/>
        <v>4.99903317535545</v>
      </c>
      <c r="AO7" s="363">
        <f t="shared" ca="1" si="11"/>
        <v>84.129213775178769</v>
      </c>
      <c r="AP7" s="370">
        <f t="shared" si="20"/>
        <v>1</v>
      </c>
      <c r="AQ7" s="371">
        <f ca="1">FORECAST(AP7, OFFSET(Design!$C$15:$C$17,MATCH(AP7,Design!$B$15:$B$17,1)-1,0,2), OFFSET(Design!$B$15:$B$17,MATCH(AP7,Design!$B$15:$B$17,1)-1,0,2))+(BB7-25)*Design!$B$18/1000</f>
        <v>0.37649601470731836</v>
      </c>
      <c r="AR7" s="196">
        <f ca="1">IF(100*(Design!$C$29+AQ7+AP7*IF(ISBLANK(Design!$B$43),Constants!$C$6,Design!$B$43)/1000*(1+Constants!$C$36/100*(BC7-25)))/($AQ$2+AQ7-AP7*BD7/1000)&gt;Design!$C$36,Design!$C$36,100*(Design!$C$29+AQ7+AP7*IF(ISBLANK(Design!$B$43),Constants!$C$6,Design!$B$43)/1000*(1+Constants!$C$36/100*(BC7-25)))/($AQ$2+AQ7-AP7*BD7/1000))</f>
        <v>33.410757028835043</v>
      </c>
      <c r="AS7" s="195">
        <f ca="1">($AQ$2-AP7*IF(ISBLANK(Design!$B$43),Constants!$C$6,Design!$B$43)/1000*(1+Constants!$C$36/100*(BC7-25))-Design!$C$29) / (IF(ISBLANK(Design!$B$42),Design!$B$40,Design!$B$42)/1000000) * AR7/100/(IF(ISBLANK(Design!$B$33),Design!$B$32,Design!$B$33)*1000000)</f>
        <v>0.52819375435527482</v>
      </c>
      <c r="AT7" s="195">
        <f>$AQ$2*Constants!$C$21/1000+IF(ISBLANK(Design!$B$33),Design!$B$32,Design!$B$33)*1000000*Constants!$D$25/1000000000*($AQ$2-Constants!$C$24)</f>
        <v>0.19814999999999999</v>
      </c>
      <c r="AU7" s="195">
        <f>$AQ$2*AP7*($AQ$2/(Constants!$C$26*1000000000)*IF(ISBLANK(Design!$B$33),Design!$B$32,Design!$B$33)*1000000/2+$AQ$2/(Constants!$C$27*1000000000)*IF(ISBLANK(Design!$B$33),Design!$B$32,Design!$B$33)*1000000/2)</f>
        <v>0.66688584474885848</v>
      </c>
      <c r="AV7" s="195">
        <f t="shared" ca="1" si="12"/>
        <v>5.1895616123287282E-2</v>
      </c>
      <c r="AW7" s="195">
        <f>Constants!$D$25/1000000000*Constants!$C$24*IF(ISBLANK(Design!$B$33),Design!$B$32,Design!$B$33)*1000000</f>
        <v>6.8250000000000005E-2</v>
      </c>
      <c r="AX7" s="195">
        <f t="shared" ca="1" si="13"/>
        <v>0.98518146087214575</v>
      </c>
      <c r="AY7" s="195">
        <f t="shared" ca="1" si="14"/>
        <v>0.25070584601020918</v>
      </c>
      <c r="AZ7" s="195">
        <f ca="1">AP7^2*IF(ISBLANK(Design!$B$43),Constants!$C$6,Design!$B$43)/1000*(1+(BC7-25)*(Constants!$C$36/100))</f>
        <v>4.5265597872069449E-2</v>
      </c>
      <c r="BA7" s="195">
        <f>0.5*Snubber!$B$16/1000000000000*$AQ$2^2*Design!$B$33*1000000</f>
        <v>8.8703999999999991E-2</v>
      </c>
      <c r="BB7" s="196">
        <f ca="1">$A7+AY7*Design!$B$19</f>
        <v>37.535292300510463</v>
      </c>
      <c r="BC7" s="196">
        <f ca="1">AX7*Design!$C$12+$A7</f>
        <v>58.496169669652957</v>
      </c>
      <c r="BD7" s="196">
        <f ca="1">Constants!$D$22+Constants!$D$22*Constants!$C$23/100*(BC7-25)</f>
        <v>151.79693573572237</v>
      </c>
      <c r="BE7" s="195">
        <f ca="1">(1-Constants!$C$20/1000000000*Design!$B$33*1000000) * ($AQ$2+AQ7-AP7*BD7/1000) - (AQ7+AP7*Design!$B$43/1000)</f>
        <v>12.912094278667848</v>
      </c>
      <c r="BF7" s="195">
        <f ca="1">IF(BE7&gt;Design!$C$29,Design!$C$29,BE7)</f>
        <v>4.99903317535545</v>
      </c>
      <c r="BG7" s="195">
        <f t="shared" ca="1" si="15"/>
        <v>1.3698569047544245</v>
      </c>
      <c r="BH7" s="195">
        <f t="shared" ca="1" si="16"/>
        <v>4.99903317535545</v>
      </c>
      <c r="BI7" s="372">
        <f t="shared" ca="1" si="17"/>
        <v>78.491434339045895</v>
      </c>
    </row>
    <row r="8" spans="1:61" s="120" customFormat="1" ht="13.2" x14ac:dyDescent="0.25">
      <c r="A8" s="112">
        <v>25</v>
      </c>
      <c r="B8" s="352">
        <f t="shared" si="18"/>
        <v>1.25</v>
      </c>
      <c r="C8" s="353">
        <f ca="1">FORECAST(B8, OFFSET(Design!$C$15:$C$17,MATCH(B8,Design!$B$15:$B$17,1)-1,0,2), OFFSET(Design!$B$15:$B$17,MATCH(B8,Design!$B$15:$B$17,1)-1,0,2))+(N8-25)*Design!$B$18/1000</f>
        <v>0.39827542903944385</v>
      </c>
      <c r="D8" s="166">
        <f ca="1">IF(100*(Design!$C$29+C8+B8*IF(ISBLANK(Design!$B$43),Constants!$C$6,Design!$B$43)/1000*(1+Constants!$C$36/100*(O8-25)))/($C$2+C8-B8*P8/1000)&gt;Design!$C$36,Design!$C$36,100*(Design!$C$29+C8+B8*IF(ISBLANK(Design!$B$43),Constants!$C$6,Design!$B$43)/1000*(1+Constants!$C$36/100*(O8-25)))/($C$2+C8-B8*P8/1000))</f>
        <v>66.26386334539005</v>
      </c>
      <c r="E8" s="165">
        <f ca="1">IF(($C$2-B8*IF(ISBLANK(Design!$B$43),Constants!$C$6,Design!$B$43)/1000*(1+Constants!$C$36/100*(O8-25))-Design!$C$29) / (IF(ISBLANK(Design!$B$42),Design!$B$40,Design!$B$42)/1000000) * D8/100/(IF(ISBLANK(Design!$B$33),Design!$B$32,Design!$B$33)*1000000)&lt;0,0,($C$2-B8*IF(ISBLANK(Design!$B$43),Constants!$C$6,Design!$B$43)/1000*(1+Constants!$C$36/100*(O8-25))-Design!$C$29) / (IF(ISBLANK(Design!$B$42),Design!$B$40,Design!$B$42)/1000000) * D8/100/(IF(ISBLANK(Design!$B$33),Design!$B$32,Design!$B$33)*1000000))</f>
        <v>0.28185803355296041</v>
      </c>
      <c r="F8" s="165">
        <f>$C$2*Constants!$C$21/1000+IF(ISBLANK(Design!$B$33),Design!$B$32,Design!$B$33)*1000000*Constants!$D$25/1000000000*($C$2-Constants!$C$24)</f>
        <v>6.4950000000000008E-2</v>
      </c>
      <c r="G8" s="165">
        <f>$C$2*B8*($C$2/(Constants!$C$26*1000000000)*IF(ISBLANK(Design!$B$33),Design!$B$32,Design!$B$33)*1000000/2+$C$2/(Constants!$C$27*1000000000)*IF(ISBLANK(Design!$B$33),Design!$B$32,Design!$B$33)*1000000/2)</f>
        <v>0.20840182648401828</v>
      </c>
      <c r="H8" s="165">
        <f t="shared" ca="1" si="0"/>
        <v>0.14369487049446536</v>
      </c>
      <c r="I8" s="165">
        <f>Constants!$D$25/1000000000*Constants!$C$24*IF(ISBLANK(Design!$B$33),Design!$B$32,Design!$B$33)*1000000</f>
        <v>6.8250000000000005E-2</v>
      </c>
      <c r="J8" s="165">
        <f t="shared" ca="1" si="1"/>
        <v>0.48529669697848365</v>
      </c>
      <c r="K8" s="165">
        <f t="shared" ca="1" si="2"/>
        <v>0.16795342875310107</v>
      </c>
      <c r="L8" s="165">
        <f ca="1">B8^2*IF(ISBLANK(Design!$B$43),Constants!$C$6,Design!$B$43)/1000*(1+(O8-25)*(Constants!$C$36/100))</f>
        <v>6.6552834040641565E-2</v>
      </c>
      <c r="M8" s="165">
        <f>0.5*Snubber!$B$16/1000000000000*$C$2^2*Design!$B$33*1000000</f>
        <v>2.2175999999999998E-2</v>
      </c>
      <c r="N8" s="166">
        <f ca="1">$A8+K8*Design!$B$19</f>
        <v>33.397671437655056</v>
      </c>
      <c r="O8" s="166">
        <f ca="1">J8*Design!$C$12+A8</f>
        <v>41.500087697268441</v>
      </c>
      <c r="P8" s="166">
        <f ca="1">Constants!$D$22+Constants!$D$22*Constants!$C$23/100*(O8-25)</f>
        <v>138.20007015781476</v>
      </c>
      <c r="Q8" s="165">
        <f ca="1">(1-Constants!$C$20/1000000000*Design!$B$33*1000000) * ($C$2+C8-B8*P8/1000) - (C8+B8*Design!$B$43/1000)</f>
        <v>6.3089936388731536</v>
      </c>
      <c r="R8" s="165">
        <f ca="1">IF(Q8&gt;Design!$C$29,Design!$C$29,Q8)</f>
        <v>4.99903317535545</v>
      </c>
      <c r="S8" s="165">
        <f t="shared" ca="1" si="3"/>
        <v>0.74197895977222628</v>
      </c>
      <c r="T8" s="165">
        <f t="shared" ca="1" si="4"/>
        <v>6.2487914691943125</v>
      </c>
      <c r="U8" s="354">
        <f t="shared" ca="1" si="5"/>
        <v>89.386306311850745</v>
      </c>
      <c r="V8" s="361">
        <f t="shared" si="19"/>
        <v>1.25</v>
      </c>
      <c r="W8" s="362">
        <f ca="1">FORECAST(V8, OFFSET(Design!$C$15:$C$17,MATCH(V8,Design!$B$15:$B$17,1)-1,0,2), OFFSET(Design!$B$15:$B$17,MATCH(V8,Design!$B$15:$B$17,1)-1,0,2))+(AH8-25)*Design!$B$18/1000</f>
        <v>0.39357158482184973</v>
      </c>
      <c r="X8" s="184">
        <f ca="1">IF(100*(Design!$C$29+W8+V8*IF(ISBLANK(Design!$B$43),Constants!$C$6,Design!$B$43)/1000*(1+Constants!$C$36/100*(AI8-25)))/($W$2+W8-V8*AJ8/1000)&gt;Design!$C$36,Design!$C$36,100*(Design!$C$29+W8+V8*IF(ISBLANK(Design!$B$43),Constants!$C$6,Design!$B$43)/1000*(1+Constants!$C$36/100*(AI8-25)))/($W$2+W8-V8*AJ8/1000))</f>
        <v>44.613216855371839</v>
      </c>
      <c r="Y8" s="183">
        <f ca="1">($W$2-V8*IF(ISBLANK(Design!$B$43),Constants!$C$6,Design!$B$43)/1000*(1+Constants!$C$36/100*(AI8-25))-Design!$C$29) / (IF(ISBLANK(Design!$B$42),Design!$B$40,Design!$B$42)/1000000) * X8/100/(IF(ISBLANK(Design!$B$33),Design!$B$32,Design!$B$33)*1000000)</f>
        <v>0.44715010149753492</v>
      </c>
      <c r="Z8" s="183">
        <f>$W$2*Constants!$C$21/1000+IF(ISBLANK(Design!$B$33),Design!$B$32,Design!$B$33)*1000000*Constants!$D$25/1000000000*($W$2-Constants!$C$24)</f>
        <v>0.13155</v>
      </c>
      <c r="AA8" s="183">
        <f>$W$2*V8*($W$2/(Constants!$C$26*1000000000)*IF(ISBLANK(Design!$B$33),Design!$B$32,Design!$B$33)*1000000/2+$W$2/(Constants!$C$27*1000000000)*IF(ISBLANK(Design!$B$33),Design!$B$32,Design!$B$33)*1000000/2)</f>
        <v>0.46890410958904111</v>
      </c>
      <c r="AB8" s="183">
        <f t="shared" ca="1" si="6"/>
        <v>0.10284949966986844</v>
      </c>
      <c r="AC8" s="183">
        <f>Constants!$D$25/1000000000*Constants!$C$24*IF(ISBLANK(Design!$B$33),Design!$B$32,Design!$B$33)*1000000</f>
        <v>6.8250000000000005E-2</v>
      </c>
      <c r="AD8" s="183">
        <f t="shared" ca="1" si="7"/>
        <v>0.77155360925890959</v>
      </c>
      <c r="AE8" s="183">
        <f t="shared" ca="1" si="8"/>
        <v>0.27248330025519274</v>
      </c>
      <c r="AF8" s="183">
        <f ca="1">V8^2*IF(ISBLANK(Design!$B$43),Constants!$C$6,Design!$B$43)/1000*(1+(AI8-25)*(Constants!$C$36/100))</f>
        <v>6.8943437079323461E-2</v>
      </c>
      <c r="AG8" s="183">
        <f>0.5*Snubber!$B$16/1000000000000*$W$2^2*Design!$B$33*1000000</f>
        <v>4.9895999999999996E-2</v>
      </c>
      <c r="AH8" s="184">
        <f ca="1">$A8+AE8*Design!$B$19</f>
        <v>38.624165012759633</v>
      </c>
      <c r="AI8" s="184">
        <f ca="1">AD8*Design!$C$12+$A8</f>
        <v>51.232822714802921</v>
      </c>
      <c r="AJ8" s="184">
        <f ca="1">Constants!$D$22+Constants!$D$22*Constants!$C$23/100*(AI8-25)</f>
        <v>145.98625817184234</v>
      </c>
      <c r="AK8" s="183">
        <f ca="1">(1-Constants!$C$20/1000000000*Design!$B$33*1000000) * ($W$2+W8-V8*AJ8/1000) - (W8+V8*Design!$B$43/1000)</f>
        <v>9.5878378332490879</v>
      </c>
      <c r="AL8" s="183">
        <f ca="1">IF(AK8&gt;Design!$C$29,Design!$C$29,AK8)</f>
        <v>4.99903317535545</v>
      </c>
      <c r="AM8" s="183">
        <f t="shared" ca="1" si="9"/>
        <v>1.1628763465934258</v>
      </c>
      <c r="AN8" s="183">
        <f t="shared" ca="1" si="10"/>
        <v>6.2487914691943125</v>
      </c>
      <c r="AO8" s="363">
        <f t="shared" ca="1" si="11"/>
        <v>84.310193393768131</v>
      </c>
      <c r="AP8" s="370">
        <f t="shared" si="20"/>
        <v>1.25</v>
      </c>
      <c r="AQ8" s="371">
        <f ca="1">FORECAST(AP8, OFFSET(Design!$C$15:$C$17,MATCH(AP8,Design!$B$15:$B$17,1)-1,0,2), OFFSET(Design!$B$15:$B$17,MATCH(AP8,Design!$B$15:$B$17,1)-1,0,2))+(BB8-25)*Design!$B$18/1000</f>
        <v>0.39123005526584298</v>
      </c>
      <c r="AR8" s="196">
        <f ca="1">IF(100*(Design!$C$29+AQ8+AP8*IF(ISBLANK(Design!$B$43),Constants!$C$6,Design!$B$43)/1000*(1+Constants!$C$36/100*(BC8-25)))/($AQ$2+AQ8-AP8*BD8/1000)&gt;Design!$C$36,Design!$C$36,100*(Design!$C$29+AQ8+AP8*IF(ISBLANK(Design!$B$43),Constants!$C$6,Design!$B$43)/1000*(1+Constants!$C$36/100*(BC8-25)))/($AQ$2+AQ8-AP8*BD8/1000))</f>
        <v>33.641644138375</v>
      </c>
      <c r="AS8" s="195">
        <f ca="1">($AQ$2-AP8*IF(ISBLANK(Design!$B$43),Constants!$C$6,Design!$B$43)/1000*(1+Constants!$C$36/100*(BC8-25))-Design!$C$29) / (IF(ISBLANK(Design!$B$42),Design!$B$40,Design!$B$42)/1000000) * AR8/100/(IF(ISBLANK(Design!$B$33),Design!$B$32,Design!$B$33)*1000000)</f>
        <v>0.53123007112231102</v>
      </c>
      <c r="AT8" s="195">
        <f>$AQ$2*Constants!$C$21/1000+IF(ISBLANK(Design!$B$33),Design!$B$32,Design!$B$33)*1000000*Constants!$D$25/1000000000*($AQ$2-Constants!$C$24)</f>
        <v>0.19814999999999999</v>
      </c>
      <c r="AU8" s="195">
        <f>$AQ$2*AP8*($AQ$2/(Constants!$C$26*1000000000)*IF(ISBLANK(Design!$B$33),Design!$B$32,Design!$B$33)*1000000/2+$AQ$2/(Constants!$C$27*1000000000)*IF(ISBLANK(Design!$B$33),Design!$B$32,Design!$B$33)*1000000/2)</f>
        <v>0.83360730593607313</v>
      </c>
      <c r="AV8" s="195">
        <f t="shared" ca="1" si="12"/>
        <v>8.3876863249516737E-2</v>
      </c>
      <c r="AW8" s="195">
        <f>Constants!$D$25/1000000000*Constants!$C$24*IF(ISBLANK(Design!$B$33),Design!$B$32,Design!$B$33)*1000000</f>
        <v>6.8250000000000005E-2</v>
      </c>
      <c r="AX8" s="195">
        <f t="shared" ca="1" si="13"/>
        <v>1.1838841691855899</v>
      </c>
      <c r="AY8" s="195">
        <f t="shared" ca="1" si="14"/>
        <v>0.32451729038867527</v>
      </c>
      <c r="AZ8" s="195">
        <f ca="1">AP8^2*IF(ISBLANK(Design!$B$43),Constants!$C$6,Design!$B$43)/1000*(1+(BC8-25)*(Constants!$C$36/100))</f>
        <v>7.2386912667911155E-2</v>
      </c>
      <c r="BA8" s="195">
        <f>0.5*Snubber!$B$16/1000000000000*$AQ$2^2*Design!$B$33*1000000</f>
        <v>8.8703999999999991E-2</v>
      </c>
      <c r="BB8" s="196">
        <f ca="1">$A8+AY8*Design!$B$19</f>
        <v>41.225864519433763</v>
      </c>
      <c r="BC8" s="196">
        <f ca="1">AX8*Design!$C$12+$A8</f>
        <v>65.252061752310055</v>
      </c>
      <c r="BD8" s="196">
        <f ca="1">Constants!$D$22+Constants!$D$22*Constants!$C$23/100*(BC8-25)</f>
        <v>157.20164940184804</v>
      </c>
      <c r="BE8" s="195">
        <f ca="1">(1-Constants!$C$20/1000000000*Design!$B$33*1000000) * ($AQ$2+AQ8-AP8*BD8/1000) - (AQ8+AP8*Design!$B$43/1000)</f>
        <v>12.862738991405527</v>
      </c>
      <c r="BF8" s="195">
        <f ca="1">IF(BE8&gt;Design!$C$29,Design!$C$29,BE8)</f>
        <v>4.99903317535545</v>
      </c>
      <c r="BG8" s="195">
        <f t="shared" ca="1" si="15"/>
        <v>1.6694923722421762</v>
      </c>
      <c r="BH8" s="195">
        <f t="shared" ca="1" si="16"/>
        <v>6.2487914691943125</v>
      </c>
      <c r="BI8" s="372">
        <f t="shared" ca="1" si="17"/>
        <v>78.915982229562175</v>
      </c>
    </row>
    <row r="9" spans="1:61" s="120" customFormat="1" ht="13.2" x14ac:dyDescent="0.25">
      <c r="A9" s="112">
        <v>25</v>
      </c>
      <c r="B9" s="352">
        <f t="shared" si="18"/>
        <v>1.5</v>
      </c>
      <c r="C9" s="353">
        <f ca="1">FORECAST(B9, OFFSET(Design!$C$15:$C$17,MATCH(B9,Design!$B$15:$B$17,1)-1,0,2), OFFSET(Design!$B$15:$B$17,MATCH(B9,Design!$B$15:$B$17,1)-1,0,2))+(N9-25)*Design!$B$18/1000</f>
        <v>0.41459426433679453</v>
      </c>
      <c r="D9" s="166">
        <f ca="1">IF(100*(Design!$C$29+C9+B9*IF(ISBLANK(Design!$B$43),Constants!$C$6,Design!$B$43)/1000*(1+Constants!$C$36/100*(O9-25)))/($C$2+C9-B9*P9/1000)&gt;Design!$C$36,Design!$C$36,100*(Design!$C$29+C9+B9*IF(ISBLANK(Design!$B$43),Constants!$C$6,Design!$B$43)/1000*(1+Constants!$C$36/100*(O9-25)))/($C$2+C9-B9*P9/1000))</f>
        <v>66.78725362185655</v>
      </c>
      <c r="E9" s="165">
        <f ca="1">IF(($C$2-B9*IF(ISBLANK(Design!$B$43),Constants!$C$6,Design!$B$43)/1000*(1+Constants!$C$36/100*(O9-25))-Design!$C$29) / (IF(ISBLANK(Design!$B$42),Design!$B$40,Design!$B$42)/1000000) * D9/100/(IF(ISBLANK(Design!$B$33),Design!$B$32,Design!$B$33)*1000000)&lt;0,0,($C$2-B9*IF(ISBLANK(Design!$B$43),Constants!$C$6,Design!$B$43)/1000*(1+Constants!$C$36/100*(O9-25))-Design!$C$29) / (IF(ISBLANK(Design!$B$42),Design!$B$40,Design!$B$42)/1000000) * D9/100/(IF(ISBLANK(Design!$B$33),Design!$B$32,Design!$B$33)*1000000))</f>
        <v>0.28297245124508086</v>
      </c>
      <c r="F9" s="165">
        <f>$C$2*Constants!$C$21/1000+IF(ISBLANK(Design!$B$33),Design!$B$32,Design!$B$33)*1000000*Constants!$D$25/1000000000*($C$2-Constants!$C$24)</f>
        <v>6.4950000000000008E-2</v>
      </c>
      <c r="G9" s="165">
        <f>$C$2*B9*($C$2/(Constants!$C$26*1000000000)*IF(ISBLANK(Design!$B$33),Design!$B$32,Design!$B$33)*1000000/2+$C$2/(Constants!$C$27*1000000000)*IF(ISBLANK(Design!$B$33),Design!$B$32,Design!$B$33)*1000000/2)</f>
        <v>0.25008219178082192</v>
      </c>
      <c r="H9" s="165">
        <f t="shared" ca="1" si="0"/>
        <v>0.21283401659102474</v>
      </c>
      <c r="I9" s="165">
        <f>Constants!$D$25/1000000000*Constants!$C$24*IF(ISBLANK(Design!$B$33),Design!$B$32,Design!$B$33)*1000000</f>
        <v>6.8250000000000005E-2</v>
      </c>
      <c r="J9" s="165">
        <f t="shared" ca="1" si="1"/>
        <v>0.59611620837184665</v>
      </c>
      <c r="K9" s="165">
        <f t="shared" ca="1" si="2"/>
        <v>0.20654721226876382</v>
      </c>
      <c r="L9" s="165">
        <f ca="1">B9^2*IF(ISBLANK(Design!$B$43),Constants!$C$6,Design!$B$43)/1000*(1+(O9-25)*(Constants!$C$36/100))</f>
        <v>9.7168774298638155E-2</v>
      </c>
      <c r="M9" s="165">
        <f>0.5*Snubber!$B$16/1000000000000*$C$2^2*Design!$B$33*1000000</f>
        <v>2.2175999999999998E-2</v>
      </c>
      <c r="N9" s="166">
        <f ca="1">$A9+K9*Design!$B$19</f>
        <v>35.327360613438188</v>
      </c>
      <c r="O9" s="166">
        <f ca="1">J9*Design!$C$12+A9</f>
        <v>45.267951084642789</v>
      </c>
      <c r="P9" s="166">
        <f ca="1">Constants!$D$22+Constants!$D$22*Constants!$C$23/100*(O9-25)</f>
        <v>141.21436086771422</v>
      </c>
      <c r="Q9" s="165">
        <f ca="1">(1-Constants!$C$20/1000000000*Design!$B$33*1000000) * ($C$2+C9-B9*P9/1000) - (C9+B9*Design!$B$43/1000)</f>
        <v>6.2639835276366416</v>
      </c>
      <c r="R9" s="165">
        <f ca="1">IF(Q9&gt;Design!$C$29,Design!$C$29,Q9)</f>
        <v>4.99903317535545</v>
      </c>
      <c r="S9" s="165">
        <f t="shared" ca="1" si="3"/>
        <v>0.92200819493924857</v>
      </c>
      <c r="T9" s="165">
        <f t="shared" ca="1" si="4"/>
        <v>7.498549763033175</v>
      </c>
      <c r="U9" s="354">
        <f t="shared" ca="1" si="5"/>
        <v>89.050509484750833</v>
      </c>
      <c r="V9" s="361">
        <f t="shared" si="19"/>
        <v>1.5</v>
      </c>
      <c r="W9" s="362">
        <f ca="1">FORECAST(V9, OFFSET(Design!$C$15:$C$17,MATCH(V9,Design!$B$15:$B$17,1)-1,0,2), OFFSET(Design!$B$15:$B$17,MATCH(V9,Design!$B$15:$B$17,1)-1,0,2))+(AH9-25)*Design!$B$18/1000</f>
        <v>0.4086985917689287</v>
      </c>
      <c r="X9" s="184">
        <f ca="1">IF(100*(Design!$C$29+W9+V9*IF(ISBLANK(Design!$B$43),Constants!$C$6,Design!$B$43)/1000*(1+Constants!$C$36/100*(AI9-25)))/($W$2+W9-V9*AJ9/1000)&gt;Design!$C$36,Design!$C$36,100*(Design!$C$29+W9+V9*IF(ISBLANK(Design!$B$43),Constants!$C$6,Design!$B$43)/1000*(1+Constants!$C$36/100*(AI9-25)))/($W$2+W9-V9*AJ9/1000))</f>
        <v>44.937065273408066</v>
      </c>
      <c r="Y9" s="183">
        <f ca="1">($W$2-V9*IF(ISBLANK(Design!$B$43),Constants!$C$6,Design!$B$43)/1000*(1+Constants!$C$36/100*(AI9-25))-Design!$C$29) / (IF(ISBLANK(Design!$B$42),Design!$B$40,Design!$B$42)/1000000) * X9/100/(IF(ISBLANK(Design!$B$33),Design!$B$32,Design!$B$33)*1000000)</f>
        <v>0.44960601750758011</v>
      </c>
      <c r="Z9" s="183">
        <f>$W$2*Constants!$C$21/1000+IF(ISBLANK(Design!$B$33),Design!$B$32,Design!$B$33)*1000000*Constants!$D$25/1000000000*($W$2-Constants!$C$24)</f>
        <v>0.13155</v>
      </c>
      <c r="AA9" s="183">
        <f>$W$2*V9*($W$2/(Constants!$C$26*1000000000)*IF(ISBLANK(Design!$B$33),Design!$B$32,Design!$B$33)*1000000/2+$W$2/(Constants!$C$27*1000000000)*IF(ISBLANK(Design!$B$33),Design!$B$32,Design!$B$33)*1000000/2)</f>
        <v>0.56268493150684928</v>
      </c>
      <c r="AB9" s="183">
        <f t="shared" ca="1" si="6"/>
        <v>0.15268879825624604</v>
      </c>
      <c r="AC9" s="183">
        <f>Constants!$D$25/1000000000*Constants!$C$24*IF(ISBLANK(Design!$B$33),Design!$B$32,Design!$B$33)*1000000</f>
        <v>6.8250000000000005E-2</v>
      </c>
      <c r="AD9" s="183">
        <f t="shared" ca="1" si="7"/>
        <v>0.9151737297630953</v>
      </c>
      <c r="AE9" s="183">
        <f t="shared" ca="1" si="8"/>
        <v>0.3375621582213385</v>
      </c>
      <c r="AF9" s="183">
        <f ca="1">V9^2*IF(ISBLANK(Design!$B$43),Constants!$C$6,Design!$B$43)/1000*(1+(AI9-25)*(Constants!$C$36/100))</f>
        <v>0.10100569623938503</v>
      </c>
      <c r="AG9" s="183">
        <f>0.5*Snubber!$B$16/1000000000000*$W$2^2*Design!$B$33*1000000</f>
        <v>4.9895999999999996E-2</v>
      </c>
      <c r="AH9" s="184">
        <f ca="1">$A9+AE9*Design!$B$19</f>
        <v>41.878107911066927</v>
      </c>
      <c r="AI9" s="184">
        <f ca="1">AD9*Design!$C$12+$A9</f>
        <v>56.115906811945237</v>
      </c>
      <c r="AJ9" s="184">
        <f ca="1">Constants!$D$22+Constants!$D$22*Constants!$C$23/100*(AI9-25)</f>
        <v>149.8927254495562</v>
      </c>
      <c r="AK9" s="183">
        <f ca="1">(1-Constants!$C$20/1000000000*Design!$B$33*1000000) * ($W$2+W9-V9*AJ9/1000) - (W9+V9*Design!$B$43/1000)</f>
        <v>9.5403419904340296</v>
      </c>
      <c r="AL9" s="183">
        <f ca="1">IF(AK9&gt;Design!$C$29,Design!$C$29,AK9)</f>
        <v>4.99903317535545</v>
      </c>
      <c r="AM9" s="183">
        <f t="shared" ca="1" si="9"/>
        <v>1.4036375842238189</v>
      </c>
      <c r="AN9" s="183">
        <f t="shared" ca="1" si="10"/>
        <v>7.498549763033175</v>
      </c>
      <c r="AO9" s="363">
        <f t="shared" ca="1" si="11"/>
        <v>84.232666315921577</v>
      </c>
      <c r="AP9" s="370">
        <f t="shared" si="20"/>
        <v>1.5</v>
      </c>
      <c r="AQ9" s="371">
        <f ca="1">FORECAST(AP9, OFFSET(Design!$C$15:$C$17,MATCH(AP9,Design!$B$15:$B$17,1)-1,0,2), OFFSET(Design!$B$15:$B$17,MATCH(AP9,Design!$B$15:$B$17,1)-1,0,2))+(BB9-25)*Design!$B$18/1000</f>
        <v>0.40577934025545453</v>
      </c>
      <c r="AR9" s="196">
        <f ca="1">IF(100*(Design!$C$29+AQ9+AP9*IF(ISBLANK(Design!$B$43),Constants!$C$6,Design!$B$43)/1000*(1+Constants!$C$36/100*(BC9-25)))/($AQ$2+AQ9-AP9*BD9/1000)&gt;Design!$C$36,Design!$C$36,100*(Design!$C$29+AQ9+AP9*IF(ISBLANK(Design!$B$43),Constants!$C$6,Design!$B$43)/1000*(1+Constants!$C$36/100*(BC9-25)))/($AQ$2+AQ9-AP9*BD9/1000))</f>
        <v>33.882880972867227</v>
      </c>
      <c r="AS9" s="195">
        <f ca="1">($AQ$2-AP9*IF(ISBLANK(Design!$B$43),Constants!$C$6,Design!$B$43)/1000*(1+Constants!$C$36/100*(BC9-25))-Design!$C$29) / (IF(ISBLANK(Design!$B$42),Design!$B$40,Design!$B$42)/1000000) * AR9/100/(IF(ISBLANK(Design!$B$33),Design!$B$32,Design!$B$33)*1000000)</f>
        <v>0.5343914710624228</v>
      </c>
      <c r="AT9" s="195">
        <f>$AQ$2*Constants!$C$21/1000+IF(ISBLANK(Design!$B$33),Design!$B$32,Design!$B$33)*1000000*Constants!$D$25/1000000000*($AQ$2-Constants!$C$24)</f>
        <v>0.19814999999999999</v>
      </c>
      <c r="AU9" s="195">
        <f>$AQ$2*AP9*($AQ$2/(Constants!$C$26*1000000000)*IF(ISBLANK(Design!$B$33),Design!$B$32,Design!$B$33)*1000000/2+$AQ$2/(Constants!$C$27*1000000000)*IF(ISBLANK(Design!$B$33),Design!$B$32,Design!$B$33)*1000000/2)</f>
        <v>1.0003287671232877</v>
      </c>
      <c r="AV9" s="195">
        <f t="shared" ca="1" si="12"/>
        <v>0.12547812453964752</v>
      </c>
      <c r="AW9" s="195">
        <f>Constants!$D$25/1000000000*Constants!$C$24*IF(ISBLANK(Design!$B$33),Design!$B$32,Design!$B$33)*1000000</f>
        <v>6.8250000000000005E-2</v>
      </c>
      <c r="AX9" s="195">
        <f t="shared" ca="1" si="13"/>
        <v>1.3922068916629351</v>
      </c>
      <c r="AY9" s="195">
        <f t="shared" ca="1" si="14"/>
        <v>0.40243441407631947</v>
      </c>
      <c r="AZ9" s="195">
        <f ca="1">AP9^2*IF(ISBLANK(Design!$B$43),Constants!$C$6,Design!$B$43)/1000*(1+(BC9-25)*(Constants!$C$36/100))</f>
        <v>0.10674240163776011</v>
      </c>
      <c r="BA9" s="195">
        <f>0.5*Snubber!$B$16/1000000000000*$AQ$2^2*Design!$B$33*1000000</f>
        <v>8.8703999999999991E-2</v>
      </c>
      <c r="BB9" s="196">
        <f ca="1">$A9+AY9*Design!$B$19</f>
        <v>45.121720703815974</v>
      </c>
      <c r="BC9" s="196">
        <f ca="1">AX9*Design!$C$12+$A9</f>
        <v>72.33503431653979</v>
      </c>
      <c r="BD9" s="196">
        <f ca="1">Constants!$D$22+Constants!$D$22*Constants!$C$23/100*(BC9-25)</f>
        <v>162.86802745323183</v>
      </c>
      <c r="BE9" s="195">
        <f ca="1">(1-Constants!$C$20/1000000000*Design!$B$33*1000000) * ($AQ$2+AQ9-AP9*BD9/1000) - (AQ9+AP9*Design!$B$43/1000)</f>
        <v>12.810874260935156</v>
      </c>
      <c r="BF9" s="195">
        <f ca="1">IF(BE9&gt;Design!$C$29,Design!$C$29,BE9)</f>
        <v>4.99903317535545</v>
      </c>
      <c r="BG9" s="195">
        <f t="shared" ca="1" si="15"/>
        <v>1.9900877073770145</v>
      </c>
      <c r="BH9" s="195">
        <f t="shared" ca="1" si="16"/>
        <v>7.498549763033175</v>
      </c>
      <c r="BI9" s="372">
        <f t="shared" ca="1" si="17"/>
        <v>79.026623015338103</v>
      </c>
    </row>
    <row r="10" spans="1:61" s="120" customFormat="1" ht="13.2" x14ac:dyDescent="0.25">
      <c r="A10" s="112">
        <v>25</v>
      </c>
      <c r="B10" s="352">
        <f t="shared" si="18"/>
        <v>1.75</v>
      </c>
      <c r="C10" s="353">
        <f ca="1">FORECAST(B10, OFFSET(Design!$C$15:$C$17,MATCH(B10,Design!$B$15:$B$17,1)-1,0,2), OFFSET(Design!$B$15:$B$17,MATCH(B10,Design!$B$15:$B$17,1)-1,0,2))+(N10-25)*Design!$B$18/1000</f>
        <v>0.43086210725726409</v>
      </c>
      <c r="D10" s="166">
        <f ca="1">IF(100*(Design!$C$29+C10+B10*IF(ISBLANK(Design!$B$43),Constants!$C$6,Design!$B$43)/1000*(1+Constants!$C$36/100*(O10-25)))/($C$2+C10-B10*P10/1000)&gt;Design!$C$36,Design!$C$36,100*(Design!$C$29+C10+B10*IF(ISBLANK(Design!$B$43),Constants!$C$6,Design!$B$43)/1000*(1+Constants!$C$36/100*(O10-25)))/($C$2+C10-B10*P10/1000))</f>
        <v>67.33802093630041</v>
      </c>
      <c r="E10" s="165">
        <f ca="1">IF(($C$2-B10*IF(ISBLANK(Design!$B$43),Constants!$C$6,Design!$B$43)/1000*(1+Constants!$C$36/100*(O10-25))-Design!$C$29) / (IF(ISBLANK(Design!$B$42),Design!$B$40,Design!$B$42)/1000000) * D10/100/(IF(ISBLANK(Design!$B$33),Design!$B$32,Design!$B$33)*1000000)&lt;0,0,($C$2-B10*IF(ISBLANK(Design!$B$43),Constants!$C$6,Design!$B$43)/1000*(1+Constants!$C$36/100*(O10-25))-Design!$C$29) / (IF(ISBLANK(Design!$B$42),Design!$B$40,Design!$B$42)/1000000) * D10/100/(IF(ISBLANK(Design!$B$33),Design!$B$32,Design!$B$33)*1000000))</f>
        <v>0.28414068781779744</v>
      </c>
      <c r="F10" s="165">
        <f>$C$2*Constants!$C$21/1000+IF(ISBLANK(Design!$B$33),Design!$B$32,Design!$B$33)*1000000*Constants!$D$25/1000000000*($C$2-Constants!$C$24)</f>
        <v>6.4950000000000008E-2</v>
      </c>
      <c r="G10" s="165">
        <f>$C$2*B10*($C$2/(Constants!$C$26*1000000000)*IF(ISBLANK(Design!$B$33),Design!$B$32,Design!$B$33)*1000000/2+$C$2/(Constants!$C$27*1000000000)*IF(ISBLANK(Design!$B$33),Design!$B$32,Design!$B$33)*1000000/2)</f>
        <v>0.29176255707762561</v>
      </c>
      <c r="H10" s="165">
        <f t="shared" ref="H10:H13" ca="1" si="21">IF($D$78,1,D10/100*(B10^2+E10^2/12)*P10/1000)</f>
        <v>0.2990453585658287</v>
      </c>
      <c r="I10" s="165">
        <f>Constants!$D$25/1000000000*Constants!$C$24*IF(ISBLANK(Design!$B$33),Design!$B$32,Design!$B$33)*1000000</f>
        <v>6.8250000000000005E-2</v>
      </c>
      <c r="J10" s="165">
        <f t="shared" ref="J10:J13" ca="1" si="22">SUM(F10:I10)</f>
        <v>0.72400791564345435</v>
      </c>
      <c r="K10" s="165">
        <f t="shared" ref="K10:K13" ca="1" si="23">B10*C10*(1-D10/100)</f>
        <v>0.24627415971511929</v>
      </c>
      <c r="L10" s="165">
        <f ca="1">B10^2*IF(ISBLANK(Design!$B$43),Constants!$C$6,Design!$B$43)/1000*(1+(O10-25)*(Constants!$C$36/100))</f>
        <v>0.13435088736681408</v>
      </c>
      <c r="M10" s="165">
        <f>0.5*Snubber!$B$16/1000000000000*$C$2^2*Design!$B$33*1000000</f>
        <v>2.2175999999999998E-2</v>
      </c>
      <c r="N10" s="166">
        <f ca="1">$A10+K10*Design!$B$19</f>
        <v>37.313707985755968</v>
      </c>
      <c r="O10" s="166">
        <f ca="1">J10*Design!$C$12+A10</f>
        <v>49.616269131877445</v>
      </c>
      <c r="P10" s="166">
        <f ca="1">Constants!$D$22+Constants!$D$22*Constants!$C$23/100*(O10-25)</f>
        <v>144.69301530550194</v>
      </c>
      <c r="Q10" s="165">
        <f ca="1">(1-Constants!$C$20/1000000000*Design!$B$33*1000000) * ($C$2+C10-B10*P10/1000) - (C10+B10*Design!$B$43/1000)</f>
        <v>6.2170768177260056</v>
      </c>
      <c r="R10" s="165">
        <f ca="1">IF(Q10&gt;Design!$C$29,Design!$C$29,Q10)</f>
        <v>4.99903317535545</v>
      </c>
      <c r="S10" s="165">
        <f t="shared" ref="S10:S13" ca="1" si="24">SUM(J10:M10)</f>
        <v>1.1268089627253877</v>
      </c>
      <c r="T10" s="165">
        <f t="shared" ref="T10:T13" ca="1" si="25">R10*B10</f>
        <v>8.7483080568720375</v>
      </c>
      <c r="U10" s="354">
        <f t="shared" ref="U10:U13" ca="1" si="26">100*T10/(T10+S10)</f>
        <v>88.58941154328393</v>
      </c>
      <c r="V10" s="361">
        <f t="shared" si="19"/>
        <v>1.75</v>
      </c>
      <c r="W10" s="362">
        <f ca="1">FORECAST(V10, OFFSET(Design!$C$15:$C$17,MATCH(V10,Design!$B$15:$B$17,1)-1,0,2), OFFSET(Design!$B$15:$B$17,MATCH(V10,Design!$B$15:$B$17,1)-1,0,2))+(AH10-25)*Design!$B$18/1000</f>
        <v>0.4236854278663813</v>
      </c>
      <c r="X10" s="184">
        <f ca="1">IF(100*(Design!$C$29+W10+V10*IF(ISBLANK(Design!$B$43),Constants!$C$6,Design!$B$43)/1000*(1+Constants!$C$36/100*(AI10-25)))/($W$2+W10-V10*AJ10/1000)&gt;Design!$C$36,Design!$C$36,100*(Design!$C$29+W10+V10*IF(ISBLANK(Design!$B$43),Constants!$C$6,Design!$B$43)/1000*(1+Constants!$C$36/100*(AI10-25)))/($W$2+W10-V10*AJ10/1000))</f>
        <v>45.275312124133841</v>
      </c>
      <c r="Y10" s="183">
        <f ca="1">($W$2-V10*IF(ISBLANK(Design!$B$43),Constants!$C$6,Design!$B$43)/1000*(1+Constants!$C$36/100*(AI10-25))-Design!$C$29) / (IF(ISBLANK(Design!$B$42),Design!$B$40,Design!$B$42)/1000000) * X10/100/(IF(ISBLANK(Design!$B$33),Design!$B$32,Design!$B$33)*1000000)</f>
        <v>0.45216171437117358</v>
      </c>
      <c r="Z10" s="183">
        <f>$W$2*Constants!$C$21/1000+IF(ISBLANK(Design!$B$33),Design!$B$32,Design!$B$33)*1000000*Constants!$D$25/1000000000*($W$2-Constants!$C$24)</f>
        <v>0.13155</v>
      </c>
      <c r="AA10" s="183">
        <f>$W$2*V10*($W$2/(Constants!$C$26*1000000000)*IF(ISBLANK(Design!$B$33),Design!$B$32,Design!$B$33)*1000000/2+$W$2/(Constants!$C$27*1000000000)*IF(ISBLANK(Design!$B$33),Design!$B$32,Design!$B$33)*1000000/2)</f>
        <v>0.65646575342465752</v>
      </c>
      <c r="AB10" s="183">
        <f t="shared" ref="AB10:AB13" ca="1" si="27">IF($D$78,1,X10/100*(V10^2+Y10^2/12)*AJ10/1000)</f>
        <v>0.2149070978726626</v>
      </c>
      <c r="AC10" s="183">
        <f>Constants!$D$25/1000000000*Constants!$C$24*IF(ISBLANK(Design!$B$33),Design!$B$32,Design!$B$33)*1000000</f>
        <v>6.8250000000000005E-2</v>
      </c>
      <c r="AD10" s="183">
        <f t="shared" ref="AD10:AD13" ca="1" si="28">SUM(Z10:AC10)</f>
        <v>1.07117285129732</v>
      </c>
      <c r="AE10" s="183">
        <f t="shared" ref="AE10:AE13" ca="1" si="29">V10*W10*(1-X10/100)</f>
        <v>0.40575592395695909</v>
      </c>
      <c r="AF10" s="183">
        <f ca="1">V10^2*IF(ISBLANK(Design!$B$43),Constants!$C$6,Design!$B$43)/1000*(1+(AI10-25)*(Constants!$C$36/100))</f>
        <v>0.14003343925781761</v>
      </c>
      <c r="AG10" s="183">
        <f>0.5*Snubber!$B$16/1000000000000*$W$2^2*Design!$B$33*1000000</f>
        <v>4.9895999999999996E-2</v>
      </c>
      <c r="AH10" s="184">
        <f ca="1">$A10+AE10*Design!$B$19</f>
        <v>45.287796197847953</v>
      </c>
      <c r="AI10" s="184">
        <f ca="1">AD10*Design!$C$12+$A10</f>
        <v>61.419876944108879</v>
      </c>
      <c r="AJ10" s="184">
        <f ca="1">Constants!$D$22+Constants!$D$22*Constants!$C$23/100*(AI10-25)</f>
        <v>154.13590155528709</v>
      </c>
      <c r="AK10" s="183">
        <f ca="1">(1-Constants!$C$20/1000000000*Design!$B$33*1000000) * ($W$2+W10-V10*AJ10/1000) - (W10+V10*Design!$B$43/1000)</f>
        <v>9.4907825256524312</v>
      </c>
      <c r="AL10" s="183">
        <f ca="1">IF(AK10&gt;Design!$C$29,Design!$C$29,AK10)</f>
        <v>4.99903317535545</v>
      </c>
      <c r="AM10" s="183">
        <f t="shared" ref="AM10:AM13" ca="1" si="30">SUM(AD10:AG10)</f>
        <v>1.6668582145120965</v>
      </c>
      <c r="AN10" s="183">
        <f t="shared" ref="AN10:AN13" ca="1" si="31">AL10*V10</f>
        <v>8.7483080568720375</v>
      </c>
      <c r="AO10" s="363">
        <f t="shared" ref="AO10:AO13" ca="1" si="32">100*AN10/(AN10+AM10)</f>
        <v>83.995855936627521</v>
      </c>
      <c r="AP10" s="370">
        <f t="shared" si="20"/>
        <v>1.75</v>
      </c>
      <c r="AQ10" s="371">
        <f ca="1">FORECAST(AP10, OFFSET(Design!$C$15:$C$17,MATCH(AP10,Design!$B$15:$B$17,1)-1,0,2), OFFSET(Design!$B$15:$B$17,MATCH(AP10,Design!$B$15:$B$17,1)-1,0,2))+(BB10-25)*Design!$B$18/1000</f>
        <v>0.42015190009437819</v>
      </c>
      <c r="AR10" s="196">
        <f ca="1">IF(100*(Design!$C$29+AQ10+AP10*IF(ISBLANK(Design!$B$43),Constants!$C$6,Design!$B$43)/1000*(1+Constants!$C$36/100*(BC10-25)))/($AQ$2+AQ10-AP10*BD10/1000)&gt;Design!$C$36,Design!$C$36,100*(Design!$C$29+AQ10+AP10*IF(ISBLANK(Design!$B$43),Constants!$C$6,Design!$B$43)/1000*(1+Constants!$C$36/100*(BC10-25)))/($AQ$2+AQ10-AP10*BD10/1000))</f>
        <v>34.135553869102651</v>
      </c>
      <c r="AS10" s="195">
        <f ca="1">($AQ$2-AP10*IF(ISBLANK(Design!$B$43),Constants!$C$6,Design!$B$43)/1000*(1+Constants!$C$36/100*(BC10-25))-Design!$C$29) / (IF(ISBLANK(Design!$B$42),Design!$B$40,Design!$B$42)/1000000) * AR10/100/(IF(ISBLANK(Design!$B$33),Design!$B$32,Design!$B$33)*1000000)</f>
        <v>0.53769139277659606</v>
      </c>
      <c r="AT10" s="195">
        <f>$AQ$2*Constants!$C$21/1000+IF(ISBLANK(Design!$B$33),Design!$B$32,Design!$B$33)*1000000*Constants!$D$25/1000000000*($AQ$2-Constants!$C$24)</f>
        <v>0.19814999999999999</v>
      </c>
      <c r="AU10" s="195">
        <f>$AQ$2*AP10*($AQ$2/(Constants!$C$26*1000000000)*IF(ISBLANK(Design!$B$33),Design!$B$32,Design!$B$33)*1000000/2+$AQ$2/(Constants!$C$27*1000000000)*IF(ISBLANK(Design!$B$33),Design!$B$32,Design!$B$33)*1000000/2)</f>
        <v>1.1670502283105024</v>
      </c>
      <c r="AV10" s="195">
        <f t="shared" ref="AV10:AV13" ca="1" si="33">IF($D$78,1,AR10/100*(AP10^2+AS10^2/12)*BD10/1000)</f>
        <v>0.1778817279932757</v>
      </c>
      <c r="AW10" s="195">
        <f>Constants!$D$25/1000000000*Constants!$C$24*IF(ISBLANK(Design!$B$33),Design!$B$32,Design!$B$33)*1000000</f>
        <v>6.8250000000000005E-2</v>
      </c>
      <c r="AX10" s="195">
        <f t="shared" ref="AX10:AX13" ca="1" si="34">SUM(AT10:AW10)</f>
        <v>1.611331956303778</v>
      </c>
      <c r="AY10" s="195">
        <f t="shared" ref="AY10:AY13" ca="1" si="35">AP10*AQ10*(1-AR10/100)</f>
        <v>0.48427876333480585</v>
      </c>
      <c r="AZ10" s="195">
        <f ca="1">AP10^2*IF(ISBLANK(Design!$B$43),Constants!$C$6,Design!$B$43)/1000*(1+(BC10-25)*(Constants!$C$36/100))</f>
        <v>0.14887500656016059</v>
      </c>
      <c r="BA10" s="195">
        <f>0.5*Snubber!$B$16/1000000000000*$AQ$2^2*Design!$B$33*1000000</f>
        <v>8.8703999999999991E-2</v>
      </c>
      <c r="BB10" s="196">
        <f ca="1">$A10+AY10*Design!$B$19</f>
        <v>49.213938166740292</v>
      </c>
      <c r="BC10" s="196">
        <f ca="1">AX10*Design!$C$12+$A10</f>
        <v>79.785286514328448</v>
      </c>
      <c r="BD10" s="196">
        <f ca="1">Constants!$D$22+Constants!$D$22*Constants!$C$23/100*(BC10-25)</f>
        <v>168.82822921146277</v>
      </c>
      <c r="BE10" s="195">
        <f ca="1">(1-Constants!$C$20/1000000000*Design!$B$33*1000000) * ($AQ$2+AQ10-AP10*BD10/1000) - (AQ10+AP10*Design!$B$43/1000)</f>
        <v>12.756291202813024</v>
      </c>
      <c r="BF10" s="195">
        <f ca="1">IF(BE10&gt;Design!$C$29,Design!$C$29,BE10)</f>
        <v>4.99903317535545</v>
      </c>
      <c r="BG10" s="195">
        <f t="shared" ref="BG10:BG13" ca="1" si="36">SUM(AX10:BA10)</f>
        <v>2.3331897261987447</v>
      </c>
      <c r="BH10" s="195">
        <f t="shared" ref="BH10:BH13" ca="1" si="37">BF10*AP10</f>
        <v>8.7483080568720375</v>
      </c>
      <c r="BI10" s="372">
        <f t="shared" ref="BI10:BI13" ca="1" si="38">100*BH10/(BH10+BG10)</f>
        <v>78.945177160409116</v>
      </c>
    </row>
    <row r="11" spans="1:61" s="120" customFormat="1" ht="13.2" x14ac:dyDescent="0.25">
      <c r="A11" s="112">
        <v>25</v>
      </c>
      <c r="B11" s="352">
        <f t="shared" si="18"/>
        <v>2</v>
      </c>
      <c r="C11" s="353">
        <f ca="1">FORECAST(B11, OFFSET(Design!$C$15:$C$17,MATCH(B11,Design!$B$15:$B$17,1)-1,0,2), OFFSET(Design!$B$15:$B$17,MATCH(B11,Design!$B$15:$B$17,1)-1,0,2))+(N11-25)*Design!$B$18/1000</f>
        <v>0.44709238249069888</v>
      </c>
      <c r="D11" s="166">
        <f ca="1">IF(100*(Design!$C$29+C11+B11*IF(ISBLANK(Design!$B$43),Constants!$C$6,Design!$B$43)/1000*(1+Constants!$C$36/100*(O11-25)))/($C$2+C11-B11*P11/1000)&gt;Design!$C$36,Design!$C$36,100*(Design!$C$29+C11+B11*IF(ISBLANK(Design!$B$43),Constants!$C$6,Design!$B$43)/1000*(1+Constants!$C$36/100*(O11-25)))/($C$2+C11-B11*P11/1000))</f>
        <v>67.922072049941079</v>
      </c>
      <c r="E11" s="165">
        <f ca="1">IF(($C$2-B11*IF(ISBLANK(Design!$B$43),Constants!$C$6,Design!$B$43)/1000*(1+Constants!$C$36/100*(O11-25))-Design!$C$29) / (IF(ISBLANK(Design!$B$42),Design!$B$40,Design!$B$42)/1000000) * D11/100/(IF(ISBLANK(Design!$B$33),Design!$B$32,Design!$B$33)*1000000)&lt;0,0,($C$2-B11*IF(ISBLANK(Design!$B$43),Constants!$C$6,Design!$B$43)/1000*(1+Constants!$C$36/100*(O11-25))-Design!$C$29) / (IF(ISBLANK(Design!$B$42),Design!$B$40,Design!$B$42)/1000000) * D11/100/(IF(ISBLANK(Design!$B$33),Design!$B$32,Design!$B$33)*1000000))</f>
        <v>0.28537587586025848</v>
      </c>
      <c r="F11" s="165">
        <f>$C$2*Constants!$C$21/1000+IF(ISBLANK(Design!$B$33),Design!$B$32,Design!$B$33)*1000000*Constants!$D$25/1000000000*($C$2-Constants!$C$24)</f>
        <v>6.4950000000000008E-2</v>
      </c>
      <c r="G11" s="165">
        <f>$C$2*B11*($C$2/(Constants!$C$26*1000000000)*IF(ISBLANK(Design!$B$33),Design!$B$32,Design!$B$33)*1000000/2+$C$2/(Constants!$C$27*1000000000)*IF(ISBLANK(Design!$B$33),Design!$B$32,Design!$B$33)*1000000/2)</f>
        <v>0.33344292237442924</v>
      </c>
      <c r="H11" s="165">
        <f t="shared" ca="1" si="21"/>
        <v>0.40468635939466302</v>
      </c>
      <c r="I11" s="165">
        <f>Constants!$D$25/1000000000*Constants!$C$24*IF(ISBLANK(Design!$B$33),Design!$B$32,Design!$B$33)*1000000</f>
        <v>6.8250000000000005E-2</v>
      </c>
      <c r="J11" s="165">
        <f t="shared" ca="1" si="22"/>
        <v>0.8713292817690923</v>
      </c>
      <c r="K11" s="165">
        <f t="shared" ca="1" si="23"/>
        <v>0.28683594465113654</v>
      </c>
      <c r="L11" s="165">
        <f ca="1">B11^2*IF(ISBLANK(Design!$B$43),Constants!$C$6,Design!$B$43)/1000*(1+(O11-25)*(Constants!$C$36/100))</f>
        <v>0.17862832298079778</v>
      </c>
      <c r="M11" s="165">
        <f>0.5*Snubber!$B$16/1000000000000*$C$2^2*Design!$B$33*1000000</f>
        <v>2.2175999999999998E-2</v>
      </c>
      <c r="N11" s="166">
        <f ca="1">$A11+K11*Design!$B$19</f>
        <v>39.341797232556829</v>
      </c>
      <c r="O11" s="166">
        <f ca="1">J11*Design!$C$12+A11</f>
        <v>54.625195580149139</v>
      </c>
      <c r="P11" s="166">
        <f ca="1">Constants!$D$22+Constants!$D$22*Constants!$C$23/100*(O11-25)</f>
        <v>148.70015646411932</v>
      </c>
      <c r="Q11" s="165">
        <f ca="1">(1-Constants!$C$20/1000000000*Design!$B$33*1000000) * ($C$2+C11-B11*P11/1000) - (C11+B11*Design!$B$43/1000)</f>
        <v>6.1678796526548609</v>
      </c>
      <c r="R11" s="165">
        <f ca="1">IF(Q11&gt;Design!$C$29,Design!$C$29,Q11)</f>
        <v>4.99903317535545</v>
      </c>
      <c r="S11" s="165">
        <f t="shared" ca="1" si="24"/>
        <v>1.3589695494010265</v>
      </c>
      <c r="T11" s="165">
        <f t="shared" ca="1" si="25"/>
        <v>9.9980663507109</v>
      </c>
      <c r="U11" s="354">
        <f t="shared" ca="1" si="26"/>
        <v>88.034117692736771</v>
      </c>
      <c r="V11" s="361">
        <f t="shared" si="19"/>
        <v>2</v>
      </c>
      <c r="W11" s="362">
        <f ca="1">FORECAST(V11, OFFSET(Design!$C$15:$C$17,MATCH(V11,Design!$B$15:$B$17,1)-1,0,2), OFFSET(Design!$B$15:$B$17,MATCH(V11,Design!$B$15:$B$17,1)-1,0,2))+(AH11-25)*Design!$B$18/1000</f>
        <v>0.43854092810994488</v>
      </c>
      <c r="X11" s="184">
        <f ca="1">IF(100*(Design!$C$29+W11+V11*IF(ISBLANK(Design!$B$43),Constants!$C$6,Design!$B$43)/1000*(1+Constants!$C$36/100*(AI11-25)))/($W$2+W11-V11*AJ11/1000)&gt;Design!$C$36,Design!$C$36,100*(Design!$C$29+W11+V11*IF(ISBLANK(Design!$B$43),Constants!$C$6,Design!$B$43)/1000*(1+Constants!$C$36/100*(AI11-25)))/($W$2+W11-V11*AJ11/1000))</f>
        <v>45.630130090857428</v>
      </c>
      <c r="Y11" s="183">
        <f ca="1">($W$2-V11*IF(ISBLANK(Design!$B$43),Constants!$C$6,Design!$B$43)/1000*(1+Constants!$C$36/100*(AI11-25))-Design!$C$29) / (IF(ISBLANK(Design!$B$42),Design!$B$40,Design!$B$42)/1000000) * X11/100/(IF(ISBLANK(Design!$B$33),Design!$B$32,Design!$B$33)*1000000)</f>
        <v>0.45483299828881807</v>
      </c>
      <c r="Z11" s="183">
        <f>$W$2*Constants!$C$21/1000+IF(ISBLANK(Design!$B$33),Design!$B$32,Design!$B$33)*1000000*Constants!$D$25/1000000000*($W$2-Constants!$C$24)</f>
        <v>0.13155</v>
      </c>
      <c r="AA11" s="183">
        <f>$W$2*V11*($W$2/(Constants!$C$26*1000000000)*IF(ISBLANK(Design!$B$33),Design!$B$32,Design!$B$33)*1000000/2+$W$2/(Constants!$C$27*1000000000)*IF(ISBLANK(Design!$B$33),Design!$B$32,Design!$B$33)*1000000/2)</f>
        <v>0.75024657534246575</v>
      </c>
      <c r="AB11" s="183">
        <f t="shared" ca="1" si="27"/>
        <v>0.29101259453231065</v>
      </c>
      <c r="AC11" s="183">
        <f>Constants!$D$25/1000000000*Constants!$C$24*IF(ISBLANK(Design!$B$33),Design!$B$32,Design!$B$33)*1000000</f>
        <v>6.8250000000000005E-2</v>
      </c>
      <c r="AD11" s="183">
        <f t="shared" ca="1" si="28"/>
        <v>1.2410591698747764</v>
      </c>
      <c r="AE11" s="183">
        <f t="shared" ca="1" si="29"/>
        <v>0.47686826422344691</v>
      </c>
      <c r="AF11" s="183">
        <f ca="1">V11^2*IF(ISBLANK(Design!$B$43),Constants!$C$6,Design!$B$43)/1000*(1+(AI11-25)*(Constants!$C$36/100))</f>
        <v>0.18653285220458682</v>
      </c>
      <c r="AG11" s="183">
        <f>0.5*Snubber!$B$16/1000000000000*$W$2^2*Design!$B$33*1000000</f>
        <v>4.9895999999999996E-2</v>
      </c>
      <c r="AH11" s="184">
        <f ca="1">$A11+AE11*Design!$B$19</f>
        <v>48.843413211172347</v>
      </c>
      <c r="AI11" s="184">
        <f ca="1">AD11*Design!$C$12+$A11</f>
        <v>67.196011775742392</v>
      </c>
      <c r="AJ11" s="184">
        <f ca="1">Constants!$D$22+Constants!$D$22*Constants!$C$23/100*(AI11-25)</f>
        <v>158.75680942059392</v>
      </c>
      <c r="AK11" s="183">
        <f ca="1">(1-Constants!$C$20/1000000000*Design!$B$33*1000000) * ($W$2+W11-V11*AJ11/1000) - (W11+V11*Design!$B$43/1000)</f>
        <v>9.4388830064543399</v>
      </c>
      <c r="AL11" s="183">
        <f ca="1">IF(AK11&gt;Design!$C$29,Design!$C$29,AK11)</f>
        <v>4.99903317535545</v>
      </c>
      <c r="AM11" s="183">
        <f t="shared" ca="1" si="30"/>
        <v>1.9543562863028101</v>
      </c>
      <c r="AN11" s="183">
        <f t="shared" ca="1" si="31"/>
        <v>9.9980663507109</v>
      </c>
      <c r="AO11" s="363">
        <f t="shared" ca="1" si="32"/>
        <v>83.64886897280013</v>
      </c>
      <c r="AP11" s="370">
        <f t="shared" si="20"/>
        <v>2</v>
      </c>
      <c r="AQ11" s="371">
        <f ca="1">FORECAST(AP11, OFFSET(Design!$C$15:$C$17,MATCH(AP11,Design!$B$15:$B$17,1)-1,0,2), OFFSET(Design!$B$15:$B$17,MATCH(AP11,Design!$B$15:$B$17,1)-1,0,2))+(BB11-25)*Design!$B$18/1000</f>
        <v>0.43435598570395856</v>
      </c>
      <c r="AR11" s="196">
        <f ca="1">IF(100*(Design!$C$29+AQ11+AP11*IF(ISBLANK(Design!$B$43),Constants!$C$6,Design!$B$43)/1000*(1+Constants!$C$36/100*(BC11-25)))/($AQ$2+AQ11-AP11*BD11/1000)&gt;Design!$C$36,Design!$C$36,100*(Design!$C$29+AQ11+AP11*IF(ISBLANK(Design!$B$43),Constants!$C$6,Design!$B$43)/1000*(1+Constants!$C$36/100*(BC11-25)))/($AQ$2+AQ11-AP11*BD11/1000))</f>
        <v>34.400928833420274</v>
      </c>
      <c r="AS11" s="195">
        <f ca="1">($AQ$2-AP11*IF(ISBLANK(Design!$B$43),Constants!$C$6,Design!$B$43)/1000*(1+Constants!$C$36/100*(BC11-25))-Design!$C$29) / (IF(ISBLANK(Design!$B$42),Design!$B$40,Design!$B$42)/1000000) * AR11/100/(IF(ISBLANK(Design!$B$33),Design!$B$32,Design!$B$33)*1000000)</f>
        <v>0.54114547586653927</v>
      </c>
      <c r="AT11" s="195">
        <f>$AQ$2*Constants!$C$21/1000+IF(ISBLANK(Design!$B$33),Design!$B$32,Design!$B$33)*1000000*Constants!$D$25/1000000000*($AQ$2-Constants!$C$24)</f>
        <v>0.19814999999999999</v>
      </c>
      <c r="AU11" s="195">
        <f>$AQ$2*AP11*($AQ$2/(Constants!$C$26*1000000000)*IF(ISBLANK(Design!$B$33),Design!$B$32,Design!$B$33)*1000000/2+$AQ$2/(Constants!$C$27*1000000000)*IF(ISBLANK(Design!$B$33),Design!$B$32,Design!$B$33)*1000000/2)</f>
        <v>1.333771689497717</v>
      </c>
      <c r="AV11" s="195">
        <f t="shared" ca="1" si="33"/>
        <v>0.24244043044292626</v>
      </c>
      <c r="AW11" s="195">
        <f>Constants!$D$25/1000000000*Constants!$C$24*IF(ISBLANK(Design!$B$33),Design!$B$32,Design!$B$33)*1000000</f>
        <v>6.8250000000000005E-2</v>
      </c>
      <c r="AX11" s="195">
        <f t="shared" ca="1" si="34"/>
        <v>1.8426121199406431</v>
      </c>
      <c r="AY11" s="195">
        <f t="shared" ca="1" si="35"/>
        <v>0.56986698435647731</v>
      </c>
      <c r="AZ11" s="195">
        <f ca="1">AP11^2*IF(ISBLANK(Design!$B$43),Constants!$C$6,Design!$B$43)/1000*(1+(BC11-25)*(Constants!$C$36/100))</f>
        <v>0.19939357303463501</v>
      </c>
      <c r="BA11" s="195">
        <f>0.5*Snubber!$B$16/1000000000000*$AQ$2^2*Design!$B$33*1000000</f>
        <v>8.8703999999999991E-2</v>
      </c>
      <c r="BB11" s="196">
        <f ca="1">$A11+AY11*Design!$B$19</f>
        <v>53.493349217823862</v>
      </c>
      <c r="BC11" s="196">
        <f ca="1">AX11*Design!$C$12+$A11</f>
        <v>87.648812077981859</v>
      </c>
      <c r="BD11" s="196">
        <f ca="1">Constants!$D$22+Constants!$D$22*Constants!$C$23/100*(BC11-25)</f>
        <v>175.11904966238549</v>
      </c>
      <c r="BE11" s="195">
        <f ca="1">(1-Constants!$C$20/1000000000*Design!$B$33*1000000) * ($AQ$2+AQ11-AP11*BD11/1000) - (AQ11+AP11*Design!$B$43/1000)</f>
        <v>12.698746857956547</v>
      </c>
      <c r="BF11" s="195">
        <f ca="1">IF(BE11&gt;Design!$C$29,Design!$C$29,BE11)</f>
        <v>4.99903317535545</v>
      </c>
      <c r="BG11" s="195">
        <f t="shared" ca="1" si="36"/>
        <v>2.7005766773317554</v>
      </c>
      <c r="BH11" s="195">
        <f t="shared" ca="1" si="37"/>
        <v>9.9980663507109</v>
      </c>
      <c r="BI11" s="372">
        <f t="shared" ca="1" si="38"/>
        <v>78.73334441035928</v>
      </c>
    </row>
    <row r="12" spans="1:61" s="120" customFormat="1" ht="13.2" x14ac:dyDescent="0.25">
      <c r="A12" s="112">
        <v>25</v>
      </c>
      <c r="B12" s="352">
        <f t="shared" si="18"/>
        <v>2.25</v>
      </c>
      <c r="C12" s="353">
        <f ca="1">FORECAST(B12, OFFSET(Design!$C$15:$C$17,MATCH(B12,Design!$B$15:$B$17,1)-1,0,2), OFFSET(Design!$B$15:$B$17,MATCH(B12,Design!$B$15:$B$17,1)-1,0,2))+(N12-25)*Design!$B$18/1000</f>
        <v>0.46276170223093616</v>
      </c>
      <c r="D12" s="166">
        <f ca="1">IF(100*(Design!$C$29+C12+B12*IF(ISBLANK(Design!$B$43),Constants!$C$6,Design!$B$43)/1000*(1+Constants!$C$36/100*(O12-25)))/($C$2+C12-B12*P12/1000)&gt;Design!$C$36,Design!$C$36,100*(Design!$C$29+C12+B12*IF(ISBLANK(Design!$B$43),Constants!$C$6,Design!$B$43)/1000*(1+Constants!$C$36/100*(O12-25)))/($C$2+C12-B12*P12/1000))</f>
        <v>68.544623711418382</v>
      </c>
      <c r="E12" s="165">
        <f ca="1">IF(($C$2-B12*IF(ISBLANK(Design!$B$43),Constants!$C$6,Design!$B$43)/1000*(1+Constants!$C$36/100*(O12-25))-Design!$C$29) / (IF(ISBLANK(Design!$B$42),Design!$B$40,Design!$B$42)/1000000) * D12/100/(IF(ISBLANK(Design!$B$33),Design!$B$32,Design!$B$33)*1000000)&lt;0,0,($C$2-B12*IF(ISBLANK(Design!$B$43),Constants!$C$6,Design!$B$43)/1000*(1+Constants!$C$36/100*(O12-25))-Design!$C$29) / (IF(ISBLANK(Design!$B$42),Design!$B$40,Design!$B$42)/1000000) * D12/100/(IF(ISBLANK(Design!$B$33),Design!$B$32,Design!$B$33)*1000000))</f>
        <v>0.28668538621511119</v>
      </c>
      <c r="F12" s="165">
        <f>$C$2*Constants!$C$21/1000+IF(ISBLANK(Design!$B$33),Design!$B$32,Design!$B$33)*1000000*Constants!$D$25/1000000000*($C$2-Constants!$C$24)</f>
        <v>6.4950000000000008E-2</v>
      </c>
      <c r="G12" s="165">
        <f>$C$2*B12*($C$2/(Constants!$C$26*1000000000)*IF(ISBLANK(Design!$B$33),Design!$B$32,Design!$B$33)*1000000/2+$C$2/(Constants!$C$27*1000000000)*IF(ISBLANK(Design!$B$33),Design!$B$32,Design!$B$33)*1000000/2)</f>
        <v>0.37512328767123287</v>
      </c>
      <c r="H12" s="165">
        <f t="shared" ca="1" si="21"/>
        <v>0.53274050847358645</v>
      </c>
      <c r="I12" s="165">
        <f>Constants!$D$25/1000000000*Constants!$C$24*IF(ISBLANK(Design!$B$33),Design!$B$32,Design!$B$33)*1000000</f>
        <v>6.8250000000000005E-2</v>
      </c>
      <c r="J12" s="165">
        <f t="shared" ca="1" si="22"/>
        <v>1.0410637961448193</v>
      </c>
      <c r="K12" s="165">
        <f t="shared" ca="1" si="23"/>
        <v>0.32751772820141972</v>
      </c>
      <c r="L12" s="165">
        <f ca="1">B12^2*IF(ISBLANK(Design!$B$43),Constants!$C$6,Design!$B$43)/1000*(1+(O12-25)*(Constants!$C$36/100))</f>
        <v>0.23066915624927636</v>
      </c>
      <c r="M12" s="165">
        <f>0.5*Snubber!$B$16/1000000000000*$C$2^2*Design!$B$33*1000000</f>
        <v>2.2175999999999998E-2</v>
      </c>
      <c r="N12" s="166">
        <f ca="1">$A12+K12*Design!$B$19</f>
        <v>41.37588641007099</v>
      </c>
      <c r="O12" s="166">
        <f ca="1">J12*Design!$C$12+A12</f>
        <v>60.396169068923854</v>
      </c>
      <c r="P12" s="166">
        <f ca="1">Constants!$D$22+Constants!$D$22*Constants!$C$23/100*(O12-25)</f>
        <v>153.31693525513907</v>
      </c>
      <c r="Q12" s="165">
        <f ca="1">(1-Constants!$C$20/1000000000*Design!$B$33*1000000) * ($C$2+C12-B12*P12/1000) - (C12+B12*Design!$B$43/1000)</f>
        <v>6.116009845949562</v>
      </c>
      <c r="R12" s="165">
        <f ca="1">IF(Q12&gt;Design!$C$29,Design!$C$29,Q12)</f>
        <v>4.99903317535545</v>
      </c>
      <c r="S12" s="165">
        <f t="shared" ca="1" si="24"/>
        <v>1.6214266805955153</v>
      </c>
      <c r="T12" s="165">
        <f t="shared" ca="1" si="25"/>
        <v>11.247824644549762</v>
      </c>
      <c r="U12" s="354">
        <f t="shared" ca="1" si="26"/>
        <v>87.40076916962991</v>
      </c>
      <c r="V12" s="361">
        <f t="shared" si="19"/>
        <v>2.25</v>
      </c>
      <c r="W12" s="362">
        <f ca="1">FORECAST(V12, OFFSET(Design!$C$15:$C$17,MATCH(V12,Design!$B$15:$B$17,1)-1,0,2), OFFSET(Design!$B$15:$B$17,MATCH(V12,Design!$B$15:$B$17,1)-1,0,2))+(AH12-25)*Design!$B$18/1000</f>
        <v>0.45274686100813344</v>
      </c>
      <c r="X12" s="184">
        <f ca="1">IF(100*(Design!$C$29+W12+V12*IF(ISBLANK(Design!$B$43),Constants!$C$6,Design!$B$43)/1000*(1+Constants!$C$36/100*(AI12-25)))/($W$2+W12-V12*AJ12/1000)&gt;Design!$C$36,Design!$C$36,100*(Design!$C$29+W12+V12*IF(ISBLANK(Design!$B$43),Constants!$C$6,Design!$B$43)/1000*(1+Constants!$C$36/100*(AI12-25)))/($W$2+W12-V12*AJ12/1000))</f>
        <v>46.001735652263662</v>
      </c>
      <c r="Y12" s="183">
        <f ca="1">($W$2-V12*IF(ISBLANK(Design!$B$43),Constants!$C$6,Design!$B$43)/1000*(1+Constants!$C$36/100*(AI12-25))-Design!$C$29) / (IF(ISBLANK(Design!$B$42),Design!$B$40,Design!$B$42)/1000000) * X12/100/(IF(ISBLANK(Design!$B$33),Design!$B$32,Design!$B$33)*1000000)</f>
        <v>0.45761508587031557</v>
      </c>
      <c r="Z12" s="183">
        <f>$W$2*Constants!$C$21/1000+IF(ISBLANK(Design!$B$33),Design!$B$32,Design!$B$33)*1000000*Constants!$D$25/1000000000*($W$2-Constants!$C$24)</f>
        <v>0.13155</v>
      </c>
      <c r="AA12" s="183">
        <f>$W$2*V12*($W$2/(Constants!$C$26*1000000000)*IF(ISBLANK(Design!$B$33),Design!$B$32,Design!$B$33)*1000000/2+$W$2/(Constants!$C$27*1000000000)*IF(ISBLANK(Design!$B$33),Design!$B$32,Design!$B$33)*1000000/2)</f>
        <v>0.84402739726027398</v>
      </c>
      <c r="AB12" s="183">
        <f t="shared" ca="1" si="27"/>
        <v>0.38278777785978274</v>
      </c>
      <c r="AC12" s="183">
        <f>Constants!$D$25/1000000000*Constants!$C$24*IF(ISBLANK(Design!$B$33),Design!$B$32,Design!$B$33)*1000000</f>
        <v>6.8250000000000005E-2</v>
      </c>
      <c r="AD12" s="183">
        <f t="shared" ca="1" si="28"/>
        <v>1.4266151751200566</v>
      </c>
      <c r="AE12" s="183">
        <f t="shared" ca="1" si="29"/>
        <v>0.55006975537481317</v>
      </c>
      <c r="AF12" s="183">
        <f ca="1">V12^2*IF(ISBLANK(Design!$B$43),Constants!$C$6,Design!$B$43)/1000*(1+(AI12-25)*(Constants!$C$36/100))</f>
        <v>0.2411014247391573</v>
      </c>
      <c r="AG12" s="183">
        <f>0.5*Snubber!$B$16/1000000000000*$W$2^2*Design!$B$33*1000000</f>
        <v>4.9895999999999996E-2</v>
      </c>
      <c r="AH12" s="184">
        <f ca="1">$A12+AE12*Design!$B$19</f>
        <v>52.503487768740655</v>
      </c>
      <c r="AI12" s="184">
        <f ca="1">AD12*Design!$C$12+$A12</f>
        <v>73.504915954081923</v>
      </c>
      <c r="AJ12" s="184">
        <f ca="1">Constants!$D$22+Constants!$D$22*Constants!$C$23/100*(AI12-25)</f>
        <v>163.80393276326555</v>
      </c>
      <c r="AK12" s="183">
        <f ca="1">(1-Constants!$C$20/1000000000*Design!$B$33*1000000) * ($W$2+W12-V12*AJ12/1000) - (W12+V12*Design!$B$43/1000)</f>
        <v>9.3844135910887481</v>
      </c>
      <c r="AL12" s="183">
        <f ca="1">IF(AK12&gt;Design!$C$29,Design!$C$29,AK12)</f>
        <v>4.99903317535545</v>
      </c>
      <c r="AM12" s="183">
        <f t="shared" ca="1" si="30"/>
        <v>2.2676823552340268</v>
      </c>
      <c r="AN12" s="183">
        <f t="shared" ca="1" si="31"/>
        <v>11.247824644549762</v>
      </c>
      <c r="AO12" s="363">
        <f t="shared" ca="1" si="32"/>
        <v>83.221625683222214</v>
      </c>
      <c r="AP12" s="370">
        <f t="shared" si="20"/>
        <v>2.25</v>
      </c>
      <c r="AQ12" s="371">
        <f ca="1">FORECAST(AP12, OFFSET(Design!$C$15:$C$17,MATCH(AP12,Design!$B$15:$B$17,1)-1,0,2), OFFSET(Design!$B$15:$B$17,MATCH(AP12,Design!$B$15:$B$17,1)-1,0,2))+(BB12-25)*Design!$B$18/1000</f>
        <v>0.44787816205191971</v>
      </c>
      <c r="AR12" s="196">
        <f ca="1">IF(100*(Design!$C$29+AQ12+AP12*IF(ISBLANK(Design!$B$43),Constants!$C$6,Design!$B$43)/1000*(1+Constants!$C$36/100*(BC12-25)))/($AQ$2+AQ12-AP12*BD12/1000)&gt;Design!$C$36,Design!$C$36,100*(Design!$C$29+AQ12+AP12*IF(ISBLANK(Design!$B$43),Constants!$C$6,Design!$B$43)/1000*(1+Constants!$C$36/100*(BC12-25)))/($AQ$2+AQ12-AP12*BD12/1000))</f>
        <v>34.678359598997112</v>
      </c>
      <c r="AS12" s="195">
        <f ca="1">($AQ$2-AP12*IF(ISBLANK(Design!$B$43),Constants!$C$6,Design!$B$43)/1000*(1+Constants!$C$36/100*(BC12-25))-Design!$C$29) / (IF(ISBLANK(Design!$B$42),Design!$B$40,Design!$B$42)/1000000) * AR12/100/(IF(ISBLANK(Design!$B$33),Design!$B$32,Design!$B$33)*1000000)</f>
        <v>0.54473857712416218</v>
      </c>
      <c r="AT12" s="195">
        <f>$AQ$2*Constants!$C$21/1000+IF(ISBLANK(Design!$B$33),Design!$B$32,Design!$B$33)*1000000*Constants!$D$25/1000000000*($AQ$2-Constants!$C$24)</f>
        <v>0.19814999999999999</v>
      </c>
      <c r="AU12" s="195">
        <f>$AQ$2*AP12*($AQ$2/(Constants!$C$26*1000000000)*IF(ISBLANK(Design!$B$33),Design!$B$32,Design!$B$33)*1000000/2+$AQ$2/(Constants!$C$27*1000000000)*IF(ISBLANK(Design!$B$33),Design!$B$32,Design!$B$33)*1000000/2)</f>
        <v>1.5004931506849315</v>
      </c>
      <c r="AV12" s="195">
        <f t="shared" ca="1" si="33"/>
        <v>0.3206945469867441</v>
      </c>
      <c r="AW12" s="195">
        <f>Constants!$D$25/1000000000*Constants!$C$24*IF(ISBLANK(Design!$B$33),Design!$B$32,Design!$B$33)*1000000</f>
        <v>6.8250000000000005E-2</v>
      </c>
      <c r="AX12" s="195">
        <f t="shared" ca="1" si="34"/>
        <v>2.0875876976716756</v>
      </c>
      <c r="AY12" s="195">
        <f t="shared" ca="1" si="35"/>
        <v>0.65826306551289604</v>
      </c>
      <c r="AZ12" s="195">
        <f ca="1">AP12^2*IF(ISBLANK(Design!$B$43),Constants!$C$6,Design!$B$43)/1000*(1+(BC12-25)*(Constants!$C$36/100))</f>
        <v>0.2589860523029851</v>
      </c>
      <c r="BA12" s="195">
        <f>0.5*Snubber!$B$16/1000000000000*$AQ$2^2*Design!$B$33*1000000</f>
        <v>8.8703999999999991E-2</v>
      </c>
      <c r="BB12" s="196">
        <f ca="1">$A12+AY12*Design!$B$19</f>
        <v>57.913153275644802</v>
      </c>
      <c r="BC12" s="196">
        <f ca="1">AX12*Design!$C$12+$A12</f>
        <v>95.977981720836965</v>
      </c>
      <c r="BD12" s="196">
        <f ca="1">Constants!$D$22+Constants!$D$22*Constants!$C$23/100*(BC12-25)</f>
        <v>181.78238537666957</v>
      </c>
      <c r="BE12" s="195">
        <f ca="1">(1-Constants!$C$20/1000000000*Design!$B$33*1000000) * ($AQ$2+AQ12-AP12*BD12/1000) - (AQ12+AP12*Design!$B$43/1000)</f>
        <v>12.638051731503131</v>
      </c>
      <c r="BF12" s="195">
        <f ca="1">IF(BE12&gt;Design!$C$29,Design!$C$29,BE12)</f>
        <v>4.99903317535545</v>
      </c>
      <c r="BG12" s="195">
        <f t="shared" ca="1" si="36"/>
        <v>3.0935408154875566</v>
      </c>
      <c r="BH12" s="195">
        <f t="shared" ca="1" si="37"/>
        <v>11.247824644549762</v>
      </c>
      <c r="BI12" s="372">
        <f t="shared" ca="1" si="38"/>
        <v>78.429244941091497</v>
      </c>
    </row>
    <row r="13" spans="1:61" s="120" customFormat="1" ht="13.8" thickBot="1" x14ac:dyDescent="0.3">
      <c r="A13" s="112">
        <v>25</v>
      </c>
      <c r="B13" s="352">
        <f t="shared" si="18"/>
        <v>2.5</v>
      </c>
      <c r="C13" s="353">
        <f ca="1">FORECAST(B13, OFFSET(Design!$C$15:$C$17,MATCH(B13,Design!$B$15:$B$17,1)-1,0,2), OFFSET(Design!$B$15:$B$17,MATCH(B13,Design!$B$15:$B$17,1)-1,0,2))+(N13-25)*Design!$B$18/1000</f>
        <v>0.47843155411043925</v>
      </c>
      <c r="D13" s="166">
        <f ca="1">IF(100*(Design!$C$29+C13+B13*IF(ISBLANK(Design!$B$43),Constants!$C$6,Design!$B$43)/1000*(1+Constants!$C$36/100*(O13-25)))/($C$2+C13-B13*P13/1000)&gt;Design!$C$36,Design!$C$36,100*(Design!$C$29+C13+B13*IF(ISBLANK(Design!$B$43),Constants!$C$6,Design!$B$43)/1000*(1+Constants!$C$36/100*(O13-25)))/($C$2+C13-B13*P13/1000))</f>
        <v>69.217106750472269</v>
      </c>
      <c r="E13" s="165">
        <f ca="1">IF(($C$2-B13*IF(ISBLANK(Design!$B$43),Constants!$C$6,Design!$B$43)/1000*(1+Constants!$C$36/100*(O13-25))-Design!$C$29) / (IF(ISBLANK(Design!$B$42),Design!$B$40,Design!$B$42)/1000000) * D13/100/(IF(ISBLANK(Design!$B$33),Design!$B$32,Design!$B$33)*1000000)&lt;0,0,($C$2-B13*IF(ISBLANK(Design!$B$43),Constants!$C$6,Design!$B$43)/1000*(1+Constants!$C$36/100*(O13-25))-Design!$C$29) / (IF(ISBLANK(Design!$B$42),Design!$B$40,Design!$B$42)/1000000) * D13/100/(IF(ISBLANK(Design!$B$33),Design!$B$32,Design!$B$33)*1000000))</f>
        <v>0.28809866205234314</v>
      </c>
      <c r="F13" s="165">
        <f>$C$2*Constants!$C$21/1000+IF(ISBLANK(Design!$B$33),Design!$B$32,Design!$B$33)*1000000*Constants!$D$25/1000000000*($C$2-Constants!$C$24)</f>
        <v>6.4950000000000008E-2</v>
      </c>
      <c r="G13" s="165">
        <f>$C$2*B13*($C$2/(Constants!$C$26*1000000000)*IF(ISBLANK(Design!$B$33),Design!$B$32,Design!$B$33)*1000000/2+$C$2/(Constants!$C$27*1000000000)*IF(ISBLANK(Design!$B$33),Design!$B$32,Design!$B$33)*1000000/2)</f>
        <v>0.41680365296803656</v>
      </c>
      <c r="H13" s="165">
        <f t="shared" ca="1" si="21"/>
        <v>0.68708530999228867</v>
      </c>
      <c r="I13" s="165">
        <f>Constants!$D$25/1000000000*Constants!$C$24*IF(ISBLANK(Design!$B$33),Design!$B$32,Design!$B$33)*1000000</f>
        <v>6.8250000000000005E-2</v>
      </c>
      <c r="J13" s="165">
        <f t="shared" ca="1" si="22"/>
        <v>1.2370889629603252</v>
      </c>
      <c r="K13" s="165">
        <f t="shared" ca="1" si="23"/>
        <v>0.36818768643468258</v>
      </c>
      <c r="L13" s="167">
        <f ca="1">B13^2*IF(ISBLANK(Design!$B$43),Constants!$C$6,Design!$B$43)/1000*(1+(O13-25)*(Constants!$C$36/100))</f>
        <v>0.29132495680768966</v>
      </c>
      <c r="M13" s="165">
        <f>0.5*Snubber!$B$16/1000000000000*$C$2^2*Design!$B$33*1000000</f>
        <v>2.2175999999999998E-2</v>
      </c>
      <c r="N13" s="166">
        <f ca="1">$A13+K13*Design!$B$19</f>
        <v>43.40938432173413</v>
      </c>
      <c r="O13" s="166">
        <f ca="1">J13*Design!$C$12+A13</f>
        <v>67.06102474065105</v>
      </c>
      <c r="P13" s="166">
        <f ca="1">Constants!$D$22+Constants!$D$22*Constants!$C$23/100*(O13-25)</f>
        <v>158.64881979252084</v>
      </c>
      <c r="Q13" s="165">
        <f ca="1">(1-Constants!$C$20/1000000000*Design!$B$33*1000000) * ($C$2+C13-B13*P13/1000) - (C13+B13*Design!$B$43/1000)</f>
        <v>6.0607749539423974</v>
      </c>
      <c r="R13" s="165">
        <f ca="1">IF(Q13&gt;Design!$C$29,Design!$C$29,Q13)</f>
        <v>4.99903317535545</v>
      </c>
      <c r="S13" s="167">
        <f t="shared" ca="1" si="24"/>
        <v>1.9187776062026975</v>
      </c>
      <c r="T13" s="165">
        <f t="shared" ca="1" si="25"/>
        <v>12.497582938388625</v>
      </c>
      <c r="U13" s="354">
        <f t="shared" ca="1" si="26"/>
        <v>86.690277339639806</v>
      </c>
      <c r="V13" s="361">
        <f t="shared" si="19"/>
        <v>2.5</v>
      </c>
      <c r="W13" s="362">
        <f ca="1">FORECAST(V13, OFFSET(Design!$C$15:$C$17,MATCH(V13,Design!$B$15:$B$17,1)-1,0,2), OFFSET(Design!$B$15:$B$17,MATCH(V13,Design!$B$15:$B$17,1)-1,0,2))+(AH13-25)*Design!$B$18/1000</f>
        <v>0.46684684214993033</v>
      </c>
      <c r="X13" s="184">
        <f ca="1">IF(100*(Design!$C$29+W13+V13*IF(ISBLANK(Design!$B$43),Constants!$C$6,Design!$B$43)/1000*(1+Constants!$C$36/100*(AI13-25)))/($W$2+W13-V13*AJ13/1000)&gt;Design!$C$36,Design!$C$36,100*(Design!$C$29+W13+V13*IF(ISBLANK(Design!$B$43),Constants!$C$6,Design!$B$43)/1000*(1+Constants!$C$36/100*(AI13-25)))/($W$2+W13-V13*AJ13/1000))</f>
        <v>46.395633555501256</v>
      </c>
      <c r="Y13" s="183">
        <f ca="1">($W$2-V13*IF(ISBLANK(Design!$B$43),Constants!$C$6,Design!$B$43)/1000*(1+Constants!$C$36/100*(AI13-25))-Design!$C$29) / (IF(ISBLANK(Design!$B$42),Design!$B$40,Design!$B$42)/1000000) * X13/100/(IF(ISBLANK(Design!$B$33),Design!$B$32,Design!$B$33)*1000000)</f>
        <v>0.46055441759548427</v>
      </c>
      <c r="Z13" s="183">
        <f>$W$2*Constants!$C$21/1000+IF(ISBLANK(Design!$B$33),Design!$B$32,Design!$B$33)*1000000*Constants!$D$25/1000000000*($W$2-Constants!$C$24)</f>
        <v>0.13155</v>
      </c>
      <c r="AA13" s="183">
        <f>$W$2*V13*($W$2/(Constants!$C$26*1000000000)*IF(ISBLANK(Design!$B$33),Design!$B$32,Design!$B$33)*1000000/2+$W$2/(Constants!$C$27*1000000000)*IF(ISBLANK(Design!$B$33),Design!$B$32,Design!$B$33)*1000000/2)</f>
        <v>0.93780821917808221</v>
      </c>
      <c r="AB13" s="183">
        <f t="shared" ca="1" si="27"/>
        <v>0.49241903938622783</v>
      </c>
      <c r="AC13" s="183">
        <f>Constants!$D$25/1000000000*Constants!$C$24*IF(ISBLANK(Design!$B$33),Design!$B$32,Design!$B$33)*1000000</f>
        <v>6.8250000000000005E-2</v>
      </c>
      <c r="AD13" s="183">
        <f t="shared" ca="1" si="28"/>
        <v>1.6300272585643099</v>
      </c>
      <c r="AE13" s="183">
        <f t="shared" ca="1" si="29"/>
        <v>0.62562573000154831</v>
      </c>
      <c r="AF13" s="187">
        <f ca="1">V13^2*IF(ISBLANK(Design!$B$43),Constants!$C$6,Design!$B$43)/1000*(1+(AI13-25)*(Constants!$C$36/100))</f>
        <v>0.30445106057234078</v>
      </c>
      <c r="AG13" s="183">
        <f>0.5*Snubber!$B$16/1000000000000*$W$2^2*Design!$B$33*1000000</f>
        <v>4.9895999999999996E-2</v>
      </c>
      <c r="AH13" s="184">
        <f ca="1">$A13+AE13*Design!$B$19</f>
        <v>56.281286500077414</v>
      </c>
      <c r="AI13" s="184">
        <f ca="1">AD13*Design!$C$12+$A13</f>
        <v>80.420926791186531</v>
      </c>
      <c r="AJ13" s="184">
        <f ca="1">Constants!$D$22+Constants!$D$22*Constants!$C$23/100*(AI13-25)</f>
        <v>169.33674143294922</v>
      </c>
      <c r="AK13" s="183">
        <f ca="1">(1-Constants!$C$20/1000000000*Design!$B$33*1000000) * ($W$2+W13-V13*AJ13/1000) - (W13+V13*Design!$B$43/1000)</f>
        <v>9.3268925059583179</v>
      </c>
      <c r="AL13" s="183">
        <f ca="1">IF(AK13&gt;Design!$C$29,Design!$C$29,AK13)</f>
        <v>4.99903317535545</v>
      </c>
      <c r="AM13" s="183">
        <f t="shared" ca="1" si="30"/>
        <v>2.6100000491381987</v>
      </c>
      <c r="AN13" s="183">
        <f t="shared" ca="1" si="31"/>
        <v>12.497582938388625</v>
      </c>
      <c r="AO13" s="363">
        <f t="shared" ca="1" si="32"/>
        <v>82.723907250464379</v>
      </c>
      <c r="AP13" s="370">
        <f t="shared" si="20"/>
        <v>2.5</v>
      </c>
      <c r="AQ13" s="371">
        <f ca="1">FORECAST(AP13, OFFSET(Design!$C$15:$C$17,MATCH(AP13,Design!$B$15:$B$17,1)-1,0,2), OFFSET(Design!$B$15:$B$17,MATCH(AP13,Design!$B$15:$B$17,1)-1,0,2))+(BB13-25)*Design!$B$18/1000</f>
        <v>0.46125599921067861</v>
      </c>
      <c r="AR13" s="196">
        <f ca="1">IF(100*(Design!$C$29+AQ13+AP13*IF(ISBLANK(Design!$B$43),Constants!$C$6,Design!$B$43)/1000*(1+Constants!$C$36/100*(BC13-25)))/($AQ$2+AQ13-AP13*BD13/1000)&gt;Design!$C$36,Design!$C$36,100*(Design!$C$29+AQ13+AP13*IF(ISBLANK(Design!$B$43),Constants!$C$6,Design!$B$43)/1000*(1+Constants!$C$36/100*(BC13-25)))/($AQ$2+AQ13-AP13*BD13/1000))</f>
        <v>34.971756639233163</v>
      </c>
      <c r="AS13" s="195">
        <f ca="1">($AQ$2-AP13*IF(ISBLANK(Design!$B$43),Constants!$C$6,Design!$B$43)/1000*(1+Constants!$C$36/100*(BC13-25))-Design!$C$29) / (IF(ISBLANK(Design!$B$42),Design!$B$40,Design!$B$42)/1000000) * AR13/100/(IF(ISBLANK(Design!$B$33),Design!$B$32,Design!$B$33)*1000000)</f>
        <v>0.54852628529450354</v>
      </c>
      <c r="AT13" s="195">
        <f>$AQ$2*Constants!$C$21/1000+IF(ISBLANK(Design!$B$33),Design!$B$32,Design!$B$33)*1000000*Constants!$D$25/1000000000*($AQ$2-Constants!$C$24)</f>
        <v>0.19814999999999999</v>
      </c>
      <c r="AU13" s="195">
        <f>$AQ$2*AP13*($AQ$2/(Constants!$C$26*1000000000)*IF(ISBLANK(Design!$B$33),Design!$B$32,Design!$B$33)*1000000/2+$AQ$2/(Constants!$C$27*1000000000)*IF(ISBLANK(Design!$B$33),Design!$B$32,Design!$B$33)*1000000/2)</f>
        <v>1.6672146118721463</v>
      </c>
      <c r="AV13" s="195">
        <f t="shared" ca="1" si="33"/>
        <v>0.4144713326824242</v>
      </c>
      <c r="AW13" s="195">
        <f>Constants!$D$25/1000000000*Constants!$C$24*IF(ISBLANK(Design!$B$33),Design!$B$32,Design!$B$33)*1000000</f>
        <v>6.8250000000000005E-2</v>
      </c>
      <c r="AX13" s="195">
        <f t="shared" ca="1" si="34"/>
        <v>2.3480859445545703</v>
      </c>
      <c r="AY13" s="195">
        <f t="shared" ca="1" si="35"/>
        <v>0.74986668420714209</v>
      </c>
      <c r="AZ13" s="198">
        <f ca="1">AP13^2*IF(ISBLANK(Design!$B$43),Constants!$C$6,Design!$B$43)/1000*(1+(BC13-25)*(Constants!$C$36/100))</f>
        <v>0.32843781097784541</v>
      </c>
      <c r="BA13" s="195">
        <f>0.5*Snubber!$B$16/1000000000000*$AQ$2^2*Design!$B$33*1000000</f>
        <v>8.8703999999999991E-2</v>
      </c>
      <c r="BB13" s="196">
        <f ca="1">$A13+AY13*Design!$B$19</f>
        <v>62.493334210357105</v>
      </c>
      <c r="BC13" s="196">
        <f ca="1">AX13*Design!$C$12+$A13</f>
        <v>104.83492211485539</v>
      </c>
      <c r="BD13" s="196">
        <f ca="1">Constants!$D$22+Constants!$D$22*Constants!$C$23/100*(BC13-25)</f>
        <v>188.86793769188432</v>
      </c>
      <c r="BE13" s="195">
        <f ca="1">(1-Constants!$C$20/1000000000*Design!$B$33*1000000) * ($AQ$2+AQ13-AP13*BD13/1000) - (AQ13+AP13*Design!$B$43/1000)</f>
        <v>12.573778277106186</v>
      </c>
      <c r="BF13" s="195">
        <f ca="1">IF(BE13&gt;Design!$C$29,Design!$C$29,BE13)</f>
        <v>4.99903317535545</v>
      </c>
      <c r="BG13" s="195">
        <f t="shared" ca="1" si="36"/>
        <v>3.5150944397395576</v>
      </c>
      <c r="BH13" s="195">
        <f t="shared" ca="1" si="37"/>
        <v>12.497582938388625</v>
      </c>
      <c r="BI13" s="372">
        <f t="shared" ca="1" si="38"/>
        <v>78.048053072368489</v>
      </c>
    </row>
    <row r="14" spans="1:61" ht="16.2" thickBot="1" x14ac:dyDescent="0.35">
      <c r="A14" s="156" t="s">
        <v>198</v>
      </c>
      <c r="B14" s="156" t="s">
        <v>94</v>
      </c>
      <c r="C14" s="157" t="s">
        <v>223</v>
      </c>
      <c r="D14" s="169" t="s">
        <v>221</v>
      </c>
      <c r="E14" s="169" t="s">
        <v>222</v>
      </c>
      <c r="F14" s="169" t="s">
        <v>95</v>
      </c>
      <c r="G14" s="169" t="s">
        <v>96</v>
      </c>
      <c r="H14" s="169" t="s">
        <v>97</v>
      </c>
      <c r="I14" s="169" t="s">
        <v>186</v>
      </c>
      <c r="J14" s="169" t="s">
        <v>239</v>
      </c>
      <c r="K14" s="169" t="s">
        <v>241</v>
      </c>
      <c r="L14" s="169" t="s">
        <v>242</v>
      </c>
      <c r="M14" s="169" t="s">
        <v>253</v>
      </c>
      <c r="N14" s="169" t="s">
        <v>268</v>
      </c>
      <c r="O14" s="169" t="s">
        <v>269</v>
      </c>
      <c r="P14" s="169" t="s">
        <v>113</v>
      </c>
      <c r="Q14" s="169" t="s">
        <v>235</v>
      </c>
      <c r="R14" s="169" t="s">
        <v>240</v>
      </c>
      <c r="S14" s="200" t="s">
        <v>243</v>
      </c>
      <c r="T14" s="169" t="s">
        <v>244</v>
      </c>
      <c r="U14" s="212" t="s">
        <v>230</v>
      </c>
      <c r="V14" s="157" t="s">
        <v>94</v>
      </c>
      <c r="W14" s="157" t="s">
        <v>223</v>
      </c>
      <c r="X14" s="169" t="s">
        <v>221</v>
      </c>
      <c r="Y14" s="169" t="s">
        <v>222</v>
      </c>
      <c r="Z14" s="169" t="s">
        <v>95</v>
      </c>
      <c r="AA14" s="169" t="s">
        <v>96</v>
      </c>
      <c r="AB14" s="169" t="s">
        <v>97</v>
      </c>
      <c r="AC14" s="169" t="s">
        <v>186</v>
      </c>
      <c r="AD14" s="169" t="s">
        <v>239</v>
      </c>
      <c r="AE14" s="169" t="s">
        <v>241</v>
      </c>
      <c r="AF14" s="169" t="s">
        <v>242</v>
      </c>
      <c r="AG14" s="169" t="s">
        <v>253</v>
      </c>
      <c r="AH14" s="169" t="s">
        <v>268</v>
      </c>
      <c r="AI14" s="169" t="s">
        <v>269</v>
      </c>
      <c r="AJ14" s="169" t="s">
        <v>113</v>
      </c>
      <c r="AK14" s="169" t="s">
        <v>235</v>
      </c>
      <c r="AL14" s="169" t="s">
        <v>240</v>
      </c>
      <c r="AM14" s="169" t="s">
        <v>243</v>
      </c>
      <c r="AN14" s="169" t="s">
        <v>244</v>
      </c>
      <c r="AO14" s="212" t="s">
        <v>230</v>
      </c>
      <c r="AP14" s="157" t="s">
        <v>94</v>
      </c>
      <c r="AQ14" s="157" t="s">
        <v>223</v>
      </c>
      <c r="AR14" s="169" t="s">
        <v>221</v>
      </c>
      <c r="AS14" s="169" t="s">
        <v>222</v>
      </c>
      <c r="AT14" s="169" t="s">
        <v>95</v>
      </c>
      <c r="AU14" s="169" t="s">
        <v>96</v>
      </c>
      <c r="AV14" s="169" t="s">
        <v>97</v>
      </c>
      <c r="AW14" s="169" t="s">
        <v>186</v>
      </c>
      <c r="AX14" s="169" t="s">
        <v>239</v>
      </c>
      <c r="AY14" s="169" t="s">
        <v>241</v>
      </c>
      <c r="AZ14" s="169" t="s">
        <v>242</v>
      </c>
      <c r="BA14" s="169" t="s">
        <v>253</v>
      </c>
      <c r="BB14" s="169" t="s">
        <v>268</v>
      </c>
      <c r="BC14" s="169" t="s">
        <v>269</v>
      </c>
      <c r="BD14" s="169" t="s">
        <v>113</v>
      </c>
      <c r="BE14" s="169" t="s">
        <v>235</v>
      </c>
      <c r="BF14" s="169" t="s">
        <v>240</v>
      </c>
      <c r="BG14" s="169" t="s">
        <v>243</v>
      </c>
      <c r="BH14" s="169" t="s">
        <v>244</v>
      </c>
      <c r="BI14" s="212" t="s">
        <v>230</v>
      </c>
    </row>
    <row r="15" spans="1:61" ht="12.75" customHeight="1" x14ac:dyDescent="0.3">
      <c r="A15" s="159">
        <f>Design!$D$13</f>
        <v>85</v>
      </c>
      <c r="B15" s="349">
        <v>0.25</v>
      </c>
      <c r="C15" s="350">
        <f ca="1">FORECAST(B15, OFFSET(Design!$C$15:$C$17,MATCH(B15,Design!$B$15:$B$17,1)-1,0,2), OFFSET(Design!$B$15:$B$17,MATCH(B15,Design!$B$15:$B$17,1)-1,0,2))+(N15-25)*Design!$B$18/1000</f>
        <v>0.27849097247068239</v>
      </c>
      <c r="D15" s="164">
        <f ca="1">IF(100*(Design!$C$29+C15+B15*IF(ISBLANK(Design!$B$43),Constants!$C$6,Design!$B$43)/1000*(1+Constants!$C$36/100*(O15-25)))/($C$2+C15-B15*P15/1000)&gt;Design!$C$36,Design!$C$36,100*(Design!$C$29+C15+B15*IF(ISBLANK(Design!$B$43),Constants!$C$6,Design!$B$43)/1000*(1+Constants!$C$36/100*(O15-25)))/($C$2+C15-B15*P15/1000))</f>
        <v>64.2473584454508</v>
      </c>
      <c r="E15" s="163">
        <f ca="1">IF(($C$2-B15*IF(ISBLANK(Design!$B$43),Constants!$C$6,Design!$B$43)/1000*(1+Constants!$C$36/100*(O15-25))-Design!$C$29) / (IF(ISBLANK(Design!$B$42),Design!$B$40,Design!$B$42)/1000000) * D15/100/(IF(ISBLANK(Design!$B$33),Design!$B$32,Design!$B$33)*1000000)&lt;0,0,($C$2-B15*IF(ISBLANK(Design!$B$43),Constants!$C$6,Design!$B$43)/1000*(1+Constants!$C$36/100*(O15-25))-Design!$C$29) / (IF(ISBLANK(Design!$B$42),Design!$B$40,Design!$B$42)/1000000) * D15/100/(IF(ISBLANK(Design!$B$33),Design!$B$32,Design!$B$33)*1000000))</f>
        <v>0.27704838833798917</v>
      </c>
      <c r="F15" s="163">
        <f>$C$2*Constants!$C$21/1000+IF(ISBLANK(Design!$B$33),Design!$B$32,Design!$B$33)*1000000*Constants!$D$25/1000000000*($C$2-Constants!$C$24)</f>
        <v>6.4950000000000008E-2</v>
      </c>
      <c r="G15" s="163">
        <f>$C$2*B15*($C$2/(Constants!$C$26*1000000000)*IF(ISBLANK(Design!$B$33),Design!$B$32,Design!$B$33)*1000000/2+$C$2/(Constants!$C$27*1000000000)*IF(ISBLANK(Design!$B$33),Design!$B$32,Design!$B$33)*1000000/2)</f>
        <v>4.1680365296803655E-2</v>
      </c>
      <c r="H15" s="163">
        <f t="shared" ref="H15:H18" ca="1" si="39">IF($D$78,1,D15/100*(B15^2+E15^2/12)*P15/1000)</f>
        <v>7.8777206223560742E-3</v>
      </c>
      <c r="I15" s="163">
        <f>Constants!$D$25/1000000000*Constants!$C$24*IF(ISBLANK(Design!$B$33),Design!$B$32,Design!$B$33)*1000000</f>
        <v>6.8250000000000005E-2</v>
      </c>
      <c r="J15" s="163">
        <f t="shared" ref="J15:J18" ca="1" si="40">SUM(F15:I15)</f>
        <v>0.18275808591915976</v>
      </c>
      <c r="K15" s="163">
        <f t="shared" ref="K15:K18" ca="1" si="41">B15*C15*(1-D15/100)</f>
        <v>2.4891969787305342E-2</v>
      </c>
      <c r="L15" s="163">
        <f ca="1">B15^2*IF(ISBLANK(Design!$B$43),Constants!$C$6,Design!$B$43)/1000*(1+(O15-25)*(Constants!$C$36/100))</f>
        <v>3.1505503386012957E-3</v>
      </c>
      <c r="M15" s="163">
        <f>0.5*Snubber!$B$16/1000000000000*$C$2^2*Design!$B$33*1000000</f>
        <v>2.2175999999999998E-2</v>
      </c>
      <c r="N15" s="164">
        <f ca="1">$A15+K15*Design!$B$19</f>
        <v>86.244598489365274</v>
      </c>
      <c r="O15" s="164">
        <f ca="1">J15*Design!$C$12+A15</f>
        <v>91.213774921251428</v>
      </c>
      <c r="P15" s="164">
        <f ca="1">Constants!$D$22+Constants!$D$22*Constants!$C$23/100*(O15-25)</f>
        <v>177.97101993700113</v>
      </c>
      <c r="Q15" s="163">
        <f ca="1">(1-Constants!$C$20/1000000000*Design!$B$33*1000000) * ($C$2+C15-B15*P15/1000) - (C15+B15*Design!$B$43/1000)</f>
        <v>6.4757385631944215</v>
      </c>
      <c r="R15" s="163">
        <f ca="1">IF(Q15&gt;Design!$C$29,Design!$C$29,Q15)</f>
        <v>4.99903317535545</v>
      </c>
      <c r="S15" s="163">
        <f t="shared" ref="S15:S18" ca="1" si="42">SUM(J15:M15)</f>
        <v>0.2329766060450664</v>
      </c>
      <c r="T15" s="163">
        <f t="shared" ref="T15:T18" ca="1" si="43">R15*B15</f>
        <v>1.2497582938388625</v>
      </c>
      <c r="U15" s="351">
        <f t="shared" ref="U15:U18" ca="1" si="44">100*T15/(T15+S15)</f>
        <v>84.287372876749288</v>
      </c>
      <c r="V15" s="358">
        <v>0.25</v>
      </c>
      <c r="W15" s="359">
        <f ca="1">FORECAST(V15, OFFSET(Design!$C$15:$C$17,MATCH(V15,Design!$B$15:$B$17,1)-1,0,2), OFFSET(Design!$B$15:$B$17,MATCH(V15,Design!$B$15:$B$17,1)-1,0,2))+(AH15-25)*Design!$B$18/1000</f>
        <v>0.27783705276035925</v>
      </c>
      <c r="X15" s="180">
        <f ca="1">IF(100*(Design!$C$29+W15+V15*IF(ISBLANK(Design!$B$43),Constants!$C$6,Design!$B$43)/1000*(1+Constants!$C$36/100*(AI15-25)))/($W$2+W15-V15*AJ15/1000)&gt;Design!$C$36,Design!$C$36,100*(Design!$C$29+W15+V15*IF(ISBLANK(Design!$B$43),Constants!$C$6,Design!$B$43)/1000*(1+Constants!$C$36/100*(AI15-25)))/($W$2+W15-V15*AJ15/1000))</f>
        <v>43.242244309867878</v>
      </c>
      <c r="Y15" s="179">
        <f ca="1">($W$2-V15*IF(ISBLANK(Design!$B$43),Constants!$C$6,Design!$B$43)/1000*(1+Constants!$C$36/100*(AI15-25))-Design!$C$29) / (IF(ISBLANK(Design!$B$42),Design!$B$40,Design!$B$42)/1000000) * X15/100/(IF(ISBLANK(Design!$B$33),Design!$B$32,Design!$B$33)*1000000)</f>
        <v>0.43605456333670545</v>
      </c>
      <c r="Z15" s="179">
        <f>$W$2*Constants!$C$21/1000+IF(ISBLANK(Design!$B$33),Design!$B$32,Design!$B$33)*1000000*Constants!$D$25/1000000000*($W$2-Constants!$C$24)</f>
        <v>0.13155</v>
      </c>
      <c r="AA15" s="179">
        <f>$W$2*V15*($W$2/(Constants!$C$26*1000000000)*IF(ISBLANK(Design!$B$33),Design!$B$32,Design!$B$33)*1000000/2+$W$2/(Constants!$C$27*1000000000)*IF(ISBLANK(Design!$B$33),Design!$B$32,Design!$B$33)*1000000/2)</f>
        <v>9.3780821917808219E-2</v>
      </c>
      <c r="AB15" s="179">
        <f t="shared" ref="AB15:AB18" ca="1" si="45">IF($D$78,1,X15/100*(V15^2+Y15^2/12)*AJ15/1000)</f>
        <v>6.137126650833157E-3</v>
      </c>
      <c r="AC15" s="179">
        <f>Constants!$D$25/1000000000*Constants!$C$24*IF(ISBLANK(Design!$B$33),Design!$B$32,Design!$B$33)*1000000</f>
        <v>6.8250000000000005E-2</v>
      </c>
      <c r="AD15" s="179">
        <f t="shared" ref="AD15:AD18" ca="1" si="46">SUM(Z15:AC15)</f>
        <v>0.29971794856864142</v>
      </c>
      <c r="AE15" s="179">
        <f t="shared" ref="AE15:AE18" ca="1" si="47">V15*W15*(1-X15/100)</f>
        <v>3.9423518905597053E-2</v>
      </c>
      <c r="AF15" s="179">
        <f ca="1">V15^2*IF(ISBLANK(Design!$B$43),Constants!$C$6,Design!$B$43)/1000*(1+(AI15-25)*(Constants!$C$36/100))</f>
        <v>3.1896207807193548E-3</v>
      </c>
      <c r="AG15" s="179">
        <f>0.5*Snubber!$B$16/1000000000000*$W$2^2*Design!$B$33*1000000</f>
        <v>4.9895999999999996E-2</v>
      </c>
      <c r="AH15" s="180">
        <f ca="1">$A15+AE15*Design!$B$19</f>
        <v>86.971175945279853</v>
      </c>
      <c r="AI15" s="180">
        <f ca="1">AD15*Design!$C$12+$A15</f>
        <v>95.190410251333816</v>
      </c>
      <c r="AJ15" s="180">
        <f ca="1">Constants!$D$22+Constants!$D$22*Constants!$C$23/100*(AI15-25)</f>
        <v>181.15232820106706</v>
      </c>
      <c r="AK15" s="179">
        <f ca="1">(1-Constants!$C$20/1000000000*Design!$B$33*1000000) * ($W$2+W15-V15*AJ15/1000) - (W15+V15*Design!$B$43/1000)</f>
        <v>9.7612019266779821</v>
      </c>
      <c r="AL15" s="179">
        <f ca="1">IF(AK15&gt;Design!$C$29,Design!$C$29,AK15)</f>
        <v>4.99903317535545</v>
      </c>
      <c r="AM15" s="179">
        <f t="shared" ref="AM15:AM18" ca="1" si="48">SUM(AD15:AG15)</f>
        <v>0.39222708825495783</v>
      </c>
      <c r="AN15" s="179">
        <f t="shared" ref="AN15:AN18" ca="1" si="49">AL15*V15</f>
        <v>1.2497582938388625</v>
      </c>
      <c r="AO15" s="360">
        <f t="shared" ref="AO15:AO18" ca="1" si="50">100*AN15/(AN15+AM15)</f>
        <v>76.112632150549402</v>
      </c>
      <c r="AP15" s="367">
        <v>0.25</v>
      </c>
      <c r="AQ15" s="368">
        <f ca="1">FORECAST(AP15, OFFSET(Design!$C$15:$C$17,MATCH(AP15,Design!$B$15:$B$17,1)-1,0,2), OFFSET(Design!$B$15:$B$17,MATCH(AP15,Design!$B$15:$B$17,1)-1,0,2))+(BB15-25)*Design!$B$18/1000</f>
        <v>0.27750654977046268</v>
      </c>
      <c r="AR15" s="193">
        <f ca="1">IF(100*(Design!$C$29+AQ15+AP15*IF(ISBLANK(Design!$B$43),Constants!$C$6,Design!$B$43)/1000*(1+Constants!$C$36/100*(BC15-25)))/($AQ$2+AQ15-AP15*BD15/1000)&gt;Design!$C$36,Design!$C$36,100*(Design!$C$29+AQ15+AP15*IF(ISBLANK(Design!$B$43),Constants!$C$6,Design!$B$43)/1000*(1+Constants!$C$36/100*(BC15-25)))/($AQ$2+AQ15-AP15*BD15/1000))</f>
        <v>32.588214828267652</v>
      </c>
      <c r="AS15" s="192">
        <f ca="1">($AQ$2-AP15*IF(ISBLANK(Design!$B$43),Constants!$C$6,Design!$B$43)/1000*(1+Constants!$C$36/100*(BC15-25))-Design!$C$29) / (IF(ISBLANK(Design!$B$42),Design!$B$40,Design!$B$42)/1000000) * AR15/100/(IF(ISBLANK(Design!$B$33),Design!$B$32,Design!$B$33)*1000000)</f>
        <v>0.51671004711556157</v>
      </c>
      <c r="AT15" s="192">
        <f>$AQ$2*Constants!$C$21/1000+IF(ISBLANK(Design!$B$33),Design!$B$32,Design!$B$33)*1000000*Constants!$D$25/1000000000*($AQ$2-Constants!$C$24)</f>
        <v>0.19814999999999999</v>
      </c>
      <c r="AU15" s="192">
        <f>$AQ$2*AP15*($AQ$2/(Constants!$C$26*1000000000)*IF(ISBLANK(Design!$B$33),Design!$B$32,Design!$B$33)*1000000/2+$AQ$2/(Constants!$C$27*1000000000)*IF(ISBLANK(Design!$B$33),Design!$B$32,Design!$B$33)*1000000/2)</f>
        <v>0.16672146118721462</v>
      </c>
      <c r="AV15" s="192">
        <f t="shared" ref="AV15:AV18" ca="1" si="51">IF($D$78,1,AR15/100*(AP15^2+AS15^2/12)*BD15/1000)</f>
        <v>5.1071563655085798E-3</v>
      </c>
      <c r="AW15" s="192">
        <f>Constants!$D$25/1000000000*Constants!$C$24*IF(ISBLANK(Design!$B$33),Design!$B$32,Design!$B$33)*1000000</f>
        <v>6.8250000000000005E-2</v>
      </c>
      <c r="AX15" s="192">
        <f t="shared" ref="AX15:AX18" ca="1" si="52">SUM(AT15:AW15)</f>
        <v>0.43822861755272313</v>
      </c>
      <c r="AY15" s="192">
        <f t="shared" ref="AY15:AY18" ca="1" si="53">AP15*AQ15*(1-AR15/100)</f>
        <v>4.67680297921877E-2</v>
      </c>
      <c r="AZ15" s="192">
        <f ca="1">AP15^2*IF(ISBLANK(Design!$B$43),Constants!$C$6,Design!$B$43)/1000*(1+(BC15-25)*(Constants!$C$36/100))</f>
        <v>3.2358902696934871E-3</v>
      </c>
      <c r="BA15" s="192">
        <f>0.5*Snubber!$B$16/1000000000000*$AQ$2^2*Design!$B$33*1000000</f>
        <v>8.8703999999999991E-2</v>
      </c>
      <c r="BB15" s="193">
        <f ca="1">$A15+AY15*Design!$B$19</f>
        <v>87.338401489609382</v>
      </c>
      <c r="BC15" s="193">
        <f ca="1">AX15*Design!$C$12+$A15</f>
        <v>99.899772996792592</v>
      </c>
      <c r="BD15" s="193">
        <f ca="1">Constants!$D$22+Constants!$D$22*Constants!$C$23/100*(BC15-25)</f>
        <v>184.91981839743408</v>
      </c>
      <c r="BE15" s="192">
        <f ca="1">(1-Constants!$C$20/1000000000*Design!$B$33*1000000) * ($AQ$2+AQ15-AP15*BD15/1000) - (AQ15+AP15*Design!$B$43/1000)</f>
        <v>13.046487173162598</v>
      </c>
      <c r="BF15" s="192">
        <f ca="1">IF(BE15&gt;Design!$C$29,Design!$C$29,BE15)</f>
        <v>4.99903317535545</v>
      </c>
      <c r="BG15" s="192">
        <f t="shared" ref="BG15:BG18" ca="1" si="54">SUM(AX15:BA15)</f>
        <v>0.57693653761460428</v>
      </c>
      <c r="BH15" s="192">
        <f t="shared" ref="BH15:BH18" ca="1" si="55">BF15*AP15</f>
        <v>1.2497582938388625</v>
      </c>
      <c r="BI15" s="369">
        <f t="shared" ref="BI15:BI18" ca="1" si="56">100*BH15/(BH15+BG15)</f>
        <v>68.416369955153002</v>
      </c>
    </row>
    <row r="16" spans="1:61" ht="12.75" customHeight="1" x14ac:dyDescent="0.3">
      <c r="A16" s="112">
        <f>Design!$D$13</f>
        <v>85</v>
      </c>
      <c r="B16" s="352">
        <f>B15+0.25</f>
        <v>0.5</v>
      </c>
      <c r="C16" s="353">
        <f ca="1">FORECAST(B16, OFFSET(Design!$C$15:$C$17,MATCH(B16,Design!$B$15:$B$17,1)-1,0,2), OFFSET(Design!$B$15:$B$17,MATCH(B16,Design!$B$15:$B$17,1)-1,0,2))+(N16-25)*Design!$B$18/1000</f>
        <v>0.29532975056039618</v>
      </c>
      <c r="D16" s="166">
        <f ca="1">IF(100*(Design!$C$29+C16+B16*IF(ISBLANK(Design!$B$43),Constants!$C$6,Design!$B$43)/1000*(1+Constants!$C$36/100*(O16-25)))/($C$2+C16-B16*P16/1000)&gt;Design!$C$36,Design!$C$36,100*(Design!$C$29+C16+B16*IF(ISBLANK(Design!$B$43),Constants!$C$6,Design!$B$43)/1000*(1+Constants!$C$36/100*(O16-25)))/($C$2+C16-B16*P16/1000))</f>
        <v>64.831535644687534</v>
      </c>
      <c r="E16" s="165">
        <f ca="1">IF(($C$2-B16*IF(ISBLANK(Design!$B$43),Constants!$C$6,Design!$B$43)/1000*(1+Constants!$C$36/100*(O16-25))-Design!$C$29) / (IF(ISBLANK(Design!$B$42),Design!$B$40,Design!$B$42)/1000000) * D16/100/(IF(ISBLANK(Design!$B$33),Design!$B$32,Design!$B$33)*1000000)&lt;0,0,($C$2-B16*IF(ISBLANK(Design!$B$43),Constants!$C$6,Design!$B$43)/1000*(1+Constants!$C$36/100*(O16-25))-Design!$C$29) / (IF(ISBLANK(Design!$B$42),Design!$B$40,Design!$B$42)/1000000) * D16/100/(IF(ISBLANK(Design!$B$33),Design!$B$32,Design!$B$33)*1000000))</f>
        <v>0.27837260377336209</v>
      </c>
      <c r="F16" s="165">
        <f>$C$2*Constants!$C$21/1000+IF(ISBLANK(Design!$B$33),Design!$B$32,Design!$B$33)*1000000*Constants!$D$25/1000000000*($C$2-Constants!$C$24)</f>
        <v>6.4950000000000008E-2</v>
      </c>
      <c r="G16" s="165">
        <f>$C$2*B16*($C$2/(Constants!$C$26*1000000000)*IF(ISBLANK(Design!$B$33),Design!$B$32,Design!$B$33)*1000000/2+$C$2/(Constants!$C$27*1000000000)*IF(ISBLANK(Design!$B$33),Design!$B$32,Design!$B$33)*1000000/2)</f>
        <v>8.336073059360731E-2</v>
      </c>
      <c r="H16" s="165">
        <f t="shared" ca="1" si="39"/>
        <v>2.9878416349434157E-2</v>
      </c>
      <c r="I16" s="165">
        <f>Constants!$D$25/1000000000*Constants!$C$24*IF(ISBLANK(Design!$B$33),Design!$B$32,Design!$B$33)*1000000</f>
        <v>6.8250000000000005E-2</v>
      </c>
      <c r="J16" s="165">
        <f t="shared" ca="1" si="40"/>
        <v>0.2464391469430415</v>
      </c>
      <c r="K16" s="165">
        <f t="shared" ca="1" si="41"/>
        <v>5.1931469028233077E-2</v>
      </c>
      <c r="L16" s="165">
        <f ca="1">B16^2*IF(ISBLANK(Design!$B$43),Constants!$C$6,Design!$B$43)/1000*(1+(O16-25)*(Constants!$C$36/100))</f>
        <v>1.2687291988145293E-2</v>
      </c>
      <c r="M16" s="165">
        <f>0.5*Snubber!$B$16/1000000000000*$C$2^2*Design!$B$33*1000000</f>
        <v>2.2175999999999998E-2</v>
      </c>
      <c r="N16" s="166">
        <f ca="1">$A16+K16*Design!$B$19</f>
        <v>87.596573451411658</v>
      </c>
      <c r="O16" s="166">
        <f ca="1">J16*Design!$C$12+A16</f>
        <v>93.378930996063417</v>
      </c>
      <c r="P16" s="166">
        <f ca="1">Constants!$D$22+Constants!$D$22*Constants!$C$23/100*(O16-25)</f>
        <v>179.70314479685072</v>
      </c>
      <c r="Q16" s="165">
        <f ca="1">(1-Constants!$C$20/1000000000*Design!$B$33*1000000) * ($C$2+C16-B16*P16/1000) - (C16+B16*Design!$B$43/1000)</f>
        <v>6.4254705727996635</v>
      </c>
      <c r="R16" s="165">
        <f ca="1">IF(Q16&gt;Design!$C$29,Design!$C$29,Q16)</f>
        <v>4.99903317535545</v>
      </c>
      <c r="S16" s="165">
        <f t="shared" ca="1" si="42"/>
        <v>0.33323390795941982</v>
      </c>
      <c r="T16" s="165">
        <f t="shared" ca="1" si="43"/>
        <v>2.499516587677725</v>
      </c>
      <c r="U16" s="354">
        <f t="shared" ca="1" si="44"/>
        <v>88.23638338524168</v>
      </c>
      <c r="V16" s="361">
        <f>V15+0.25</f>
        <v>0.5</v>
      </c>
      <c r="W16" s="362">
        <f ca="1">FORECAST(V16, OFFSET(Design!$C$15:$C$17,MATCH(V16,Design!$B$15:$B$17,1)-1,0,2), OFFSET(Design!$B$15:$B$17,MATCH(V16,Design!$B$15:$B$17,1)-1,0,2))+(AH16-25)*Design!$B$18/1000</f>
        <v>0.29393594675724843</v>
      </c>
      <c r="X16" s="184">
        <f ca="1">IF(100*(Design!$C$29+W16+V16*IF(ISBLANK(Design!$B$43),Constants!$C$6,Design!$B$43)/1000*(1+Constants!$C$36/100*(AI16-25)))/($W$2+W16-V16*AJ16/1000)&gt;Design!$C$36,Design!$C$36,100*(Design!$C$29+W16+V16*IF(ISBLANK(Design!$B$43),Constants!$C$6,Design!$B$43)/1000*(1+Constants!$C$36/100*(AI16-25)))/($W$2+W16-V16*AJ16/1000))</f>
        <v>43.589827790318061</v>
      </c>
      <c r="Y16" s="183">
        <f ca="1">($W$2-V16*IF(ISBLANK(Design!$B$43),Constants!$C$6,Design!$B$43)/1000*(1+Constants!$C$36/100*(AI16-25))-Design!$C$29) / (IF(ISBLANK(Design!$B$42),Design!$B$40,Design!$B$42)/1000000) * X16/100/(IF(ISBLANK(Design!$B$33),Design!$B$32,Design!$B$33)*1000000)</f>
        <v>0.43873876089660652</v>
      </c>
      <c r="Z16" s="183">
        <f>$W$2*Constants!$C$21/1000+IF(ISBLANK(Design!$B$33),Design!$B$32,Design!$B$33)*1000000*Constants!$D$25/1000000000*($W$2-Constants!$C$24)</f>
        <v>0.13155</v>
      </c>
      <c r="AA16" s="183">
        <f>$W$2*V16*($W$2/(Constants!$C$26*1000000000)*IF(ISBLANK(Design!$B$33),Design!$B$32,Design!$B$33)*1000000/2+$W$2/(Constants!$C$27*1000000000)*IF(ISBLANK(Design!$B$33),Design!$B$32,Design!$B$33)*1000000/2)</f>
        <v>0.18756164383561644</v>
      </c>
      <c r="AB16" s="183">
        <f t="shared" ca="1" si="45"/>
        <v>2.1351459426730158E-2</v>
      </c>
      <c r="AC16" s="183">
        <f>Constants!$D$25/1000000000*Constants!$C$24*IF(ISBLANK(Design!$B$33),Design!$B$32,Design!$B$33)*1000000</f>
        <v>6.8250000000000005E-2</v>
      </c>
      <c r="AD16" s="183">
        <f t="shared" ca="1" si="46"/>
        <v>0.40871310326234656</v>
      </c>
      <c r="AE16" s="183">
        <f t="shared" ca="1" si="47"/>
        <v>8.2904886875961425E-2</v>
      </c>
      <c r="AF16" s="183">
        <f ca="1">V16^2*IF(ISBLANK(Design!$B$43),Constants!$C$6,Design!$B$43)/1000*(1+(AI16-25)*(Constants!$C$36/100))</f>
        <v>1.2904122448579148E-2</v>
      </c>
      <c r="AG16" s="183">
        <f>0.5*Snubber!$B$16/1000000000000*$W$2^2*Design!$B$33*1000000</f>
        <v>4.9895999999999996E-2</v>
      </c>
      <c r="AH16" s="184">
        <f ca="1">$A16+AE16*Design!$B$19</f>
        <v>89.145244343798069</v>
      </c>
      <c r="AI16" s="184">
        <f ca="1">AD16*Design!$C$12+$A16</f>
        <v>98.896245510919783</v>
      </c>
      <c r="AJ16" s="184">
        <f ca="1">Constants!$D$22+Constants!$D$22*Constants!$C$23/100*(AI16-25)</f>
        <v>184.11699640873582</v>
      </c>
      <c r="AK16" s="183">
        <f ca="1">(1-Constants!$C$20/1000000000*Design!$B$33*1000000) * ($W$2+W16-V16*AJ16/1000) - (W16+V16*Design!$B$43/1000)</f>
        <v>9.7099063772289433</v>
      </c>
      <c r="AL16" s="183">
        <f ca="1">IF(AK16&gt;Design!$C$29,Design!$C$29,AK16)</f>
        <v>4.99903317535545</v>
      </c>
      <c r="AM16" s="183">
        <f t="shared" ca="1" si="48"/>
        <v>0.55441811258688722</v>
      </c>
      <c r="AN16" s="183">
        <f t="shared" ca="1" si="49"/>
        <v>2.499516587677725</v>
      </c>
      <c r="AO16" s="363">
        <f t="shared" ca="1" si="50"/>
        <v>81.845777103916163</v>
      </c>
      <c r="AP16" s="370">
        <f>AP15+0.25</f>
        <v>0.5</v>
      </c>
      <c r="AQ16" s="371">
        <f ca="1">FORECAST(AP16, OFFSET(Design!$C$15:$C$17,MATCH(AP16,Design!$B$15:$B$17,1)-1,0,2), OFFSET(Design!$B$15:$B$17,MATCH(AP16,Design!$B$15:$B$17,1)-1,0,2))+(BB16-25)*Design!$B$18/1000</f>
        <v>0.29323522096733762</v>
      </c>
      <c r="AR16" s="196">
        <f ca="1">IF(100*(Design!$C$29+AQ16+AP16*IF(ISBLANK(Design!$B$43),Constants!$C$6,Design!$B$43)/1000*(1+Constants!$C$36/100*(BC16-25)))/($AQ$2+AQ16-AP16*BD16/1000)&gt;Design!$C$36,Design!$C$36,100*(Design!$C$29+AQ16+AP16*IF(ISBLANK(Design!$B$43),Constants!$C$6,Design!$B$43)/1000*(1+Constants!$C$36/100*(BC16-25)))/($AQ$2+AQ16-AP16*BD16/1000))</f>
        <v>32.834418204373854</v>
      </c>
      <c r="AS16" s="195">
        <f ca="1">($AQ$2-AP16*IF(ISBLANK(Design!$B$43),Constants!$C$6,Design!$B$43)/1000*(1+Constants!$C$36/100*(BC16-25))-Design!$C$29) / (IF(ISBLANK(Design!$B$42),Design!$B$40,Design!$B$42)/1000000) * AR16/100/(IF(ISBLANK(Design!$B$33),Design!$B$32,Design!$B$33)*1000000)</f>
        <v>0.51997790120393239</v>
      </c>
      <c r="AT16" s="195">
        <f>$AQ$2*Constants!$C$21/1000+IF(ISBLANK(Design!$B$33),Design!$B$32,Design!$B$33)*1000000*Constants!$D$25/1000000000*($AQ$2-Constants!$C$24)</f>
        <v>0.19814999999999999</v>
      </c>
      <c r="AU16" s="195">
        <f>$AQ$2*AP16*($AQ$2/(Constants!$C$26*1000000000)*IF(ISBLANK(Design!$B$33),Design!$B$32,Design!$B$33)*1000000/2+$AQ$2/(Constants!$C$27*1000000000)*IF(ISBLANK(Design!$B$33),Design!$B$32,Design!$B$33)*1000000/2)</f>
        <v>0.33344292237442924</v>
      </c>
      <c r="AV16" s="195">
        <f t="shared" ca="1" si="51"/>
        <v>1.6982082384558166E-2</v>
      </c>
      <c r="AW16" s="195">
        <f>Constants!$D$25/1000000000*Constants!$C$24*IF(ISBLANK(Design!$B$33),Design!$B$32,Design!$B$33)*1000000</f>
        <v>6.8250000000000005E-2</v>
      </c>
      <c r="AX16" s="195">
        <f t="shared" ca="1" si="52"/>
        <v>0.61682500475898738</v>
      </c>
      <c r="AY16" s="195">
        <f t="shared" ca="1" si="53"/>
        <v>9.8476571096201115E-2</v>
      </c>
      <c r="AZ16" s="195">
        <f ca="1">AP16^2*IF(ISBLANK(Design!$B$43),Constants!$C$6,Design!$B$43)/1000*(1+(BC16-25)*(Constants!$C$36/100))</f>
        <v>1.3182201571358961E-2</v>
      </c>
      <c r="BA16" s="195">
        <f>0.5*Snubber!$B$16/1000000000000*$AQ$2^2*Design!$B$33*1000000</f>
        <v>8.8703999999999991E-2</v>
      </c>
      <c r="BB16" s="196">
        <f ca="1">$A16+AY16*Design!$B$19</f>
        <v>89.923828554810058</v>
      </c>
      <c r="BC16" s="196">
        <f ca="1">AX16*Design!$C$12+$A16</f>
        <v>105.97205016180557</v>
      </c>
      <c r="BD16" s="196">
        <f ca="1">Constants!$D$22+Constants!$D$22*Constants!$C$23/100*(BC16-25)</f>
        <v>189.77764012944448</v>
      </c>
      <c r="BE16" s="195">
        <f ca="1">(1-Constants!$C$20/1000000000*Design!$B$33*1000000) * ($AQ$2+AQ16-AP16*BD16/1000) - (AQ16+AP16*Design!$B$43/1000)</f>
        <v>12.993706347374161</v>
      </c>
      <c r="BF16" s="195">
        <f ca="1">IF(BE16&gt;Design!$C$29,Design!$C$29,BE16)</f>
        <v>4.99903317535545</v>
      </c>
      <c r="BG16" s="195">
        <f t="shared" ca="1" si="54"/>
        <v>0.81718777742654747</v>
      </c>
      <c r="BH16" s="195">
        <f t="shared" ca="1" si="55"/>
        <v>2.499516587677725</v>
      </c>
      <c r="BI16" s="372">
        <f t="shared" ca="1" si="56"/>
        <v>75.361452590579134</v>
      </c>
    </row>
    <row r="17" spans="1:61" ht="12.75" customHeight="1" x14ac:dyDescent="0.3">
      <c r="A17" s="112">
        <f>Design!$D$13</f>
        <v>85</v>
      </c>
      <c r="B17" s="352">
        <f t="shared" ref="B17:B24" si="57">B16+0.25</f>
        <v>0.75</v>
      </c>
      <c r="C17" s="353">
        <f ca="1">FORECAST(B17, OFFSET(Design!$C$15:$C$17,MATCH(B17,Design!$B$15:$B$17,1)-1,0,2), OFFSET(Design!$B$15:$B$17,MATCH(B17,Design!$B$15:$B$17,1)-1,0,2))+(N17-25)*Design!$B$18/1000</f>
        <v>0.31208124199798615</v>
      </c>
      <c r="D17" s="166">
        <f ca="1">IF(100*(Design!$C$29+C17+B17*IF(ISBLANK(Design!$B$43),Constants!$C$6,Design!$B$43)/1000*(1+Constants!$C$36/100*(O17-25)))/($C$2+C17-B17*P17/1000)&gt;Design!$C$36,Design!$C$36,100*(Design!$C$29+C17+B17*IF(ISBLANK(Design!$B$43),Constants!$C$6,Design!$B$43)/1000*(1+Constants!$C$36/100*(O17-25)))/($C$2+C17-B17*P17/1000))</f>
        <v>65.431791144429994</v>
      </c>
      <c r="E17" s="165">
        <f ca="1">IF(($C$2-B17*IF(ISBLANK(Design!$B$43),Constants!$C$6,Design!$B$43)/1000*(1+Constants!$C$36/100*(O17-25))-Design!$C$29) / (IF(ISBLANK(Design!$B$42),Design!$B$40,Design!$B$42)/1000000) * D17/100/(IF(ISBLANK(Design!$B$33),Design!$B$32,Design!$B$33)*1000000)&lt;0,0,($C$2-B17*IF(ISBLANK(Design!$B$43),Constants!$C$6,Design!$B$43)/1000*(1+Constants!$C$36/100*(O17-25))-Design!$C$29) / (IF(ISBLANK(Design!$B$42),Design!$B$40,Design!$B$42)/1000000) * D17/100/(IF(ISBLANK(Design!$B$33),Design!$B$32,Design!$B$33)*1000000))</f>
        <v>0.27972196534400579</v>
      </c>
      <c r="F17" s="165">
        <f>$C$2*Constants!$C$21/1000+IF(ISBLANK(Design!$B$33),Design!$B$32,Design!$B$33)*1000000*Constants!$D$25/1000000000*($C$2-Constants!$C$24)</f>
        <v>6.4950000000000008E-2</v>
      </c>
      <c r="G17" s="165">
        <f>$C$2*B17*($C$2/(Constants!$C$26*1000000000)*IF(ISBLANK(Design!$B$33),Design!$B$32,Design!$B$33)*1000000/2+$C$2/(Constants!$C$27*1000000000)*IF(ISBLANK(Design!$B$33),Design!$B$32,Design!$B$33)*1000000/2)</f>
        <v>0.12504109589041096</v>
      </c>
      <c r="H17" s="165">
        <f t="shared" ca="1" si="39"/>
        <v>6.7712363994368155E-2</v>
      </c>
      <c r="I17" s="165">
        <f>Constants!$D$25/1000000000*Constants!$C$24*IF(ISBLANK(Design!$B$33),Design!$B$32,Design!$B$33)*1000000</f>
        <v>6.8250000000000005E-2</v>
      </c>
      <c r="J17" s="165">
        <f t="shared" ca="1" si="40"/>
        <v>0.32595345988477908</v>
      </c>
      <c r="K17" s="165">
        <f t="shared" ca="1" si="41"/>
        <v>8.0910671649690527E-2</v>
      </c>
      <c r="L17" s="165">
        <f ca="1">B17^2*IF(ISBLANK(Design!$B$43),Constants!$C$6,Design!$B$43)/1000*(1+(O17-25)*(Constants!$C$36/100))</f>
        <v>2.878546277947059E-2</v>
      </c>
      <c r="M17" s="165">
        <f>0.5*Snubber!$B$16/1000000000000*$C$2^2*Design!$B$33*1000000</f>
        <v>2.2175999999999998E-2</v>
      </c>
      <c r="N17" s="166">
        <f ca="1">$A17+K17*Design!$B$19</f>
        <v>89.045533582484524</v>
      </c>
      <c r="O17" s="166">
        <f ca="1">J17*Design!$C$12+A17</f>
        <v>96.082417636082482</v>
      </c>
      <c r="P17" s="166">
        <f ca="1">Constants!$D$22+Constants!$D$22*Constants!$C$23/100*(O17-25)</f>
        <v>181.86593410886599</v>
      </c>
      <c r="Q17" s="165">
        <f ca="1">(1-Constants!$C$20/1000000000*Design!$B$33*1000000) * ($C$2+C17-B17*P17/1000) - (C17+B17*Design!$B$43/1000)</f>
        <v>6.3742413496505348</v>
      </c>
      <c r="R17" s="165">
        <f ca="1">IF(Q17&gt;Design!$C$29,Design!$C$29,Q17)</f>
        <v>4.99903317535545</v>
      </c>
      <c r="S17" s="165">
        <f t="shared" ca="1" si="42"/>
        <v>0.45782559431394015</v>
      </c>
      <c r="T17" s="165">
        <f t="shared" ca="1" si="43"/>
        <v>3.7492748815165875</v>
      </c>
      <c r="U17" s="354">
        <f t="shared" ca="1" si="44"/>
        <v>89.117787964796335</v>
      </c>
      <c r="V17" s="361">
        <f t="shared" ref="V17:V24" si="58">V16+0.25</f>
        <v>0.75</v>
      </c>
      <c r="W17" s="362">
        <f ca="1">FORECAST(V17, OFFSET(Design!$C$15:$C$17,MATCH(V17,Design!$B$15:$B$17,1)-1,0,2), OFFSET(Design!$B$15:$B$17,MATCH(V17,Design!$B$15:$B$17,1)-1,0,2))+(AH17-25)*Design!$B$18/1000</f>
        <v>0.30986034906909649</v>
      </c>
      <c r="X17" s="184">
        <f ca="1">IF(100*(Design!$C$29+W17+V17*IF(ISBLANK(Design!$B$43),Constants!$C$6,Design!$B$43)/1000*(1+Constants!$C$36/100*(AI17-25)))/($W$2+W17-V17*AJ17/1000)&gt;Design!$C$36,Design!$C$36,100*(Design!$C$29+W17+V17*IF(ISBLANK(Design!$B$43),Constants!$C$6,Design!$B$43)/1000*(1+Constants!$C$36/100*(AI17-25)))/($W$2+W17-V17*AJ17/1000))</f>
        <v>43.947287549123004</v>
      </c>
      <c r="Y17" s="183">
        <f ca="1">($W$2-V17*IF(ISBLANK(Design!$B$43),Constants!$C$6,Design!$B$43)/1000*(1+Constants!$C$36/100*(AI17-25))-Design!$C$29) / (IF(ISBLANK(Design!$B$42),Design!$B$40,Design!$B$42)/1000000) * X17/100/(IF(ISBLANK(Design!$B$33),Design!$B$32,Design!$B$33)*1000000)</f>
        <v>0.44148779644188507</v>
      </c>
      <c r="Z17" s="183">
        <f>$W$2*Constants!$C$21/1000+IF(ISBLANK(Design!$B$33),Design!$B$32,Design!$B$33)*1000000*Constants!$D$25/1000000000*($W$2-Constants!$C$24)</f>
        <v>0.13155</v>
      </c>
      <c r="AA17" s="183">
        <f>$W$2*V17*($W$2/(Constants!$C$26*1000000000)*IF(ISBLANK(Design!$B$33),Design!$B$32,Design!$B$33)*1000000/2+$W$2/(Constants!$C$27*1000000000)*IF(ISBLANK(Design!$B$33),Design!$B$32,Design!$B$33)*1000000/2)</f>
        <v>0.28134246575342464</v>
      </c>
      <c r="AB17" s="183">
        <f t="shared" ca="1" si="45"/>
        <v>4.7659412449640573E-2</v>
      </c>
      <c r="AC17" s="183">
        <f>Constants!$D$25/1000000000*Constants!$C$24*IF(ISBLANK(Design!$B$33),Design!$B$32,Design!$B$33)*1000000</f>
        <v>6.8250000000000005E-2</v>
      </c>
      <c r="AD17" s="183">
        <f t="shared" ca="1" si="46"/>
        <v>0.52880187820306523</v>
      </c>
      <c r="AE17" s="183">
        <f t="shared" ca="1" si="47"/>
        <v>0.13026384784723827</v>
      </c>
      <c r="AF17" s="183">
        <f ca="1">V17^2*IF(ISBLANK(Design!$B$43),Constants!$C$6,Design!$B$43)/1000*(1+(AI17-25)*(Constants!$C$36/100))</f>
        <v>2.9395316406723607E-2</v>
      </c>
      <c r="AG17" s="183">
        <f>0.5*Snubber!$B$16/1000000000000*$W$2^2*Design!$B$33*1000000</f>
        <v>4.9895999999999996E-2</v>
      </c>
      <c r="AH17" s="184">
        <f ca="1">$A17+AE17*Design!$B$19</f>
        <v>91.513192392361915</v>
      </c>
      <c r="AI17" s="184">
        <f ca="1">AD17*Design!$C$12+$A17</f>
        <v>102.97926385890422</v>
      </c>
      <c r="AJ17" s="184">
        <f ca="1">Constants!$D$22+Constants!$D$22*Constants!$C$23/100*(AI17-25)</f>
        <v>187.38341108712336</v>
      </c>
      <c r="AK17" s="183">
        <f ca="1">(1-Constants!$C$20/1000000000*Design!$B$33*1000000) * ($W$2+W17-V17*AJ17/1000) - (W17+V17*Design!$B$43/1000)</f>
        <v>9.6572383235351111</v>
      </c>
      <c r="AL17" s="183">
        <f ca="1">IF(AK17&gt;Design!$C$29,Design!$C$29,AK17)</f>
        <v>4.99903317535545</v>
      </c>
      <c r="AM17" s="183">
        <f t="shared" ca="1" si="48"/>
        <v>0.73835704245702716</v>
      </c>
      <c r="AN17" s="183">
        <f t="shared" ca="1" si="49"/>
        <v>3.7492748815165875</v>
      </c>
      <c r="AO17" s="363">
        <f t="shared" ca="1" si="50"/>
        <v>83.546844862373604</v>
      </c>
      <c r="AP17" s="370">
        <f t="shared" ref="AP17:AP24" si="59">AP16+0.25</f>
        <v>0.75</v>
      </c>
      <c r="AQ17" s="371">
        <f ca="1">FORECAST(AP17, OFFSET(Design!$C$15:$C$17,MATCH(AP17,Design!$B$15:$B$17,1)-1,0,2), OFFSET(Design!$B$15:$B$17,MATCH(AP17,Design!$B$15:$B$17,1)-1,0,2))+(BB17-25)*Design!$B$18/1000</f>
        <v>0.30874991537510071</v>
      </c>
      <c r="AR17" s="196">
        <f ca="1">IF(100*(Design!$C$29+AQ17+AP17*IF(ISBLANK(Design!$B$43),Constants!$C$6,Design!$B$43)/1000*(1+Constants!$C$36/100*(BC17-25)))/($AQ$2+AQ17-AP17*BD17/1000)&gt;Design!$C$36,Design!$C$36,100*(Design!$C$29+AQ17+AP17*IF(ISBLANK(Design!$B$43),Constants!$C$6,Design!$B$43)/1000*(1+Constants!$C$36/100*(BC17-25)))/($AQ$2+AQ17-AP17*BD17/1000))</f>
        <v>33.089254682593435</v>
      </c>
      <c r="AS17" s="195">
        <f ca="1">($AQ$2-AP17*IF(ISBLANK(Design!$B$43),Constants!$C$6,Design!$B$43)/1000*(1+Constants!$C$36/100*(BC17-25))-Design!$C$29) / (IF(ISBLANK(Design!$B$42),Design!$B$40,Design!$B$42)/1000000) * AR17/100/(IF(ISBLANK(Design!$B$33),Design!$B$32,Design!$B$33)*1000000)</f>
        <v>0.52334827891096314</v>
      </c>
      <c r="AT17" s="195">
        <f>$AQ$2*Constants!$C$21/1000+IF(ISBLANK(Design!$B$33),Design!$B$32,Design!$B$33)*1000000*Constants!$D$25/1000000000*($AQ$2-Constants!$C$24)</f>
        <v>0.19814999999999999</v>
      </c>
      <c r="AU17" s="195">
        <f>$AQ$2*AP17*($AQ$2/(Constants!$C$26*1000000000)*IF(ISBLANK(Design!$B$33),Design!$B$32,Design!$B$33)*1000000/2+$AQ$2/(Constants!$C$27*1000000000)*IF(ISBLANK(Design!$B$33),Design!$B$32,Design!$B$33)*1000000/2)</f>
        <v>0.50016438356164383</v>
      </c>
      <c r="AV17" s="195">
        <f t="shared" ca="1" si="51"/>
        <v>3.7743714555269078E-2</v>
      </c>
      <c r="AW17" s="195">
        <f>Constants!$D$25/1000000000*Constants!$C$24*IF(ISBLANK(Design!$B$33),Design!$B$32,Design!$B$33)*1000000</f>
        <v>6.8250000000000005E-2</v>
      </c>
      <c r="AX17" s="195">
        <f t="shared" ca="1" si="52"/>
        <v>0.80430809811691295</v>
      </c>
      <c r="AY17" s="195">
        <f t="shared" ca="1" si="53"/>
        <v>0.15494015215825646</v>
      </c>
      <c r="AZ17" s="195">
        <f ca="1">AP17^2*IF(ISBLANK(Design!$B$43),Constants!$C$6,Design!$B$43)/1000*(1+(BC17-25)*(Constants!$C$36/100))</f>
        <v>3.0223612081583591E-2</v>
      </c>
      <c r="BA17" s="195">
        <f>0.5*Snubber!$B$16/1000000000000*$AQ$2^2*Design!$B$33*1000000</f>
        <v>8.8703999999999991E-2</v>
      </c>
      <c r="BB17" s="196">
        <f ca="1">$A17+AY17*Design!$B$19</f>
        <v>92.747007607912821</v>
      </c>
      <c r="BC17" s="196">
        <f ca="1">AX17*Design!$C$12+$A17</f>
        <v>112.34647533597504</v>
      </c>
      <c r="BD17" s="196">
        <f ca="1">Constants!$D$22+Constants!$D$22*Constants!$C$23/100*(BC17-25)</f>
        <v>194.87718026878002</v>
      </c>
      <c r="BE17" s="195">
        <f ca="1">(1-Constants!$C$20/1000000000*Design!$B$33*1000000) * ($AQ$2+AQ17-AP17*BD17/1000) - (AQ17+AP17*Design!$B$43/1000)</f>
        <v>12.938819437412441</v>
      </c>
      <c r="BF17" s="195">
        <f ca="1">IF(BE17&gt;Design!$C$29,Design!$C$29,BE17)</f>
        <v>4.99903317535545</v>
      </c>
      <c r="BG17" s="195">
        <f t="shared" ca="1" si="54"/>
        <v>1.078175862356753</v>
      </c>
      <c r="BH17" s="195">
        <f t="shared" ca="1" si="55"/>
        <v>3.7492748815165875</v>
      </c>
      <c r="BI17" s="372">
        <f t="shared" ca="1" si="56"/>
        <v>77.665730432877069</v>
      </c>
    </row>
    <row r="18" spans="1:61" ht="12.75" customHeight="1" x14ac:dyDescent="0.3">
      <c r="A18" s="112">
        <f>Design!$D$13</f>
        <v>85</v>
      </c>
      <c r="B18" s="352">
        <f t="shared" si="57"/>
        <v>1</v>
      </c>
      <c r="C18" s="353">
        <f ca="1">FORECAST(B18, OFFSET(Design!$C$15:$C$17,MATCH(B18,Design!$B$15:$B$17,1)-1,0,2), OFFSET(Design!$B$15:$B$17,MATCH(B18,Design!$B$15:$B$17,1)-1,0,2))+(N18-25)*Design!$B$18/1000</f>
        <v>0.32875556854144805</v>
      </c>
      <c r="D18" s="166">
        <f ca="1">IF(100*(Design!$C$29+C18+B18*IF(ISBLANK(Design!$B$43),Constants!$C$6,Design!$B$43)/1000*(1+Constants!$C$36/100*(O18-25)))/($C$2+C18-B18*P18/1000)&gt;Design!$C$36,Design!$C$36,100*(Design!$C$29+C18+B18*IF(ISBLANK(Design!$B$43),Constants!$C$6,Design!$B$43)/1000*(1+Constants!$C$36/100*(O18-25)))/($C$2+C18-B18*P18/1000))</f>
        <v>66.052392605436282</v>
      </c>
      <c r="E18" s="165">
        <f ca="1">IF(($C$2-B18*IF(ISBLANK(Design!$B$43),Constants!$C$6,Design!$B$43)/1000*(1+Constants!$C$36/100*(O18-25))-Design!$C$29) / (IF(ISBLANK(Design!$B$42),Design!$B$40,Design!$B$42)/1000000) * D18/100/(IF(ISBLANK(Design!$B$33),Design!$B$32,Design!$B$33)*1000000)&lt;0,0,($C$2-B18*IF(ISBLANK(Design!$B$43),Constants!$C$6,Design!$B$43)/1000*(1+Constants!$C$36/100*(O18-25))-Design!$C$29) / (IF(ISBLANK(Design!$B$42),Design!$B$40,Design!$B$42)/1000000) * D18/100/(IF(ISBLANK(Design!$B$33),Design!$B$32,Design!$B$33)*1000000))</f>
        <v>0.28110641889621163</v>
      </c>
      <c r="F18" s="165">
        <f>$C$2*Constants!$C$21/1000+IF(ISBLANK(Design!$B$33),Design!$B$32,Design!$B$33)*1000000*Constants!$D$25/1000000000*($C$2-Constants!$C$24)</f>
        <v>6.4950000000000008E-2</v>
      </c>
      <c r="G18" s="165">
        <f>$C$2*B18*($C$2/(Constants!$C$26*1000000000)*IF(ISBLANK(Design!$B$33),Design!$B$32,Design!$B$33)*1000000/2+$C$2/(Constants!$C$27*1000000000)*IF(ISBLANK(Design!$B$33),Design!$B$32,Design!$B$33)*1000000/2)</f>
        <v>0.16672146118721462</v>
      </c>
      <c r="H18" s="165">
        <f t="shared" ca="1" si="39"/>
        <v>0.12266541681895402</v>
      </c>
      <c r="I18" s="165">
        <f>Constants!$D$25/1000000000*Constants!$C$24*IF(ISBLANK(Design!$B$33),Design!$B$32,Design!$B$33)*1000000</f>
        <v>6.8250000000000005E-2</v>
      </c>
      <c r="J18" s="165">
        <f t="shared" ca="1" si="40"/>
        <v>0.42258687800616868</v>
      </c>
      <c r="K18" s="165">
        <f t="shared" ca="1" si="41"/>
        <v>0.11160464969621661</v>
      </c>
      <c r="L18" s="165">
        <f ca="1">B18^2*IF(ISBLANK(Design!$B$43),Constants!$C$6,Design!$B$43)/1000*(1+(O18-25)*(Constants!$C$36/100))</f>
        <v>5.1690642345567375E-2</v>
      </c>
      <c r="M18" s="165">
        <f>0.5*Snubber!$B$16/1000000000000*$C$2^2*Design!$B$33*1000000</f>
        <v>2.2175999999999998E-2</v>
      </c>
      <c r="N18" s="166">
        <f ca="1">$A18+K18*Design!$B$19</f>
        <v>90.580232484810836</v>
      </c>
      <c r="O18" s="166">
        <f ca="1">J18*Design!$C$12+A18</f>
        <v>99.367953852209737</v>
      </c>
      <c r="P18" s="166">
        <f ca="1">Constants!$D$22+Constants!$D$22*Constants!$C$23/100*(O18-25)</f>
        <v>184.4943630817678</v>
      </c>
      <c r="Q18" s="165">
        <f ca="1">(1-Constants!$C$20/1000000000*Design!$B$33*1000000) * ($C$2+C18-B18*P18/1000) - (C18+B18*Design!$B$43/1000)</f>
        <v>6.3217550117436794</v>
      </c>
      <c r="R18" s="165">
        <f ca="1">IF(Q18&gt;Design!$C$29,Design!$C$29,Q18)</f>
        <v>4.99903317535545</v>
      </c>
      <c r="S18" s="165">
        <f t="shared" ca="1" si="42"/>
        <v>0.60805817004795271</v>
      </c>
      <c r="T18" s="165">
        <f t="shared" ca="1" si="43"/>
        <v>4.99903317535545</v>
      </c>
      <c r="U18" s="354">
        <f t="shared" ca="1" si="44"/>
        <v>89.155550844620564</v>
      </c>
      <c r="V18" s="361">
        <f t="shared" si="58"/>
        <v>1</v>
      </c>
      <c r="W18" s="362">
        <f ca="1">FORECAST(V18, OFFSET(Design!$C$15:$C$17,MATCH(V18,Design!$B$15:$B$17,1)-1,0,2), OFFSET(Design!$B$15:$B$17,MATCH(V18,Design!$B$15:$B$17,1)-1,0,2))+(AH18-25)*Design!$B$18/1000</f>
        <v>0.32561852879942454</v>
      </c>
      <c r="X18" s="184">
        <f ca="1">IF(100*(Design!$C$29+W18+V18*IF(ISBLANK(Design!$B$43),Constants!$C$6,Design!$B$43)/1000*(1+Constants!$C$36/100*(AI18-25)))/($W$2+W18-V18*AJ18/1000)&gt;Design!$C$36,Design!$C$36,100*(Design!$C$29+W18+V18*IF(ISBLANK(Design!$B$43),Constants!$C$6,Design!$B$43)/1000*(1+Constants!$C$36/100*(AI18-25)))/($W$2+W18-V18*AJ18/1000))</f>
        <v>44.316238811123199</v>
      </c>
      <c r="Y18" s="183">
        <f ca="1">($W$2-V18*IF(ISBLANK(Design!$B$43),Constants!$C$6,Design!$B$43)/1000*(1+Constants!$C$36/100*(AI18-25))-Design!$C$29) / (IF(ISBLANK(Design!$B$42),Design!$B$40,Design!$B$42)/1000000) * X18/100/(IF(ISBLANK(Design!$B$33),Design!$B$32,Design!$B$33)*1000000)</f>
        <v>0.44431359866090636</v>
      </c>
      <c r="Z18" s="183">
        <f>$W$2*Constants!$C$21/1000+IF(ISBLANK(Design!$B$33),Design!$B$32,Design!$B$33)*1000000*Constants!$D$25/1000000000*($W$2-Constants!$C$24)</f>
        <v>0.13155</v>
      </c>
      <c r="AA18" s="183">
        <f>$W$2*V18*($W$2/(Constants!$C$26*1000000000)*IF(ISBLANK(Design!$B$33),Design!$B$32,Design!$B$33)*1000000/2+$W$2/(Constants!$C$27*1000000000)*IF(ISBLANK(Design!$B$33),Design!$B$32,Design!$B$33)*1000000/2)</f>
        <v>0.37512328767123287</v>
      </c>
      <c r="AB18" s="183">
        <f t="shared" ca="1" si="45"/>
        <v>8.6026528707303498E-2</v>
      </c>
      <c r="AC18" s="183">
        <f>Constants!$D$25/1000000000*Constants!$C$24*IF(ISBLANK(Design!$B$33),Design!$B$32,Design!$B$33)*1000000</f>
        <v>6.8250000000000005E-2</v>
      </c>
      <c r="AD18" s="183">
        <f t="shared" ca="1" si="46"/>
        <v>0.66094981637853645</v>
      </c>
      <c r="AE18" s="183">
        <f t="shared" ca="1" si="47"/>
        <v>0.1813166439634056</v>
      </c>
      <c r="AF18" s="183">
        <f ca="1">V18^2*IF(ISBLANK(Design!$B$43),Constants!$C$6,Design!$B$43)/1000*(1+(AI18-25)*(Constants!$C$36/100))</f>
        <v>5.2964644578580009E-2</v>
      </c>
      <c r="AG18" s="183">
        <f>0.5*Snubber!$B$16/1000000000000*$W$2^2*Design!$B$33*1000000</f>
        <v>4.9895999999999996E-2</v>
      </c>
      <c r="AH18" s="184">
        <f ca="1">$A18+AE18*Design!$B$19</f>
        <v>94.065832198170284</v>
      </c>
      <c r="AI18" s="184">
        <f ca="1">AD18*Design!$C$12+$A18</f>
        <v>107.47229375687024</v>
      </c>
      <c r="AJ18" s="184">
        <f ca="1">Constants!$D$22+Constants!$D$22*Constants!$C$23/100*(AI18-25)</f>
        <v>190.97783500549622</v>
      </c>
      <c r="AK18" s="183">
        <f ca="1">(1-Constants!$C$20/1000000000*Design!$B$33*1000000) * ($W$2+W18-V18*AJ18/1000) - (W18+V18*Design!$B$43/1000)</f>
        <v>9.6029888011522875</v>
      </c>
      <c r="AL18" s="183">
        <f ca="1">IF(AK18&gt;Design!$C$29,Design!$C$29,AK18)</f>
        <v>4.99903317535545</v>
      </c>
      <c r="AM18" s="183">
        <f t="shared" ca="1" si="48"/>
        <v>0.9451271049205221</v>
      </c>
      <c r="AN18" s="183">
        <f t="shared" ca="1" si="49"/>
        <v>4.99903317535545</v>
      </c>
      <c r="AO18" s="363">
        <f t="shared" ca="1" si="50"/>
        <v>84.099905447424405</v>
      </c>
      <c r="AP18" s="370">
        <f t="shared" si="59"/>
        <v>1</v>
      </c>
      <c r="AQ18" s="371">
        <f ca="1">FORECAST(AP18, OFFSET(Design!$C$15:$C$17,MATCH(AP18,Design!$B$15:$B$17,1)-1,0,2), OFFSET(Design!$B$15:$B$17,MATCH(AP18,Design!$B$15:$B$17,1)-1,0,2))+(BB18-25)*Design!$B$18/1000</f>
        <v>0.32405896853860811</v>
      </c>
      <c r="AR18" s="196">
        <f ca="1">IF(100*(Design!$C$29+AQ18+AP18*IF(ISBLANK(Design!$B$43),Constants!$C$6,Design!$B$43)/1000*(1+Constants!$C$36/100*(BC18-25)))/($AQ$2+AQ18-AP18*BD18/1000)&gt;Design!$C$36,Design!$C$36,100*(Design!$C$29+AQ18+AP18*IF(ISBLANK(Design!$B$43),Constants!$C$6,Design!$B$43)/1000*(1+Constants!$C$36/100*(BC18-25)))/($AQ$2+AQ18-AP18*BD18/1000))</f>
        <v>33.353630167318236</v>
      </c>
      <c r="AS18" s="195">
        <f ca="1">($AQ$2-AP18*IF(ISBLANK(Design!$B$43),Constants!$C$6,Design!$B$43)/1000*(1+Constants!$C$36/100*(BC18-25))-Design!$C$29) / (IF(ISBLANK(Design!$B$42),Design!$B$40,Design!$B$42)/1000000) * AR18/100/(IF(ISBLANK(Design!$B$33),Design!$B$32,Design!$B$33)*1000000)</f>
        <v>0.52683244611282398</v>
      </c>
      <c r="AT18" s="195">
        <f>$AQ$2*Constants!$C$21/1000+IF(ISBLANK(Design!$B$33),Design!$B$32,Design!$B$33)*1000000*Constants!$D$25/1000000000*($AQ$2-Constants!$C$24)</f>
        <v>0.19814999999999999</v>
      </c>
      <c r="AU18" s="195">
        <f>$AQ$2*AP18*($AQ$2/(Constants!$C$26*1000000000)*IF(ISBLANK(Design!$B$33),Design!$B$32,Design!$B$33)*1000000/2+$AQ$2/(Constants!$C$27*1000000000)*IF(ISBLANK(Design!$B$33),Design!$B$32,Design!$B$33)*1000000/2)</f>
        <v>0.66688584474885848</v>
      </c>
      <c r="AV18" s="195">
        <f t="shared" ca="1" si="51"/>
        <v>6.8333437534245714E-2</v>
      </c>
      <c r="AW18" s="195">
        <f>Constants!$D$25/1000000000*Constants!$C$24*IF(ISBLANK(Design!$B$33),Design!$B$32,Design!$B$33)*1000000</f>
        <v>6.8250000000000005E-2</v>
      </c>
      <c r="AX18" s="195">
        <f t="shared" ca="1" si="52"/>
        <v>1.001619282283104</v>
      </c>
      <c r="AY18" s="195">
        <f t="shared" ca="1" si="53"/>
        <v>0.21597353864821459</v>
      </c>
      <c r="AZ18" s="195">
        <f ca="1">AP18^2*IF(ISBLANK(Design!$B$43),Constants!$C$6,Design!$B$43)/1000*(1+(BC18-25)*(Constants!$C$36/100))</f>
        <v>5.4785454739946733E-2</v>
      </c>
      <c r="BA18" s="195">
        <f>0.5*Snubber!$B$16/1000000000000*$AQ$2^2*Design!$B$33*1000000</f>
        <v>8.8703999999999991E-2</v>
      </c>
      <c r="BB18" s="196">
        <f ca="1">$A18+AY18*Design!$B$19</f>
        <v>95.798676932410729</v>
      </c>
      <c r="BC18" s="196">
        <f ca="1">AX18*Design!$C$12+$A18</f>
        <v>119.05505559762554</v>
      </c>
      <c r="BD18" s="196">
        <f ca="1">Constants!$D$22+Constants!$D$22*Constants!$C$23/100*(BC18-25)</f>
        <v>200.24404447810042</v>
      </c>
      <c r="BE18" s="195">
        <f ca="1">(1-Constants!$C$20/1000000000*Design!$B$33*1000000) * ($AQ$2+AQ18-AP18*BD18/1000) - (AQ18+AP18*Design!$B$43/1000)</f>
        <v>12.881654991577099</v>
      </c>
      <c r="BF18" s="195">
        <f ca="1">IF(BE18&gt;Design!$C$29,Design!$C$29,BE18)</f>
        <v>4.99903317535545</v>
      </c>
      <c r="BG18" s="195">
        <f t="shared" ca="1" si="54"/>
        <v>1.3610822756712653</v>
      </c>
      <c r="BH18" s="195">
        <f t="shared" ca="1" si="55"/>
        <v>4.99903317535545</v>
      </c>
      <c r="BI18" s="372">
        <f t="shared" ca="1" si="56"/>
        <v>78.599723760493291</v>
      </c>
    </row>
    <row r="19" spans="1:61" ht="12.75" customHeight="1" x14ac:dyDescent="0.3">
      <c r="A19" s="112">
        <f>Design!$D$13</f>
        <v>85</v>
      </c>
      <c r="B19" s="352">
        <f t="shared" si="57"/>
        <v>1.25</v>
      </c>
      <c r="C19" s="353">
        <f ca="1">FORECAST(B19, OFFSET(Design!$C$15:$C$17,MATCH(B19,Design!$B$15:$B$17,1)-1,0,2), OFFSET(Design!$B$15:$B$17,MATCH(B19,Design!$B$15:$B$17,1)-1,0,2))+(N19-25)*Design!$B$18/1000</f>
        <v>0.34536390657959559</v>
      </c>
      <c r="D19" s="166">
        <f ca="1">IF(100*(Design!$C$29+C19+B19*IF(ISBLANK(Design!$B$43),Constants!$C$6,Design!$B$43)/1000*(1+Constants!$C$36/100*(O19-25)))/($C$2+C19-B19*P19/1000)&gt;Design!$C$36,Design!$C$36,100*(Design!$C$29+C19+B19*IF(ISBLANK(Design!$B$43),Constants!$C$6,Design!$B$43)/1000*(1+Constants!$C$36/100*(O19-25)))/($C$2+C19-B19*P19/1000))</f>
        <v>66.698306051546197</v>
      </c>
      <c r="E19" s="165">
        <f ca="1">IF(($C$2-B19*IF(ISBLANK(Design!$B$43),Constants!$C$6,Design!$B$43)/1000*(1+Constants!$C$36/100*(O19-25))-Design!$C$29) / (IF(ISBLANK(Design!$B$42),Design!$B$40,Design!$B$42)/1000000) * D19/100/(IF(ISBLANK(Design!$B$33),Design!$B$32,Design!$B$33)*1000000)&lt;0,0,($C$2-B19*IF(ISBLANK(Design!$B$43),Constants!$C$6,Design!$B$43)/1000*(1+Constants!$C$36/100*(O19-25))-Design!$C$29) / (IF(ISBLANK(Design!$B$42),Design!$B$40,Design!$B$42)/1000000) * D19/100/(IF(ISBLANK(Design!$B$33),Design!$B$32,Design!$B$33)*1000000))</f>
        <v>0.2825373538254613</v>
      </c>
      <c r="F19" s="165">
        <f>$C$2*Constants!$C$21/1000+IF(ISBLANK(Design!$B$33),Design!$B$32,Design!$B$33)*1000000*Constants!$D$25/1000000000*($C$2-Constants!$C$24)</f>
        <v>6.4950000000000008E-2</v>
      </c>
      <c r="G19" s="165">
        <f>$C$2*B19*($C$2/(Constants!$C$26*1000000000)*IF(ISBLANK(Design!$B$33),Design!$B$32,Design!$B$33)*1000000/2+$C$2/(Constants!$C$27*1000000000)*IF(ISBLANK(Design!$B$33),Design!$B$32,Design!$B$33)*1000000/2)</f>
        <v>0.20840182648401828</v>
      </c>
      <c r="H19" s="165">
        <f t="shared" ref="H19:H24" ca="1" si="60">IF($D$78,1,D19/100*(B19^2+E19^2/12)*P19/1000)</f>
        <v>0.19637632667809138</v>
      </c>
      <c r="I19" s="165">
        <f>Constants!$D$25/1000000000*Constants!$C$24*IF(ISBLANK(Design!$B$33),Design!$B$32,Design!$B$33)*1000000</f>
        <v>6.8250000000000005E-2</v>
      </c>
      <c r="J19" s="165">
        <f t="shared" ref="J19:J24" ca="1" si="61">SUM(F19:I19)</f>
        <v>0.53797815316210973</v>
      </c>
      <c r="K19" s="165">
        <f t="shared" ref="K19:K24" ca="1" si="62">B19*C19*(1-D19/100)</f>
        <v>0.14376503897195106</v>
      </c>
      <c r="L19" s="165">
        <f ca="1">B19^2*IF(ISBLANK(Design!$B$43),Constants!$C$6,Design!$B$43)/1000*(1+(O19-25)*(Constants!$C$36/100))</f>
        <v>8.1730290051595073E-2</v>
      </c>
      <c r="M19" s="165">
        <f>0.5*Snubber!$B$16/1000000000000*$C$2^2*Design!$B$33*1000000</f>
        <v>2.2175999999999998E-2</v>
      </c>
      <c r="N19" s="166">
        <f ca="1">$A19+K19*Design!$B$19</f>
        <v>92.188251948597554</v>
      </c>
      <c r="O19" s="166">
        <f ca="1">J19*Design!$C$12+A19</f>
        <v>103.29125720751173</v>
      </c>
      <c r="P19" s="166">
        <f ca="1">Constants!$D$22+Constants!$D$22*Constants!$C$23/100*(O19-25)</f>
        <v>187.63300576600938</v>
      </c>
      <c r="Q19" s="165">
        <f ca="1">(1-Constants!$C$20/1000000000*Design!$B$33*1000000) * ($C$2+C19-B19*P19/1000) - (C19+B19*Design!$B$43/1000)</f>
        <v>6.2676768998795707</v>
      </c>
      <c r="R19" s="165">
        <f ca="1">IF(Q19&gt;Design!$C$29,Design!$C$29,Q19)</f>
        <v>4.99903317535545</v>
      </c>
      <c r="S19" s="165">
        <f t="shared" ref="S19:S24" ca="1" si="63">SUM(J19:M19)</f>
        <v>0.78564948218565578</v>
      </c>
      <c r="T19" s="165">
        <f t="shared" ref="T19:T24" ca="1" si="64">R19*B19</f>
        <v>6.2487914691943125</v>
      </c>
      <c r="U19" s="354">
        <f t="shared" ref="U19:U24" ca="1" si="65">100*T19/(T19+S19)</f>
        <v>88.831387062371562</v>
      </c>
      <c r="V19" s="361">
        <f t="shared" si="58"/>
        <v>1.25</v>
      </c>
      <c r="W19" s="362">
        <f ca="1">FORECAST(V19, OFFSET(Design!$C$15:$C$17,MATCH(V19,Design!$B$15:$B$17,1)-1,0,2), OFFSET(Design!$B$15:$B$17,MATCH(V19,Design!$B$15:$B$17,1)-1,0,2))+(AH19-25)*Design!$B$18/1000</f>
        <v>0.34121900727227056</v>
      </c>
      <c r="X19" s="184">
        <f ca="1">IF(100*(Design!$C$29+W19+V19*IF(ISBLANK(Design!$B$43),Constants!$C$6,Design!$B$43)/1000*(1+Constants!$C$36/100*(AI19-25)))/($W$2+W19-V19*AJ19/1000)&gt;Design!$C$36,Design!$C$36,100*(Design!$C$29+W19+V19*IF(ISBLANK(Design!$B$43),Constants!$C$6,Design!$B$43)/1000*(1+Constants!$C$36/100*(AI19-25)))/($W$2+W19-V19*AJ19/1000))</f>
        <v>44.698529110988055</v>
      </c>
      <c r="Y19" s="183">
        <f ca="1">($W$2-V19*IF(ISBLANK(Design!$B$43),Constants!$C$6,Design!$B$43)/1000*(1+Constants!$C$36/100*(AI19-25))-Design!$C$29) / (IF(ISBLANK(Design!$B$42),Design!$B$40,Design!$B$42)/1000000) * X19/100/(IF(ISBLANK(Design!$B$33),Design!$B$32,Design!$B$33)*1000000)</f>
        <v>0.44722974234317353</v>
      </c>
      <c r="Z19" s="183">
        <f>$W$2*Constants!$C$21/1000+IF(ISBLANK(Design!$B$33),Design!$B$32,Design!$B$33)*1000000*Constants!$D$25/1000000000*($W$2-Constants!$C$24)</f>
        <v>0.13155</v>
      </c>
      <c r="AA19" s="183">
        <f>$W$2*V19*($W$2/(Constants!$C$26*1000000000)*IF(ISBLANK(Design!$B$33),Design!$B$32,Design!$B$33)*1000000/2+$W$2/(Constants!$C$27*1000000000)*IF(ISBLANK(Design!$B$33),Design!$B$32,Design!$B$33)*1000000/2)</f>
        <v>0.46890410958904111</v>
      </c>
      <c r="AB19" s="183">
        <f t="shared" ref="AB19:AB24" ca="1" si="66">IF($D$78,1,X19/100*(V19^2+Y19^2/12)*AJ19/1000)</f>
        <v>0.13759517366213811</v>
      </c>
      <c r="AC19" s="183">
        <f>Constants!$D$25/1000000000*Constants!$C$24*IF(ISBLANK(Design!$B$33),Design!$B$32,Design!$B$33)*1000000</f>
        <v>6.8250000000000005E-2</v>
      </c>
      <c r="AD19" s="183">
        <f t="shared" ref="AD19:AD24" ca="1" si="67">SUM(Z19:AC19)</f>
        <v>0.80629928325117928</v>
      </c>
      <c r="AE19" s="183">
        <f t="shared" ref="AE19:AE24" ca="1" si="68">V19*W19*(1-X19/100)</f>
        <v>0.23587391246806277</v>
      </c>
      <c r="AF19" s="183">
        <f ca="1">V19^2*IF(ISBLANK(Design!$B$43),Constants!$C$6,Design!$B$43)/1000*(1+(AI19-25)*(Constants!$C$36/100))</f>
        <v>8.3971106889251412E-2</v>
      </c>
      <c r="AG19" s="183">
        <f>0.5*Snubber!$B$16/1000000000000*$W$2^2*Design!$B$33*1000000</f>
        <v>4.9895999999999996E-2</v>
      </c>
      <c r="AH19" s="184">
        <f ca="1">$A19+AE19*Design!$B$19</f>
        <v>96.793695623403138</v>
      </c>
      <c r="AI19" s="184">
        <f ca="1">AD19*Design!$C$12+$A19</f>
        <v>112.4141756305401</v>
      </c>
      <c r="AJ19" s="184">
        <f ca="1">Constants!$D$22+Constants!$D$22*Constants!$C$23/100*(AI19-25)</f>
        <v>194.93134050443209</v>
      </c>
      <c r="AK19" s="183">
        <f ca="1">(1-Constants!$C$20/1000000000*Design!$B$33*1000000) * ($W$2+W19-V19*AJ19/1000) - (W19+V19*Design!$B$43/1000)</f>
        <v>9.5469222869214097</v>
      </c>
      <c r="AL19" s="183">
        <f ca="1">IF(AK19&gt;Design!$C$29,Design!$C$29,AK19)</f>
        <v>4.99903317535545</v>
      </c>
      <c r="AM19" s="183">
        <f t="shared" ref="AM19:AM24" ca="1" si="69">SUM(AD19:AG19)</f>
        <v>1.1760403026084936</v>
      </c>
      <c r="AN19" s="183">
        <f t="shared" ref="AN19:AN24" ca="1" si="70">AL19*V19</f>
        <v>6.2487914691943125</v>
      </c>
      <c r="AO19" s="363">
        <f t="shared" ref="AO19:AO24" ca="1" si="71">100*AN19/(AN19+AM19)</f>
        <v>84.160714494909811</v>
      </c>
      <c r="AP19" s="370">
        <f t="shared" si="59"/>
        <v>1.25</v>
      </c>
      <c r="AQ19" s="371">
        <f ca="1">FORECAST(AP19, OFFSET(Design!$C$15:$C$17,MATCH(AP19,Design!$B$15:$B$17,1)-1,0,2), OFFSET(Design!$B$15:$B$17,MATCH(AP19,Design!$B$15:$B$17,1)-1,0,2))+(BB19-25)*Design!$B$18/1000</f>
        <v>0.33917075839808652</v>
      </c>
      <c r="AR19" s="196">
        <f ca="1">IF(100*(Design!$C$29+AQ19+AP19*IF(ISBLANK(Design!$B$43),Constants!$C$6,Design!$B$43)/1000*(1+Constants!$C$36/100*(BC19-25)))/($AQ$2+AQ19-AP19*BD19/1000)&gt;Design!$C$36,Design!$C$36,100*(Design!$C$29+AQ19+AP19*IF(ISBLANK(Design!$B$43),Constants!$C$6,Design!$B$43)/1000*(1+Constants!$C$36/100*(BC19-25)))/($AQ$2+AQ19-AP19*BD19/1000))</f>
        <v>33.628581556826987</v>
      </c>
      <c r="AS19" s="195">
        <f ca="1">($AQ$2-AP19*IF(ISBLANK(Design!$B$43),Constants!$C$6,Design!$B$43)/1000*(1+Constants!$C$36/100*(BC19-25))-Design!$C$29) / (IF(ISBLANK(Design!$B$42),Design!$B$40,Design!$B$42)/1000000) * AR19/100/(IF(ISBLANK(Design!$B$33),Design!$B$32,Design!$B$33)*1000000)</f>
        <v>0.53044326945610187</v>
      </c>
      <c r="AT19" s="195">
        <f>$AQ$2*Constants!$C$21/1000+IF(ISBLANK(Design!$B$33),Design!$B$32,Design!$B$33)*1000000*Constants!$D$25/1000000000*($AQ$2-Constants!$C$24)</f>
        <v>0.19814999999999999</v>
      </c>
      <c r="AU19" s="195">
        <f>$AQ$2*AP19*($AQ$2/(Constants!$C$26*1000000000)*IF(ISBLANK(Design!$B$33),Design!$B$32,Design!$B$33)*1000000/2+$AQ$2/(Constants!$C$27*1000000000)*IF(ISBLANK(Design!$B$33),Design!$B$32,Design!$B$33)*1000000/2)</f>
        <v>0.83360730593607313</v>
      </c>
      <c r="AV19" s="195">
        <f t="shared" ref="AV19:AV24" ca="1" si="72">IF($D$78,1,AR19/100*(AP19^2+AS19^2/12)*BD19/1000)</f>
        <v>0.10981683565011129</v>
      </c>
      <c r="AW19" s="195">
        <f>Constants!$D$25/1000000000*Constants!$C$24*IF(ISBLANK(Design!$B$33),Design!$B$32,Design!$B$33)*1000000</f>
        <v>6.8250000000000005E-2</v>
      </c>
      <c r="AX19" s="195">
        <f t="shared" ref="AX19:AX24" ca="1" si="73">SUM(AT19:AW19)</f>
        <v>1.2098241415861843</v>
      </c>
      <c r="AY19" s="195">
        <f t="shared" ref="AY19:AY24" ca="1" si="74">AP19*AQ19*(1-AR19/100)</f>
        <v>0.28139055411659675</v>
      </c>
      <c r="AZ19" s="195">
        <f ca="1">AP19^2*IF(ISBLANK(Design!$B$43),Constants!$C$6,Design!$B$43)/1000*(1+(BC19-25)*(Constants!$C$36/100))</f>
        <v>8.7341043862421627E-2</v>
      </c>
      <c r="BA19" s="195">
        <f>0.5*Snubber!$B$16/1000000000000*$AQ$2^2*Design!$B$33*1000000</f>
        <v>8.8703999999999991E-2</v>
      </c>
      <c r="BB19" s="196">
        <f ca="1">$A19+AY19*Design!$B$19</f>
        <v>99.069527705829842</v>
      </c>
      <c r="BC19" s="196">
        <f ca="1">AX19*Design!$C$12+$A19</f>
        <v>126.13402081393028</v>
      </c>
      <c r="BD19" s="196">
        <f ca="1">Constants!$D$22+Constants!$D$22*Constants!$C$23/100*(BC19-25)</f>
        <v>205.90721665114421</v>
      </c>
      <c r="BE19" s="195">
        <f ca="1">(1-Constants!$C$20/1000000000*Design!$B$33*1000000) * ($AQ$2+AQ19-AP19*BD19/1000) - (AQ19+AP19*Design!$B$43/1000)</f>
        <v>12.822017046527298</v>
      </c>
      <c r="BF19" s="195">
        <f ca="1">IF(BE19&gt;Design!$C$29,Design!$C$29,BE19)</f>
        <v>4.99903317535545</v>
      </c>
      <c r="BG19" s="195">
        <f t="shared" ref="BG19:BG24" ca="1" si="75">SUM(AX19:BA19)</f>
        <v>1.6672597395652025</v>
      </c>
      <c r="BH19" s="195">
        <f t="shared" ref="BH19:BH24" ca="1" si="76">BF19*AP19</f>
        <v>6.2487914691943125</v>
      </c>
      <c r="BI19" s="372">
        <f t="shared" ref="BI19:BI24" ca="1" si="77">100*BH19/(BH19+BG19)</f>
        <v>78.938239589452195</v>
      </c>
    </row>
    <row r="20" spans="1:61" ht="12.75" customHeight="1" x14ac:dyDescent="0.3">
      <c r="A20" s="112">
        <f>Design!$D$13</f>
        <v>85</v>
      </c>
      <c r="B20" s="352">
        <f t="shared" si="57"/>
        <v>1.5</v>
      </c>
      <c r="C20" s="353">
        <f ca="1">FORECAST(B20, OFFSET(Design!$C$15:$C$17,MATCH(B20,Design!$B$15:$B$17,1)-1,0,2), OFFSET(Design!$B$15:$B$17,MATCH(B20,Design!$B$15:$B$17,1)-1,0,2))+(N20-25)*Design!$B$18/1000</f>
        <v>0.36191885951800712</v>
      </c>
      <c r="D20" s="166">
        <f ca="1">IF(100*(Design!$C$29+C20+B20*IF(ISBLANK(Design!$B$43),Constants!$C$6,Design!$B$43)/1000*(1+Constants!$C$36/100*(O20-25)))/($C$2+C20-B20*P20/1000)&gt;Design!$C$36,Design!$C$36,100*(Design!$C$29+C20+B20*IF(ISBLANK(Design!$B$43),Constants!$C$6,Design!$B$43)/1000*(1+Constants!$C$36/100*(O20-25)))/($C$2+C20-B20*P20/1000))</f>
        <v>67.37541962983164</v>
      </c>
      <c r="E20" s="165">
        <f ca="1">IF(($C$2-B20*IF(ISBLANK(Design!$B$43),Constants!$C$6,Design!$B$43)/1000*(1+Constants!$C$36/100*(O20-25))-Design!$C$29) / (IF(ISBLANK(Design!$B$42),Design!$B$40,Design!$B$42)/1000000) * D20/100/(IF(ISBLANK(Design!$B$33),Design!$B$32,Design!$B$33)*1000000)&lt;0,0,($C$2-B20*IF(ISBLANK(Design!$B$43),Constants!$C$6,Design!$B$43)/1000*(1+Constants!$C$36/100*(O20-25))-Design!$C$29) / (IF(ISBLANK(Design!$B$42),Design!$B$40,Design!$B$42)/1000000) * D20/100/(IF(ISBLANK(Design!$B$33),Design!$B$32,Design!$B$33)*1000000))</f>
        <v>0.28402808790879186</v>
      </c>
      <c r="F20" s="165">
        <f>$C$2*Constants!$C$21/1000+IF(ISBLANK(Design!$B$33),Design!$B$32,Design!$B$33)*1000000*Constants!$D$25/1000000000*($C$2-Constants!$C$24)</f>
        <v>6.4950000000000008E-2</v>
      </c>
      <c r="G20" s="165">
        <f>$C$2*B20*($C$2/(Constants!$C$26*1000000000)*IF(ISBLANK(Design!$B$33),Design!$B$32,Design!$B$33)*1000000/2+$C$2/(Constants!$C$27*1000000000)*IF(ISBLANK(Design!$B$33),Design!$B$32,Design!$B$33)*1000000/2)</f>
        <v>0.25008219178082192</v>
      </c>
      <c r="H20" s="165">
        <f t="shared" ca="1" si="60"/>
        <v>0.29092559342283281</v>
      </c>
      <c r="I20" s="165">
        <f>Constants!$D$25/1000000000*Constants!$C$24*IF(ISBLANK(Design!$B$33),Design!$B$32,Design!$B$33)*1000000</f>
        <v>6.8250000000000005E-2</v>
      </c>
      <c r="J20" s="165">
        <f t="shared" ca="1" si="61"/>
        <v>0.67420778520365476</v>
      </c>
      <c r="K20" s="165">
        <f t="shared" ca="1" si="62"/>
        <v>0.17711176379737339</v>
      </c>
      <c r="L20" s="165">
        <f ca="1">B20^2*IF(ISBLANK(Design!$B$43),Constants!$C$6,Design!$B$43)/1000*(1+(O20-25)*(Constants!$C$36/100))</f>
        <v>0.1193298879833021</v>
      </c>
      <c r="M20" s="165">
        <f>0.5*Snubber!$B$16/1000000000000*$C$2^2*Design!$B$33*1000000</f>
        <v>2.2175999999999998E-2</v>
      </c>
      <c r="N20" s="166">
        <f ca="1">$A20+K20*Design!$B$19</f>
        <v>93.855588189868669</v>
      </c>
      <c r="O20" s="166">
        <f ca="1">J20*Design!$C$12+A20</f>
        <v>107.92306469692426</v>
      </c>
      <c r="P20" s="166">
        <f ca="1">Constants!$D$22+Constants!$D$22*Constants!$C$23/100*(O20-25)</f>
        <v>191.33845175753942</v>
      </c>
      <c r="Q20" s="165">
        <f ca="1">(1-Constants!$C$20/1000000000*Design!$B$33*1000000) * ($C$2+C20-B20*P20/1000) - (C20+B20*Design!$B$43/1000)</f>
        <v>6.2116206763978079</v>
      </c>
      <c r="R20" s="165">
        <f ca="1">IF(Q20&gt;Design!$C$29,Design!$C$29,Q20)</f>
        <v>4.99903317535545</v>
      </c>
      <c r="S20" s="165">
        <f t="shared" ca="1" si="63"/>
        <v>0.99282543698433023</v>
      </c>
      <c r="T20" s="165">
        <f t="shared" ca="1" si="64"/>
        <v>7.498549763033175</v>
      </c>
      <c r="U20" s="354">
        <f t="shared" ca="1" si="65"/>
        <v>88.307836909829604</v>
      </c>
      <c r="V20" s="361">
        <f t="shared" si="58"/>
        <v>1.5</v>
      </c>
      <c r="W20" s="362">
        <f ca="1">FORECAST(V20, OFFSET(Design!$C$15:$C$17,MATCH(V20,Design!$B$15:$B$17,1)-1,0,2), OFFSET(Design!$B$15:$B$17,MATCH(V20,Design!$B$15:$B$17,1)-1,0,2))+(AH20-25)*Design!$B$18/1000</f>
        <v>0.35667067315914225</v>
      </c>
      <c r="X20" s="184">
        <f ca="1">IF(100*(Design!$C$29+W20+V20*IF(ISBLANK(Design!$B$43),Constants!$C$6,Design!$B$43)/1000*(1+Constants!$C$36/100*(AI20-25)))/($W$2+W20-V20*AJ20/1000)&gt;Design!$C$36,Design!$C$36,100*(Design!$C$29+W20+V20*IF(ISBLANK(Design!$B$43),Constants!$C$6,Design!$B$43)/1000*(1+Constants!$C$36/100*(AI20-25)))/($W$2+W20-V20*AJ20/1000))</f>
        <v>45.096293876930439</v>
      </c>
      <c r="Y20" s="183">
        <f ca="1">($W$2-V20*IF(ISBLANK(Design!$B$43),Constants!$C$6,Design!$B$43)/1000*(1+Constants!$C$36/100*(AI20-25))-Design!$C$29) / (IF(ISBLANK(Design!$B$42),Design!$B$40,Design!$B$42)/1000000) * X20/100/(IF(ISBLANK(Design!$B$33),Design!$B$32,Design!$B$33)*1000000)</f>
        <v>0.45025184582114347</v>
      </c>
      <c r="Z20" s="183">
        <f>$W$2*Constants!$C$21/1000+IF(ISBLANK(Design!$B$33),Design!$B$32,Design!$B$33)*1000000*Constants!$D$25/1000000000*($W$2-Constants!$C$24)</f>
        <v>0.13155</v>
      </c>
      <c r="AA20" s="183">
        <f>$W$2*V20*($W$2/(Constants!$C$26*1000000000)*IF(ISBLANK(Design!$B$33),Design!$B$32,Design!$B$33)*1000000/2+$W$2/(Constants!$C$27*1000000000)*IF(ISBLANK(Design!$B$33),Design!$B$32,Design!$B$33)*1000000/2)</f>
        <v>0.56268493150684928</v>
      </c>
      <c r="AB20" s="183">
        <f t="shared" ca="1" si="66"/>
        <v>0.20372182322875937</v>
      </c>
      <c r="AC20" s="183">
        <f>Constants!$D$25/1000000000*Constants!$C$24*IF(ISBLANK(Design!$B$33),Design!$B$32,Design!$B$33)*1000000</f>
        <v>6.8250000000000005E-2</v>
      </c>
      <c r="AD20" s="183">
        <f t="shared" ca="1" si="67"/>
        <v>0.96620675473560869</v>
      </c>
      <c r="AE20" s="183">
        <f t="shared" ca="1" si="68"/>
        <v>0.2937381273277041</v>
      </c>
      <c r="AF20" s="183">
        <f ca="1">V20^2*IF(ISBLANK(Design!$B$43),Constants!$C$6,Design!$B$43)/1000*(1+(AI20-25)*(Constants!$C$36/100))</f>
        <v>0.12284140919109948</v>
      </c>
      <c r="AG20" s="183">
        <f>0.5*Snubber!$B$16/1000000000000*$W$2^2*Design!$B$33*1000000</f>
        <v>4.9895999999999996E-2</v>
      </c>
      <c r="AH20" s="184">
        <f ca="1">$A20+AE20*Design!$B$19</f>
        <v>99.686906366385202</v>
      </c>
      <c r="AI20" s="184">
        <f ca="1">AD20*Design!$C$12+$A20</f>
        <v>117.8510296610107</v>
      </c>
      <c r="AJ20" s="184">
        <f ca="1">Constants!$D$22+Constants!$D$22*Constants!$C$23/100*(AI20-25)</f>
        <v>199.28082372880857</v>
      </c>
      <c r="AK20" s="183">
        <f ca="1">(1-Constants!$C$20/1000000000*Design!$B$33*1000000) * ($W$2+W20-V20*AJ20/1000) - (W20+V20*Design!$B$43/1000)</f>
        <v>9.4887704898012686</v>
      </c>
      <c r="AL20" s="183">
        <f ca="1">IF(AK20&gt;Design!$C$29,Design!$C$29,AK20)</f>
        <v>4.99903317535545</v>
      </c>
      <c r="AM20" s="183">
        <f t="shared" ca="1" si="69"/>
        <v>1.4326822912544122</v>
      </c>
      <c r="AN20" s="183">
        <f t="shared" ca="1" si="70"/>
        <v>7.498549763033175</v>
      </c>
      <c r="AO20" s="363">
        <f t="shared" ca="1" si="71"/>
        <v>83.958738474759144</v>
      </c>
      <c r="AP20" s="370">
        <f t="shared" si="59"/>
        <v>1.5</v>
      </c>
      <c r="AQ20" s="371">
        <f ca="1">FORECAST(AP20, OFFSET(Design!$C$15:$C$17,MATCH(AP20,Design!$B$15:$B$17,1)-1,0,2), OFFSET(Design!$B$15:$B$17,MATCH(AP20,Design!$B$15:$B$17,1)-1,0,2))+(BB20-25)*Design!$B$18/1000</f>
        <v>0.35409376759538108</v>
      </c>
      <c r="AR20" s="196">
        <f ca="1">IF(100*(Design!$C$29+AQ20+AP20*IF(ISBLANK(Design!$B$43),Constants!$C$6,Design!$B$43)/1000*(1+Constants!$C$36/100*(BC20-25)))/($AQ$2+AQ20-AP20*BD20/1000)&gt;Design!$C$36,Design!$C$36,100*(Design!$C$29+AQ20+AP20*IF(ISBLANK(Design!$B$43),Constants!$C$6,Design!$B$43)/1000*(1+Constants!$C$36/100*(BC20-25)))/($AQ$2+AQ20-AP20*BD20/1000))</f>
        <v>33.915302003211707</v>
      </c>
      <c r="AS20" s="195">
        <f ca="1">($AQ$2-AP20*IF(ISBLANK(Design!$B$43),Constants!$C$6,Design!$B$43)/1000*(1+Constants!$C$36/100*(BC20-25))-Design!$C$29) / (IF(ISBLANK(Design!$B$42),Design!$B$40,Design!$B$42)/1000000) * AR20/100/(IF(ISBLANK(Design!$B$33),Design!$B$32,Design!$B$33)*1000000)</f>
        <v>0.53419552354307287</v>
      </c>
      <c r="AT20" s="195">
        <f>$AQ$2*Constants!$C$21/1000+IF(ISBLANK(Design!$B$33),Design!$B$32,Design!$B$33)*1000000*Constants!$D$25/1000000000*($AQ$2-Constants!$C$24)</f>
        <v>0.19814999999999999</v>
      </c>
      <c r="AU20" s="195">
        <f>$AQ$2*AP20*($AQ$2/(Constants!$C$26*1000000000)*IF(ISBLANK(Design!$B$33),Design!$B$32,Design!$B$33)*1000000/2+$AQ$2/(Constants!$C$27*1000000000)*IF(ISBLANK(Design!$B$33),Design!$B$32,Design!$B$33)*1000000/2)</f>
        <v>1.0003287671232877</v>
      </c>
      <c r="AV20" s="195">
        <f t="shared" ca="1" si="72"/>
        <v>0.16340849059577184</v>
      </c>
      <c r="AW20" s="195">
        <f>Constants!$D$25/1000000000*Constants!$C$24*IF(ISBLANK(Design!$B$33),Design!$B$32,Design!$B$33)*1000000</f>
        <v>6.8250000000000005E-2</v>
      </c>
      <c r="AX20" s="195">
        <f t="shared" ca="1" si="73"/>
        <v>1.4301372577190594</v>
      </c>
      <c r="AY20" s="195">
        <f t="shared" ca="1" si="74"/>
        <v>0.35100269541128548</v>
      </c>
      <c r="AZ20" s="195">
        <f ca="1">AP20^2*IF(ISBLANK(Design!$B$43),Constants!$C$6,Design!$B$43)/1000*(1+(BC20-25)*(Constants!$C$36/100))</f>
        <v>0.12842054463387786</v>
      </c>
      <c r="BA20" s="195">
        <f>0.5*Snubber!$B$16/1000000000000*$AQ$2^2*Design!$B$33*1000000</f>
        <v>8.8703999999999991E-2</v>
      </c>
      <c r="BB20" s="196">
        <f ca="1">$A20+AY20*Design!$B$19</f>
        <v>102.55013477056427</v>
      </c>
      <c r="BC20" s="196">
        <f ca="1">AX20*Design!$C$12+$A20</f>
        <v>133.62466676244802</v>
      </c>
      <c r="BD20" s="196">
        <f ca="1">Constants!$D$22+Constants!$D$22*Constants!$C$23/100*(BC20-25)</f>
        <v>211.8997334099584</v>
      </c>
      <c r="BE20" s="195">
        <f ca="1">(1-Constants!$C$20/1000000000*Design!$B$33*1000000) * ($AQ$2+AQ20-AP20*BD20/1000) - (AQ20+AP20*Design!$B$43/1000)</f>
        <v>12.759680815989805</v>
      </c>
      <c r="BF20" s="195">
        <f ca="1">IF(BE20&gt;Design!$C$29,Design!$C$29,BE20)</f>
        <v>4.99903317535545</v>
      </c>
      <c r="BG20" s="195">
        <f t="shared" ca="1" si="75"/>
        <v>1.9982644977642225</v>
      </c>
      <c r="BH20" s="195">
        <f t="shared" ca="1" si="76"/>
        <v>7.498549763033175</v>
      </c>
      <c r="BI20" s="372">
        <f t="shared" ca="1" si="77"/>
        <v>78.958580815747808</v>
      </c>
    </row>
    <row r="21" spans="1:61" ht="12.75" customHeight="1" x14ac:dyDescent="0.3">
      <c r="A21" s="112">
        <f>Design!$D$13</f>
        <v>85</v>
      </c>
      <c r="B21" s="352">
        <f t="shared" si="57"/>
        <v>1.75</v>
      </c>
      <c r="C21" s="353">
        <f ca="1">FORECAST(B21, OFFSET(Design!$C$15:$C$17,MATCH(B21,Design!$B$15:$B$17,1)-1,0,2), OFFSET(Design!$B$15:$B$17,MATCH(B21,Design!$B$15:$B$17,1)-1,0,2))+(N21-25)*Design!$B$18/1000</f>
        <v>0.37843495856947329</v>
      </c>
      <c r="D21" s="166">
        <f ca="1">IF(100*(Design!$C$29+C21+B21*IF(ISBLANK(Design!$B$43),Constants!$C$6,Design!$B$43)/1000*(1+Constants!$C$36/100*(O21-25)))/($C$2+C21-B21*P21/1000)&gt;Design!$C$36,Design!$C$36,100*(Design!$C$29+C21+B21*IF(ISBLANK(Design!$B$43),Constants!$C$6,Design!$B$43)/1000*(1+Constants!$C$36/100*(O21-25)))/($C$2+C21-B21*P21/1000))</f>
        <v>68.090850632145774</v>
      </c>
      <c r="E21" s="165">
        <f ca="1">IF(($C$2-B21*IF(ISBLANK(Design!$B$43),Constants!$C$6,Design!$B$43)/1000*(1+Constants!$C$36/100*(O21-25))-Design!$C$29) / (IF(ISBLANK(Design!$B$42),Design!$B$40,Design!$B$42)/1000000) * D21/100/(IF(ISBLANK(Design!$B$33),Design!$B$32,Design!$B$33)*1000000)&lt;0,0,($C$2-B21*IF(ISBLANK(Design!$B$43),Constants!$C$6,Design!$B$43)/1000*(1+Constants!$C$36/100*(O21-25))-Design!$C$29) / (IF(ISBLANK(Design!$B$42),Design!$B$40,Design!$B$42)/1000000) * D21/100/(IF(ISBLANK(Design!$B$33),Design!$B$32,Design!$B$33)*1000000))</f>
        <v>0.2855945277808733</v>
      </c>
      <c r="F21" s="165">
        <f>$C$2*Constants!$C$21/1000+IF(ISBLANK(Design!$B$33),Design!$B$32,Design!$B$33)*1000000*Constants!$D$25/1000000000*($C$2-Constants!$C$24)</f>
        <v>6.4950000000000008E-2</v>
      </c>
      <c r="G21" s="165">
        <f>$C$2*B21*($C$2/(Constants!$C$26*1000000000)*IF(ISBLANK(Design!$B$33),Design!$B$32,Design!$B$33)*1000000/2+$C$2/(Constants!$C$27*1000000000)*IF(ISBLANK(Design!$B$33),Design!$B$32,Design!$B$33)*1000000/2)</f>
        <v>0.29176255707762561</v>
      </c>
      <c r="H21" s="165">
        <f t="shared" ca="1" si="60"/>
        <v>0.4089592641163603</v>
      </c>
      <c r="I21" s="165">
        <f>Constants!$D$25/1000000000*Constants!$C$24*IF(ISBLANK(Design!$B$33),Design!$B$32,Design!$B$33)*1000000</f>
        <v>6.8250000000000005E-2</v>
      </c>
      <c r="J21" s="165">
        <f t="shared" ca="1" si="61"/>
        <v>0.83392182119398595</v>
      </c>
      <c r="K21" s="165">
        <f t="shared" ca="1" si="62"/>
        <v>0.21132190833269338</v>
      </c>
      <c r="L21" s="165">
        <f ca="1">B21^2*IF(ISBLANK(Design!$B$43),Constants!$C$6,Design!$B$43)/1000*(1+(O21-25)*(Constants!$C$36/100))</f>
        <v>0.1650355076341227</v>
      </c>
      <c r="M21" s="165">
        <f>0.5*Snubber!$B$16/1000000000000*$C$2^2*Design!$B$33*1000000</f>
        <v>2.2175999999999998E-2</v>
      </c>
      <c r="N21" s="166">
        <f ca="1">$A21+K21*Design!$B$19</f>
        <v>95.566095416634667</v>
      </c>
      <c r="O21" s="166">
        <f ca="1">J21*Design!$C$12+A21</f>
        <v>113.35334192059553</v>
      </c>
      <c r="P21" s="166">
        <f ca="1">Constants!$D$22+Constants!$D$22*Constants!$C$23/100*(O21-25)</f>
        <v>195.68267353647644</v>
      </c>
      <c r="Q21" s="165">
        <f ca="1">(1-Constants!$C$20/1000000000*Design!$B$33*1000000) * ($C$2+C21-B21*P21/1000) - (C21+B21*Design!$B$43/1000)</f>
        <v>6.1531310563524722</v>
      </c>
      <c r="R21" s="165">
        <f ca="1">IF(Q21&gt;Design!$C$29,Design!$C$29,Q21)</f>
        <v>4.99903317535545</v>
      </c>
      <c r="S21" s="165">
        <f t="shared" ca="1" si="63"/>
        <v>1.232455237160802</v>
      </c>
      <c r="T21" s="165">
        <f t="shared" ca="1" si="64"/>
        <v>8.7483080568720375</v>
      </c>
      <c r="U21" s="354">
        <f t="shared" ca="1" si="65"/>
        <v>87.651693554363263</v>
      </c>
      <c r="V21" s="361">
        <f t="shared" si="58"/>
        <v>1.75</v>
      </c>
      <c r="W21" s="362">
        <f ca="1">FORECAST(V21, OFFSET(Design!$C$15:$C$17,MATCH(V21,Design!$B$15:$B$17,1)-1,0,2), OFFSET(Design!$B$15:$B$17,MATCH(V21,Design!$B$15:$B$17,1)-1,0,2))+(AH21-25)*Design!$B$18/1000</f>
        <v>0.37198292574538505</v>
      </c>
      <c r="X21" s="184">
        <f ca="1">IF(100*(Design!$C$29+W21+V21*IF(ISBLANK(Design!$B$43),Constants!$C$6,Design!$B$43)/1000*(1+Constants!$C$36/100*(AI21-25)))/($W$2+W21-V21*AJ21/1000)&gt;Design!$C$36,Design!$C$36,100*(Design!$C$29+W21+V21*IF(ISBLANK(Design!$B$43),Constants!$C$6,Design!$B$43)/1000*(1+Constants!$C$36/100*(AI21-25)))/($W$2+W21-V21*AJ21/1000))</f>
        <v>45.512028185717824</v>
      </c>
      <c r="Y21" s="183">
        <f ca="1">($W$2-V21*IF(ISBLANK(Design!$B$43),Constants!$C$6,Design!$B$43)/1000*(1+Constants!$C$36/100*(AI21-25))-Design!$C$29) / (IF(ISBLANK(Design!$B$42),Design!$B$40,Design!$B$42)/1000000) * X21/100/(IF(ISBLANK(Design!$B$33),Design!$B$32,Design!$B$33)*1000000)</f>
        <v>0.45339808293655259</v>
      </c>
      <c r="Z21" s="183">
        <f>$W$2*Constants!$C$21/1000+IF(ISBLANK(Design!$B$33),Design!$B$32,Design!$B$33)*1000000*Constants!$D$25/1000000000*($W$2-Constants!$C$24)</f>
        <v>0.13155</v>
      </c>
      <c r="AA21" s="183">
        <f>$W$2*V21*($W$2/(Constants!$C$26*1000000000)*IF(ISBLANK(Design!$B$33),Design!$B$32,Design!$B$33)*1000000/2+$W$2/(Constants!$C$27*1000000000)*IF(ISBLANK(Design!$B$33),Design!$B$32,Design!$B$33)*1000000/2)</f>
        <v>0.65646575342465752</v>
      </c>
      <c r="AB21" s="183">
        <f t="shared" ca="1" si="66"/>
        <v>0.28602546114432675</v>
      </c>
      <c r="AC21" s="183">
        <f>Constants!$D$25/1000000000*Constants!$C$24*IF(ISBLANK(Design!$B$33),Design!$B$32,Design!$B$33)*1000000</f>
        <v>6.8250000000000005E-2</v>
      </c>
      <c r="AD21" s="183">
        <f t="shared" ca="1" si="67"/>
        <v>1.1422912145689841</v>
      </c>
      <c r="AE21" s="183">
        <f t="shared" ca="1" si="68"/>
        <v>0.35470041553465326</v>
      </c>
      <c r="AF21" s="183">
        <f ca="1">V21^2*IF(ISBLANK(Design!$B$43),Constants!$C$6,Design!$B$43)/1000*(1+(AI21-25)*(Constants!$C$36/100))</f>
        <v>0.17008303663111168</v>
      </c>
      <c r="AG21" s="183">
        <f>0.5*Snubber!$B$16/1000000000000*$W$2^2*Design!$B$33*1000000</f>
        <v>4.9895999999999996E-2</v>
      </c>
      <c r="AH21" s="184">
        <f ca="1">$A21+AE21*Design!$B$19</f>
        <v>102.73502077673267</v>
      </c>
      <c r="AI21" s="184">
        <f ca="1">AD21*Design!$C$12+$A21</f>
        <v>123.83790129534546</v>
      </c>
      <c r="AJ21" s="184">
        <f ca="1">Constants!$D$22+Constants!$D$22*Constants!$C$23/100*(AI21-25)</f>
        <v>204.07032103627637</v>
      </c>
      <c r="AK21" s="183">
        <f ca="1">(1-Constants!$C$20/1000000000*Design!$B$33*1000000) * ($W$2+W21-V21*AJ21/1000) - (W21+V21*Design!$B$43/1000)</f>
        <v>9.4282244524746712</v>
      </c>
      <c r="AL21" s="183">
        <f ca="1">IF(AK21&gt;Design!$C$29,Design!$C$29,AK21)</f>
        <v>4.99903317535545</v>
      </c>
      <c r="AM21" s="183">
        <f t="shared" ca="1" si="69"/>
        <v>1.7169706667347489</v>
      </c>
      <c r="AN21" s="183">
        <f t="shared" ca="1" si="70"/>
        <v>8.7483080568720375</v>
      </c>
      <c r="AO21" s="363">
        <f t="shared" ca="1" si="71"/>
        <v>83.59364607402442</v>
      </c>
      <c r="AP21" s="370">
        <f t="shared" si="59"/>
        <v>1.75</v>
      </c>
      <c r="AQ21" s="371">
        <f ca="1">FORECAST(AP21, OFFSET(Design!$C$15:$C$17,MATCH(AP21,Design!$B$15:$B$17,1)-1,0,2), OFFSET(Design!$B$15:$B$17,MATCH(AP21,Design!$B$15:$B$17,1)-1,0,2))+(BB21-25)*Design!$B$18/1000</f>
        <v>0.36883665796725845</v>
      </c>
      <c r="AR21" s="196">
        <f ca="1">IF(100*(Design!$C$29+AQ21+AP21*IF(ISBLANK(Design!$B$43),Constants!$C$6,Design!$B$43)/1000*(1+Constants!$C$36/100*(BC21-25)))/($AQ$2+AQ21-AP21*BD21/1000)&gt;Design!$C$36,Design!$C$36,100*(Design!$C$29+AQ21+AP21*IF(ISBLANK(Design!$B$43),Constants!$C$6,Design!$B$43)/1000*(1+Constants!$C$36/100*(BC21-25)))/($AQ$2+AQ21-AP21*BD21/1000))</f>
        <v>34.21517270607184</v>
      </c>
      <c r="AS21" s="195">
        <f ca="1">($AQ$2-AP21*IF(ISBLANK(Design!$B$43),Constants!$C$6,Design!$B$43)/1000*(1+Constants!$C$36/100*(BC21-25))-Design!$C$29) / (IF(ISBLANK(Design!$B$42),Design!$B$40,Design!$B$42)/1000000) * AR21/100/(IF(ISBLANK(Design!$B$33),Design!$B$32,Design!$B$33)*1000000)</f>
        <v>0.53810627730508276</v>
      </c>
      <c r="AT21" s="195">
        <f>$AQ$2*Constants!$C$21/1000+IF(ISBLANK(Design!$B$33),Design!$B$32,Design!$B$33)*1000000*Constants!$D$25/1000000000*($AQ$2-Constants!$C$24)</f>
        <v>0.19814999999999999</v>
      </c>
      <c r="AU21" s="195">
        <f>$AQ$2*AP21*($AQ$2/(Constants!$C$26*1000000000)*IF(ISBLANK(Design!$B$33),Design!$B$32,Design!$B$33)*1000000/2+$AQ$2/(Constants!$C$27*1000000000)*IF(ISBLANK(Design!$B$33),Design!$B$32,Design!$B$33)*1000000/2)</f>
        <v>1.1670502283105024</v>
      </c>
      <c r="AV21" s="195">
        <f t="shared" ca="1" si="72"/>
        <v>0.23050295598620479</v>
      </c>
      <c r="AW21" s="195">
        <f>Constants!$D$25/1000000000*Constants!$C$24*IF(ISBLANK(Design!$B$33),Design!$B$32,Design!$B$33)*1000000</f>
        <v>6.8250000000000005E-2</v>
      </c>
      <c r="AX21" s="195">
        <f t="shared" ca="1" si="73"/>
        <v>1.6639531842967072</v>
      </c>
      <c r="AY21" s="195">
        <f t="shared" ca="1" si="74"/>
        <v>0.42461747727080063</v>
      </c>
      <c r="AZ21" s="195">
        <f ca="1">AP21^2*IF(ISBLANK(Design!$B$43),Constants!$C$6,Design!$B$43)/1000*(1+(BC21-25)*(Constants!$C$36/100))</f>
        <v>0.17862183449950145</v>
      </c>
      <c r="BA21" s="195">
        <f>0.5*Snubber!$B$16/1000000000000*$AQ$2^2*Design!$B$33*1000000</f>
        <v>8.8703999999999991E-2</v>
      </c>
      <c r="BB21" s="196">
        <f ca="1">$A21+AY21*Design!$B$19</f>
        <v>106.23087386354003</v>
      </c>
      <c r="BC21" s="196">
        <f ca="1">AX21*Design!$C$12+$A21</f>
        <v>141.57440826608806</v>
      </c>
      <c r="BD21" s="196">
        <f ca="1">Constants!$D$22+Constants!$D$22*Constants!$C$23/100*(BC21-25)</f>
        <v>218.25952661287045</v>
      </c>
      <c r="BE21" s="195">
        <f ca="1">(1-Constants!$C$20/1000000000*Design!$B$33*1000000) * ($AQ$2+AQ21-AP21*BD21/1000) - (AQ21+AP21*Design!$B$43/1000)</f>
        <v>12.694387304606016</v>
      </c>
      <c r="BF21" s="195">
        <f ca="1">IF(BE21&gt;Design!$C$29,Design!$C$29,BE21)</f>
        <v>4.99903317535545</v>
      </c>
      <c r="BG21" s="195">
        <f t="shared" ca="1" si="75"/>
        <v>2.3558964960670092</v>
      </c>
      <c r="BH21" s="195">
        <f t="shared" ca="1" si="76"/>
        <v>8.7483080568720375</v>
      </c>
      <c r="BI21" s="372">
        <f t="shared" ca="1" si="77"/>
        <v>78.783743717658254</v>
      </c>
    </row>
    <row r="22" spans="1:61" ht="12.75" customHeight="1" x14ac:dyDescent="0.3">
      <c r="A22" s="112">
        <f>Design!$D$13</f>
        <v>85</v>
      </c>
      <c r="B22" s="352">
        <f t="shared" si="57"/>
        <v>2</v>
      </c>
      <c r="C22" s="353">
        <f ca="1">FORECAST(B22, OFFSET(Design!$C$15:$C$17,MATCH(B22,Design!$B$15:$B$17,1)-1,0,2), OFFSET(Design!$B$15:$B$17,MATCH(B22,Design!$B$15:$B$17,1)-1,0,2))+(N22-25)*Design!$B$18/1000</f>
        <v>0.39492935602404822</v>
      </c>
      <c r="D22" s="166">
        <f ca="1">IF(100*(Design!$C$29+C22+B22*IF(ISBLANK(Design!$B$43),Constants!$C$6,Design!$B$43)/1000*(1+Constants!$C$36/100*(O22-25)))/($C$2+C22-B22*P22/1000)&gt;Design!$C$36,Design!$C$36,100*(Design!$C$29+C22+B22*IF(ISBLANK(Design!$B$43),Constants!$C$6,Design!$B$43)/1000*(1+Constants!$C$36/100*(O22-25)))/($C$2+C22-B22*P22/1000))</f>
        <v>68.853377594735448</v>
      </c>
      <c r="E22" s="165">
        <f ca="1">IF(($C$2-B22*IF(ISBLANK(Design!$B$43),Constants!$C$6,Design!$B$43)/1000*(1+Constants!$C$36/100*(O22-25))-Design!$C$29) / (IF(ISBLANK(Design!$B$42),Design!$B$40,Design!$B$42)/1000000) * D22/100/(IF(ISBLANK(Design!$B$33),Design!$B$32,Design!$B$33)*1000000)&lt;0,0,($C$2-B22*IF(ISBLANK(Design!$B$43),Constants!$C$6,Design!$B$43)/1000*(1+Constants!$C$36/100*(O22-25))-Design!$C$29) / (IF(ISBLANK(Design!$B$42),Design!$B$40,Design!$B$42)/1000000) * D22/100/(IF(ISBLANK(Design!$B$33),Design!$B$32,Design!$B$33)*1000000))</f>
        <v>0.28725609332609431</v>
      </c>
      <c r="F22" s="165">
        <f>$C$2*Constants!$C$21/1000+IF(ISBLANK(Design!$B$33),Design!$B$32,Design!$B$33)*1000000*Constants!$D$25/1000000000*($C$2-Constants!$C$24)</f>
        <v>6.4950000000000008E-2</v>
      </c>
      <c r="G22" s="165">
        <f>$C$2*B22*($C$2/(Constants!$C$26*1000000000)*IF(ISBLANK(Design!$B$33),Design!$B$32,Design!$B$33)*1000000/2+$C$2/(Constants!$C$27*1000000000)*IF(ISBLANK(Design!$B$33),Design!$B$32,Design!$B$33)*1000000/2)</f>
        <v>0.33344292237442924</v>
      </c>
      <c r="H22" s="165">
        <f t="shared" ca="1" si="60"/>
        <v>0.55386462508546064</v>
      </c>
      <c r="I22" s="165">
        <f>Constants!$D$25/1000000000*Constants!$C$24*IF(ISBLANK(Design!$B$33),Design!$B$32,Design!$B$33)*1000000</f>
        <v>6.8250000000000005E-2</v>
      </c>
      <c r="J22" s="165">
        <f t="shared" ca="1" si="61"/>
        <v>1.0205075474598899</v>
      </c>
      <c r="K22" s="165">
        <f t="shared" ca="1" si="62"/>
        <v>0.24601431057670647</v>
      </c>
      <c r="L22" s="165">
        <f ca="1">B22^2*IF(ISBLANK(Design!$B$43),Constants!$C$6,Design!$B$43)/1000*(1+(O22-25)*(Constants!$C$36/100))</f>
        <v>0.21954563495865451</v>
      </c>
      <c r="M22" s="165">
        <f>0.5*Snubber!$B$16/1000000000000*$C$2^2*Design!$B$33*1000000</f>
        <v>2.2175999999999998E-2</v>
      </c>
      <c r="N22" s="166">
        <f ca="1">$A22+K22*Design!$B$19</f>
        <v>97.300715528835326</v>
      </c>
      <c r="O22" s="166">
        <f ca="1">J22*Design!$C$12+A22</f>
        <v>119.69725661363626</v>
      </c>
      <c r="P22" s="166">
        <f ca="1">Constants!$D$22+Constants!$D$22*Constants!$C$23/100*(O22-25)</f>
        <v>200.757805290909</v>
      </c>
      <c r="Q22" s="165">
        <f ca="1">(1-Constants!$C$20/1000000000*Design!$B$33*1000000) * ($C$2+C22-B22*P22/1000) - (C22+B22*Design!$B$43/1000)</f>
        <v>6.0916600358567452</v>
      </c>
      <c r="R22" s="165">
        <f ca="1">IF(Q22&gt;Design!$C$29,Design!$C$29,Q22)</f>
        <v>4.99903317535545</v>
      </c>
      <c r="S22" s="165">
        <f t="shared" ca="1" si="63"/>
        <v>1.5082434929952508</v>
      </c>
      <c r="T22" s="165">
        <f t="shared" ca="1" si="64"/>
        <v>9.9980663507109</v>
      </c>
      <c r="U22" s="354">
        <f t="shared" ca="1" si="65"/>
        <v>86.89203129863354</v>
      </c>
      <c r="V22" s="361">
        <f t="shared" si="58"/>
        <v>2</v>
      </c>
      <c r="W22" s="362">
        <f ca="1">FORECAST(V22, OFFSET(Design!$C$15:$C$17,MATCH(V22,Design!$B$15:$B$17,1)-1,0,2), OFFSET(Design!$B$15:$B$17,MATCH(V22,Design!$B$15:$B$17,1)-1,0,2))+(AH22-25)*Design!$B$18/1000</f>
        <v>0.38716585721126728</v>
      </c>
      <c r="X22" s="184">
        <f ca="1">IF(100*(Design!$C$29+W22+V22*IF(ISBLANK(Design!$B$43),Constants!$C$6,Design!$B$43)/1000*(1+Constants!$C$36/100*(AI22-25)))/($W$2+W22-V22*AJ22/1000)&gt;Design!$C$36,Design!$C$36,100*(Design!$C$29+W22+V22*IF(ISBLANK(Design!$B$43),Constants!$C$6,Design!$B$43)/1000*(1+Constants!$C$36/100*(AI22-25)))/($W$2+W22-V22*AJ22/1000))</f>
        <v>45.948680827517023</v>
      </c>
      <c r="Y22" s="183">
        <f ca="1">($W$2-V22*IF(ISBLANK(Design!$B$43),Constants!$C$6,Design!$B$43)/1000*(1+Constants!$C$36/100*(AI22-25))-Design!$C$29) / (IF(ISBLANK(Design!$B$42),Design!$B$40,Design!$B$42)/1000000) * X22/100/(IF(ISBLANK(Design!$B$33),Design!$B$32,Design!$B$33)*1000000)</f>
        <v>0.45668985293217207</v>
      </c>
      <c r="Z22" s="183">
        <f>$W$2*Constants!$C$21/1000+IF(ISBLANK(Design!$B$33),Design!$B$32,Design!$B$33)*1000000*Constants!$D$25/1000000000*($W$2-Constants!$C$24)</f>
        <v>0.13155</v>
      </c>
      <c r="AA22" s="183">
        <f>$W$2*V22*($W$2/(Constants!$C$26*1000000000)*IF(ISBLANK(Design!$B$33),Design!$B$32,Design!$B$33)*1000000/2+$W$2/(Constants!$C$27*1000000000)*IF(ISBLANK(Design!$B$33),Design!$B$32,Design!$B$33)*1000000/2)</f>
        <v>0.75024657534246575</v>
      </c>
      <c r="AB22" s="183">
        <f t="shared" ca="1" si="66"/>
        <v>0.38645119932561872</v>
      </c>
      <c r="AC22" s="183">
        <f>Constants!$D$25/1000000000*Constants!$C$24*IF(ISBLANK(Design!$B$33),Design!$B$32,Design!$B$33)*1000000</f>
        <v>6.8250000000000005E-2</v>
      </c>
      <c r="AD22" s="183">
        <f t="shared" ca="1" si="67"/>
        <v>1.3364977746680844</v>
      </c>
      <c r="AE22" s="183">
        <f t="shared" ca="1" si="68"/>
        <v>0.41853650641628359</v>
      </c>
      <c r="AF22" s="183">
        <f ca="1">V22^2*IF(ISBLANK(Design!$B$43),Constants!$C$6,Design!$B$43)/1000*(1+(AI22-25)*(Constants!$C$36/100))</f>
        <v>0.2263012532241839</v>
      </c>
      <c r="AG22" s="183">
        <f>0.5*Snubber!$B$16/1000000000000*$W$2^2*Design!$B$33*1000000</f>
        <v>4.9895999999999996E-2</v>
      </c>
      <c r="AH22" s="184">
        <f ca="1">$A22+AE22*Design!$B$19</f>
        <v>105.92682532081417</v>
      </c>
      <c r="AI22" s="184">
        <f ca="1">AD22*Design!$C$12+$A22</f>
        <v>130.44092433871486</v>
      </c>
      <c r="AJ22" s="184">
        <f ca="1">Constants!$D$22+Constants!$D$22*Constants!$C$23/100*(AI22-25)</f>
        <v>209.3527394709719</v>
      </c>
      <c r="AK22" s="183">
        <f ca="1">(1-Constants!$C$20/1000000000*Design!$B$33*1000000) * ($W$2+W22-V22*AJ22/1000) - (W22+V22*Design!$B$43/1000)</f>
        <v>9.3649243435369822</v>
      </c>
      <c r="AL22" s="183">
        <f ca="1">IF(AK22&gt;Design!$C$29,Design!$C$29,AK22)</f>
        <v>4.99903317535545</v>
      </c>
      <c r="AM22" s="183">
        <f t="shared" ca="1" si="69"/>
        <v>2.0312315343085521</v>
      </c>
      <c r="AN22" s="183">
        <f t="shared" ca="1" si="70"/>
        <v>9.9980663507109</v>
      </c>
      <c r="AO22" s="363">
        <f t="shared" ca="1" si="71"/>
        <v>83.114296829924513</v>
      </c>
      <c r="AP22" s="370">
        <f t="shared" si="59"/>
        <v>2</v>
      </c>
      <c r="AQ22" s="371">
        <f ca="1">FORECAST(AP22, OFFSET(Design!$C$15:$C$17,MATCH(AP22,Design!$B$15:$B$17,1)-1,0,2), OFFSET(Design!$B$15:$B$17,MATCH(AP22,Design!$B$15:$B$17,1)-1,0,2))+(BB22-25)*Design!$B$18/1000</f>
        <v>0.38340836126952887</v>
      </c>
      <c r="AR22" s="196">
        <f ca="1">IF(100*(Design!$C$29+AQ22+AP22*IF(ISBLANK(Design!$B$43),Constants!$C$6,Design!$B$43)/1000*(1+Constants!$C$36/100*(BC22-25)))/($AQ$2+AQ22-AP22*BD22/1000)&gt;Design!$C$36,Design!$C$36,100*(Design!$C$29+AQ22+AP22*IF(ISBLANK(Design!$B$43),Constants!$C$6,Design!$B$43)/1000*(1+Constants!$C$36/100*(BC22-25)))/($AQ$2+AQ22-AP22*BD22/1000))</f>
        <v>34.529803344615836</v>
      </c>
      <c r="AS22" s="195">
        <f ca="1">($AQ$2-AP22*IF(ISBLANK(Design!$B$43),Constants!$C$6,Design!$B$43)/1000*(1+Constants!$C$36/100*(BC22-25))-Design!$C$29) / (IF(ISBLANK(Design!$B$42),Design!$B$40,Design!$B$42)/1000000) * AR22/100/(IF(ISBLANK(Design!$B$33),Design!$B$32,Design!$B$33)*1000000)</f>
        <v>0.54219538497651409</v>
      </c>
      <c r="AT22" s="195">
        <f>$AQ$2*Constants!$C$21/1000+IF(ISBLANK(Design!$B$33),Design!$B$32,Design!$B$33)*1000000*Constants!$D$25/1000000000*($AQ$2-Constants!$C$24)</f>
        <v>0.19814999999999999</v>
      </c>
      <c r="AU22" s="195">
        <f>$AQ$2*AP22*($AQ$2/(Constants!$C$26*1000000000)*IF(ISBLANK(Design!$B$33),Design!$B$32,Design!$B$33)*1000000/2+$AQ$2/(Constants!$C$27*1000000000)*IF(ISBLANK(Design!$B$33),Design!$B$32,Design!$B$33)*1000000/2)</f>
        <v>1.333771689497717</v>
      </c>
      <c r="AV22" s="195">
        <f t="shared" ca="1" si="72"/>
        <v>0.3127138966705893</v>
      </c>
      <c r="AW22" s="195">
        <f>Constants!$D$25/1000000000*Constants!$C$24*IF(ISBLANK(Design!$B$33),Design!$B$32,Design!$B$33)*1000000</f>
        <v>6.8250000000000005E-2</v>
      </c>
      <c r="AX22" s="195">
        <f t="shared" ca="1" si="73"/>
        <v>1.9128855861683063</v>
      </c>
      <c r="AY22" s="195">
        <f t="shared" ca="1" si="74"/>
        <v>0.50203641623269257</v>
      </c>
      <c r="AZ22" s="195">
        <f ca="1">AP22^2*IF(ISBLANK(Design!$B$43),Constants!$C$6,Design!$B$43)/1000*(1+(BC22-25)*(Constants!$C$36/100))</f>
        <v>0.23862396352380943</v>
      </c>
      <c r="BA22" s="195">
        <f>0.5*Snubber!$B$16/1000000000000*$AQ$2^2*Design!$B$33*1000000</f>
        <v>8.8703999999999991E-2</v>
      </c>
      <c r="BB22" s="196">
        <f ca="1">$A22+AY22*Design!$B$19</f>
        <v>110.10182081163462</v>
      </c>
      <c r="BC22" s="196">
        <f ca="1">AX22*Design!$C$12+$A22</f>
        <v>150.0381099297224</v>
      </c>
      <c r="BD22" s="196">
        <f ca="1">Constants!$D$22+Constants!$D$22*Constants!$C$23/100*(BC22-25)</f>
        <v>225.03048794377793</v>
      </c>
      <c r="BE22" s="195">
        <f ca="1">(1-Constants!$C$20/1000000000*Design!$B$33*1000000) * ($AQ$2+AQ22-AP22*BD22/1000) - (AQ22+AP22*Design!$B$43/1000)</f>
        <v>12.62583651582176</v>
      </c>
      <c r="BF22" s="195">
        <f ca="1">IF(BE22&gt;Design!$C$29,Design!$C$29,BE22)</f>
        <v>4.99903317535545</v>
      </c>
      <c r="BG22" s="195">
        <f t="shared" ca="1" si="75"/>
        <v>2.7422499659248079</v>
      </c>
      <c r="BH22" s="195">
        <f t="shared" ca="1" si="76"/>
        <v>9.9980663507109</v>
      </c>
      <c r="BI22" s="372">
        <f t="shared" ca="1" si="77"/>
        <v>78.475809408718476</v>
      </c>
    </row>
    <row r="23" spans="1:61" ht="12.75" customHeight="1" x14ac:dyDescent="0.3">
      <c r="A23" s="112">
        <f>Design!$D$13</f>
        <v>85</v>
      </c>
      <c r="B23" s="352">
        <f t="shared" si="57"/>
        <v>2.25</v>
      </c>
      <c r="C23" s="353">
        <f ca="1">FORECAST(B23, OFFSET(Design!$C$15:$C$17,MATCH(B23,Design!$B$15:$B$17,1)-1,0,2), OFFSET(Design!$B$15:$B$17,MATCH(B23,Design!$B$15:$B$17,1)-1,0,2))+(N23-25)*Design!$B$18/1000</f>
        <v>0.41088297087128151</v>
      </c>
      <c r="D23" s="166">
        <f ca="1">IF(100*(Design!$C$29+C23+B23*IF(ISBLANK(Design!$B$43),Constants!$C$6,Design!$B$43)/1000*(1+Constants!$C$36/100*(O23-25)))/($C$2+C23-B23*P23/1000)&gt;Design!$C$36,Design!$C$36,100*(Design!$C$29+C23+B23*IF(ISBLANK(Design!$B$43),Constants!$C$6,Design!$B$43)/1000*(1+Constants!$C$36/100*(O23-25)))/($C$2+C23-B23*P23/1000))</f>
        <v>69.671988813306783</v>
      </c>
      <c r="E23" s="165">
        <f ca="1">IF(($C$2-B23*IF(ISBLANK(Design!$B$43),Constants!$C$6,Design!$B$43)/1000*(1+Constants!$C$36/100*(O23-25))-Design!$C$29) / (IF(ISBLANK(Design!$B$42),Design!$B$40,Design!$B$42)/1000000) * D23/100/(IF(ISBLANK(Design!$B$33),Design!$B$32,Design!$B$33)*1000000)&lt;0,0,($C$2-B23*IF(ISBLANK(Design!$B$43),Constants!$C$6,Design!$B$43)/1000*(1+Constants!$C$36/100*(O23-25))-Design!$C$29) / (IF(ISBLANK(Design!$B$42),Design!$B$40,Design!$B$42)/1000000) * D23/100/(IF(ISBLANK(Design!$B$33),Design!$B$32,Design!$B$33)*1000000))</f>
        <v>0.28902846289765921</v>
      </c>
      <c r="F23" s="165">
        <f>$C$2*Constants!$C$21/1000+IF(ISBLANK(Design!$B$33),Design!$B$32,Design!$B$33)*1000000*Constants!$D$25/1000000000*($C$2-Constants!$C$24)</f>
        <v>6.4950000000000008E-2</v>
      </c>
      <c r="G23" s="165">
        <f>$C$2*B23*($C$2/(Constants!$C$26*1000000000)*IF(ISBLANK(Design!$B$33),Design!$B$32,Design!$B$33)*1000000/2+$C$2/(Constants!$C$27*1000000000)*IF(ISBLANK(Design!$B$33),Design!$B$32,Design!$B$33)*1000000/2)</f>
        <v>0.37512328767123287</v>
      </c>
      <c r="H23" s="165">
        <f t="shared" ca="1" si="60"/>
        <v>0.73000121810676888</v>
      </c>
      <c r="I23" s="165">
        <f>Constants!$D$25/1000000000*Constants!$C$24*IF(ISBLANK(Design!$B$33),Design!$B$32,Design!$B$33)*1000000</f>
        <v>6.8250000000000005E-2</v>
      </c>
      <c r="J23" s="165">
        <f t="shared" ca="1" si="61"/>
        <v>1.2383245057780017</v>
      </c>
      <c r="K23" s="165">
        <f t="shared" ca="1" si="62"/>
        <v>0.28037842508263427</v>
      </c>
      <c r="L23" s="165">
        <f ca="1">B23^2*IF(ISBLANK(Design!$B$43),Constants!$C$6,Design!$B$43)/1000*(1+(O23-25)*(Constants!$C$36/100))</f>
        <v>0.2837561463935665</v>
      </c>
      <c r="M23" s="165">
        <f>0.5*Snubber!$B$16/1000000000000*$C$2^2*Design!$B$33*1000000</f>
        <v>2.2175999999999998E-2</v>
      </c>
      <c r="N23" s="166">
        <f ca="1">$A23+K23*Design!$B$19</f>
        <v>99.018921254131712</v>
      </c>
      <c r="O23" s="166">
        <f ca="1">J23*Design!$C$12+A23</f>
        <v>127.10303319645206</v>
      </c>
      <c r="P23" s="166">
        <f ca="1">Constants!$D$22+Constants!$D$22*Constants!$C$23/100*(O23-25)</f>
        <v>206.68242655716165</v>
      </c>
      <c r="Q23" s="165">
        <f ca="1">(1-Constants!$C$20/1000000000*Design!$B$33*1000000) * ($C$2+C23-B23*P23/1000) - (C23+B23*Design!$B$43/1000)</f>
        <v>6.0266307595118827</v>
      </c>
      <c r="R23" s="165">
        <f ca="1">IF(Q23&gt;Design!$C$29,Design!$C$29,Q23)</f>
        <v>4.99903317535545</v>
      </c>
      <c r="S23" s="165">
        <f t="shared" ca="1" si="63"/>
        <v>1.8246350772542024</v>
      </c>
      <c r="T23" s="165">
        <f t="shared" ca="1" si="64"/>
        <v>11.247824644549762</v>
      </c>
      <c r="U23" s="354">
        <f t="shared" ca="1" si="65"/>
        <v>86.04214420174624</v>
      </c>
      <c r="V23" s="361">
        <f t="shared" si="58"/>
        <v>2.25</v>
      </c>
      <c r="W23" s="362">
        <f ca="1">FORECAST(V23, OFFSET(Design!$C$15:$C$17,MATCH(V23,Design!$B$15:$B$17,1)-1,0,2), OFFSET(Design!$B$15:$B$17,MATCH(V23,Design!$B$15:$B$17,1)-1,0,2))+(AH23-25)*Design!$B$18/1000</f>
        <v>0.40170260778215183</v>
      </c>
      <c r="X23" s="184">
        <f ca="1">IF(100*(Design!$C$29+W23+V23*IF(ISBLANK(Design!$B$43),Constants!$C$6,Design!$B$43)/1000*(1+Constants!$C$36/100*(AI23-25)))/($W$2+W23-V23*AJ23/1000)&gt;Design!$C$36,Design!$C$36,100*(Design!$C$29+W23+V23*IF(ISBLANK(Design!$B$43),Constants!$C$6,Design!$B$43)/1000*(1+Constants!$C$36/100*(AI23-25)))/($W$2+W23-V23*AJ23/1000))</f>
        <v>46.407396434191185</v>
      </c>
      <c r="Y23" s="183">
        <f ca="1">($W$2-V23*IF(ISBLANK(Design!$B$43),Constants!$C$6,Design!$B$43)/1000*(1+Constants!$C$36/100*(AI23-25))-Design!$C$29) / (IF(ISBLANK(Design!$B$42),Design!$B$40,Design!$B$42)/1000000) * X23/100/(IF(ISBLANK(Design!$B$33),Design!$B$32,Design!$B$33)*1000000)</f>
        <v>0.4601290644774863</v>
      </c>
      <c r="Z23" s="183">
        <f>$W$2*Constants!$C$21/1000+IF(ISBLANK(Design!$B$33),Design!$B$32,Design!$B$33)*1000000*Constants!$D$25/1000000000*($W$2-Constants!$C$24)</f>
        <v>0.13155</v>
      </c>
      <c r="AA23" s="183">
        <f>$W$2*V23*($W$2/(Constants!$C$26*1000000000)*IF(ISBLANK(Design!$B$33),Design!$B$32,Design!$B$33)*1000000/2+$W$2/(Constants!$C$27*1000000000)*IF(ISBLANK(Design!$B$33),Design!$B$32,Design!$B$33)*1000000/2)</f>
        <v>0.84402739726027398</v>
      </c>
      <c r="AB23" s="183">
        <f t="shared" ca="1" si="66"/>
        <v>0.50732711881914405</v>
      </c>
      <c r="AC23" s="183">
        <f>Constants!$D$25/1000000000*Constants!$C$24*IF(ISBLANK(Design!$B$33),Design!$B$32,Design!$B$33)*1000000</f>
        <v>6.8250000000000005E-2</v>
      </c>
      <c r="AD23" s="183">
        <f t="shared" ca="1" si="67"/>
        <v>1.5511545160794178</v>
      </c>
      <c r="AE23" s="183">
        <f t="shared" ca="1" si="68"/>
        <v>0.48438649372996018</v>
      </c>
      <c r="AF23" s="183">
        <f ca="1">V23^2*IF(ISBLANK(Design!$B$43),Constants!$C$6,Design!$B$43)/1000*(1+(AI23-25)*(Constants!$C$36/100))</f>
        <v>0.29222071645380276</v>
      </c>
      <c r="AG23" s="183">
        <f>0.5*Snubber!$B$16/1000000000000*$W$2^2*Design!$B$33*1000000</f>
        <v>4.9895999999999996E-2</v>
      </c>
      <c r="AH23" s="184">
        <f ca="1">$A23+AE23*Design!$B$19</f>
        <v>109.21932468649801</v>
      </c>
      <c r="AI23" s="184">
        <f ca="1">AD23*Design!$C$12+$A23</f>
        <v>137.73925354670021</v>
      </c>
      <c r="AJ23" s="184">
        <f ca="1">Constants!$D$22+Constants!$D$22*Constants!$C$23/100*(AI23-25)</f>
        <v>215.19140283736016</v>
      </c>
      <c r="AK23" s="183">
        <f ca="1">(1-Constants!$C$20/1000000000*Design!$B$33*1000000) * ($W$2+W23-V23*AJ23/1000) - (W23+V23*Design!$B$43/1000)</f>
        <v>9.2985416752913803</v>
      </c>
      <c r="AL23" s="183">
        <f ca="1">IF(AK23&gt;Design!$C$29,Design!$C$29,AK23)</f>
        <v>4.99903317535545</v>
      </c>
      <c r="AM23" s="183">
        <f t="shared" ca="1" si="69"/>
        <v>2.3776577262631808</v>
      </c>
      <c r="AN23" s="183">
        <f t="shared" ca="1" si="70"/>
        <v>11.247824644549762</v>
      </c>
      <c r="AO23" s="363">
        <f t="shared" ca="1" si="71"/>
        <v>82.549918883192376</v>
      </c>
      <c r="AP23" s="370">
        <f t="shared" si="59"/>
        <v>2.25</v>
      </c>
      <c r="AQ23" s="371">
        <f ca="1">FORECAST(AP23, OFFSET(Design!$C$15:$C$17,MATCH(AP23,Design!$B$15:$B$17,1)-1,0,2), OFFSET(Design!$B$15:$B$17,MATCH(AP23,Design!$B$15:$B$17,1)-1,0,2))+(BB23-25)*Design!$B$18/1000</f>
        <v>0.39729619935320765</v>
      </c>
      <c r="AR23" s="196">
        <f ca="1">IF(100*(Design!$C$29+AQ23+AP23*IF(ISBLANK(Design!$B$43),Constants!$C$6,Design!$B$43)/1000*(1+Constants!$C$36/100*(BC23-25)))/($AQ$2+AQ23-AP23*BD23/1000)&gt;Design!$C$36,Design!$C$36,100*(Design!$C$29+AQ23+AP23*IF(ISBLANK(Design!$B$43),Constants!$C$6,Design!$B$43)/1000*(1+Constants!$C$36/100*(BC23-25)))/($AQ$2+AQ23-AP23*BD23/1000))</f>
        <v>34.858936538440801</v>
      </c>
      <c r="AS23" s="195">
        <f ca="1">($AQ$2-AP23*IF(ISBLANK(Design!$B$43),Constants!$C$6,Design!$B$43)/1000*(1+Constants!$C$36/100*(BC23-25))-Design!$C$29) / (IF(ISBLANK(Design!$B$42),Design!$B$40,Design!$B$42)/1000000) * AR23/100/(IF(ISBLANK(Design!$B$33),Design!$B$32,Design!$B$33)*1000000)</f>
        <v>0.5464524681831413</v>
      </c>
      <c r="AT23" s="195">
        <f>$AQ$2*Constants!$C$21/1000+IF(ISBLANK(Design!$B$33),Design!$B$32,Design!$B$33)*1000000*Constants!$D$25/1000000000*($AQ$2-Constants!$C$24)</f>
        <v>0.19814999999999999</v>
      </c>
      <c r="AU23" s="195">
        <f>$AQ$2*AP23*($AQ$2/(Constants!$C$26*1000000000)*IF(ISBLANK(Design!$B$33),Design!$B$32,Design!$B$33)*1000000/2+$AQ$2/(Constants!$C$27*1000000000)*IF(ISBLANK(Design!$B$33),Design!$B$32,Design!$B$33)*1000000/2)</f>
        <v>1.5004931506849315</v>
      </c>
      <c r="AV23" s="195">
        <f t="shared" ca="1" si="72"/>
        <v>0.41189724361752478</v>
      </c>
      <c r="AW23" s="195">
        <f>Constants!$D$25/1000000000*Constants!$C$24*IF(ISBLANK(Design!$B$33),Design!$B$32,Design!$B$33)*1000000</f>
        <v>6.8250000000000005E-2</v>
      </c>
      <c r="AX23" s="195">
        <f t="shared" ca="1" si="73"/>
        <v>2.1787903943024562</v>
      </c>
      <c r="AY23" s="195">
        <f t="shared" ca="1" si="74"/>
        <v>0.58230668103983041</v>
      </c>
      <c r="AZ23" s="195">
        <f ca="1">AP23^2*IF(ISBLANK(Design!$B$43),Constants!$C$6,Design!$B$43)/1000*(1+(BC23-25)*(Constants!$C$36/100))</f>
        <v>0.30920331942855561</v>
      </c>
      <c r="BA23" s="195">
        <f>0.5*Snubber!$B$16/1000000000000*$AQ$2^2*Design!$B$33*1000000</f>
        <v>8.8703999999999991E-2</v>
      </c>
      <c r="BB23" s="196">
        <f ca="1">$A23+AY23*Design!$B$19</f>
        <v>114.11533405199152</v>
      </c>
      <c r="BC23" s="196">
        <f ca="1">AX23*Design!$C$12+$A23</f>
        <v>159.07887340628349</v>
      </c>
      <c r="BD23" s="196">
        <f ca="1">Constants!$D$22+Constants!$D$22*Constants!$C$23/100*(BC23-25)</f>
        <v>232.26309872502679</v>
      </c>
      <c r="BE23" s="195">
        <f ca="1">(1-Constants!$C$20/1000000000*Design!$B$33*1000000) * ($AQ$2+AQ23-AP23*BD23/1000) - (AQ23+AP23*Design!$B$43/1000)</f>
        <v>12.55377332330958</v>
      </c>
      <c r="BF23" s="195">
        <f ca="1">IF(BE23&gt;Design!$C$29,Design!$C$29,BE23)</f>
        <v>4.99903317535545</v>
      </c>
      <c r="BG23" s="195">
        <f t="shared" ca="1" si="75"/>
        <v>3.1590043947708422</v>
      </c>
      <c r="BH23" s="195">
        <f t="shared" ca="1" si="76"/>
        <v>11.247824644549762</v>
      </c>
      <c r="BI23" s="372">
        <f t="shared" ca="1" si="77"/>
        <v>78.072868178355122</v>
      </c>
    </row>
    <row r="24" spans="1:61" ht="12.75" customHeight="1" thickBot="1" x14ac:dyDescent="0.35">
      <c r="A24" s="121">
        <f>Design!$D$13</f>
        <v>85</v>
      </c>
      <c r="B24" s="355">
        <f t="shared" si="57"/>
        <v>2.5</v>
      </c>
      <c r="C24" s="356">
        <f ca="1">FORECAST(B24, OFFSET(Design!$C$15:$C$17,MATCH(B24,Design!$B$15:$B$17,1)-1,0,2), OFFSET(Design!$B$15:$B$17,MATCH(B24,Design!$B$15:$B$17,1)-1,0,2))+(N24-25)*Design!$B$18/1000</f>
        <v>0.42686377776742379</v>
      </c>
      <c r="D24" s="168">
        <f ca="1">IF(100*(Design!$C$29+C24+B24*IF(ISBLANK(Design!$B$43),Constants!$C$6,Design!$B$43)/1000*(1+Constants!$C$36/100*(O24-25)))/($C$2+C24-B24*P24/1000)&gt;Design!$C$36,Design!$C$36,100*(Design!$C$29+C24+B24*IF(ISBLANK(Design!$B$43),Constants!$C$6,Design!$B$43)/1000*(1+Constants!$C$36/100*(O24-25)))/($C$2+C24-B24*P24/1000))</f>
        <v>70.563136232544409</v>
      </c>
      <c r="E24" s="167">
        <f ca="1">IF(($C$2-B24*IF(ISBLANK(Design!$B$43),Constants!$C$6,Design!$B$43)/1000*(1+Constants!$C$36/100*(O24-25))-Design!$C$29) / (IF(ISBLANK(Design!$B$42),Design!$B$40,Design!$B$42)/1000000) * D24/100/(IF(ISBLANK(Design!$B$33),Design!$B$32,Design!$B$33)*1000000)&lt;0,0,($C$2-B24*IF(ISBLANK(Design!$B$43),Constants!$C$6,Design!$B$43)/1000*(1+Constants!$C$36/100*(O24-25))-Design!$C$29) / (IF(ISBLANK(Design!$B$42),Design!$B$40,Design!$B$42)/1000000) * D24/100/(IF(ISBLANK(Design!$B$33),Design!$B$32,Design!$B$33)*1000000))</f>
        <v>0.290951811466721</v>
      </c>
      <c r="F24" s="167">
        <f>$C$2*Constants!$C$21/1000+IF(ISBLANK(Design!$B$33),Design!$B$32,Design!$B$33)*1000000*Constants!$D$25/1000000000*($C$2-Constants!$C$24)</f>
        <v>6.4950000000000008E-2</v>
      </c>
      <c r="G24" s="167">
        <f>$C$2*B24*($C$2/(Constants!$C$26*1000000000)*IF(ISBLANK(Design!$B$33),Design!$B$32,Design!$B$33)*1000000/2+$C$2/(Constants!$C$27*1000000000)*IF(ISBLANK(Design!$B$33),Design!$B$32,Design!$B$33)*1000000/2)</f>
        <v>0.41680365296803656</v>
      </c>
      <c r="H24" s="167">
        <f t="shared" ca="1" si="60"/>
        <v>0.94314087208442954</v>
      </c>
      <c r="I24" s="167">
        <f>Constants!$D$25/1000000000*Constants!$C$24*IF(ISBLANK(Design!$B$33),Design!$B$32,Design!$B$33)*1000000</f>
        <v>6.8250000000000005E-2</v>
      </c>
      <c r="J24" s="167">
        <f t="shared" ca="1" si="61"/>
        <v>1.493144525052466</v>
      </c>
      <c r="K24" s="167">
        <f t="shared" ca="1" si="62"/>
        <v>0.31413827183502729</v>
      </c>
      <c r="L24" s="167">
        <f ca="1">B24^2*IF(ISBLANK(Design!$B$43),Constants!$C$6,Design!$B$43)/1000*(1+(O24-25)*(Constants!$C$36/100))</f>
        <v>0.35882849285937762</v>
      </c>
      <c r="M24" s="167">
        <f>0.5*Snubber!$B$16/1000000000000*$C$2^2*Design!$B$33*1000000</f>
        <v>2.2175999999999998E-2</v>
      </c>
      <c r="N24" s="168">
        <f ca="1">$A24+K24*Design!$B$19</f>
        <v>100.70691359175136</v>
      </c>
      <c r="O24" s="168">
        <f ca="1">J24*Design!$C$12+A24</f>
        <v>135.76691385178384</v>
      </c>
      <c r="P24" s="168">
        <f ca="1">Constants!$D$22+Constants!$D$22*Constants!$C$23/100*(O24-25)</f>
        <v>213.61353108142708</v>
      </c>
      <c r="Q24" s="167">
        <f ca="1">(1-Constants!$C$20/1000000000*Design!$B$33*1000000) * ($C$2+C24-B24*P24/1000) - (C24+B24*Design!$B$43/1000)</f>
        <v>5.9570960262100332</v>
      </c>
      <c r="R24" s="167">
        <f ca="1">IF(Q24&gt;Design!$C$29,Design!$C$29,Q24)</f>
        <v>4.99903317535545</v>
      </c>
      <c r="S24" s="167">
        <f t="shared" ca="1" si="63"/>
        <v>2.1882872897468708</v>
      </c>
      <c r="T24" s="167">
        <f t="shared" ca="1" si="64"/>
        <v>12.497582938388625</v>
      </c>
      <c r="U24" s="357">
        <f t="shared" ca="1" si="65"/>
        <v>85.099369286577897</v>
      </c>
      <c r="V24" s="364">
        <f t="shared" si="58"/>
        <v>2.5</v>
      </c>
      <c r="W24" s="365">
        <f ca="1">FORECAST(V24, OFFSET(Design!$C$15:$C$17,MATCH(V24,Design!$B$15:$B$17,1)-1,0,2), OFFSET(Design!$B$15:$B$17,MATCH(V24,Design!$B$15:$B$17,1)-1,0,2))+(AH24-25)*Design!$B$18/1000</f>
        <v>0.4161385241269156</v>
      </c>
      <c r="X24" s="188">
        <f ca="1">IF(100*(Design!$C$29+W24+V24*IF(ISBLANK(Design!$B$43),Constants!$C$6,Design!$B$43)/1000*(1+Constants!$C$36/100*(AI24-25)))/($W$2+W24-V24*AJ24/1000)&gt;Design!$C$36,Design!$C$36,100*(Design!$C$29+W24+V24*IF(ISBLANK(Design!$B$43),Constants!$C$6,Design!$B$43)/1000*(1+Constants!$C$36/100*(AI24-25)))/($W$2+W24-V24*AJ24/1000))</f>
        <v>46.894871818635004</v>
      </c>
      <c r="Y24" s="187">
        <f ca="1">($W$2-V24*IF(ISBLANK(Design!$B$43),Constants!$C$6,Design!$B$43)/1000*(1+Constants!$C$36/100*(AI24-25))-Design!$C$29) / (IF(ISBLANK(Design!$B$42),Design!$B$40,Design!$B$42)/1000000) * X24/100/(IF(ISBLANK(Design!$B$33),Design!$B$32,Design!$B$33)*1000000)</f>
        <v>0.46377066645557452</v>
      </c>
      <c r="Z24" s="187">
        <f>$W$2*Constants!$C$21/1000+IF(ISBLANK(Design!$B$33),Design!$B$32,Design!$B$33)*1000000*Constants!$D$25/1000000000*($W$2-Constants!$C$24)</f>
        <v>0.13155</v>
      </c>
      <c r="AA24" s="187">
        <f>$W$2*V24*($W$2/(Constants!$C$26*1000000000)*IF(ISBLANK(Design!$B$33),Design!$B$32,Design!$B$33)*1000000/2+$W$2/(Constants!$C$27*1000000000)*IF(ISBLANK(Design!$B$33),Design!$B$32,Design!$B$33)*1000000/2)</f>
        <v>0.93780821917808221</v>
      </c>
      <c r="AB24" s="187">
        <f t="shared" ca="1" si="66"/>
        <v>0.65154776028526795</v>
      </c>
      <c r="AC24" s="187">
        <f>Constants!$D$25/1000000000*Constants!$C$24*IF(ISBLANK(Design!$B$33),Design!$B$32,Design!$B$33)*1000000</f>
        <v>6.8250000000000005E-2</v>
      </c>
      <c r="AD24" s="187">
        <f t="shared" ca="1" si="67"/>
        <v>1.78915597946335</v>
      </c>
      <c r="AE24" s="187">
        <f t="shared" ca="1" si="68"/>
        <v>0.5524772416240975</v>
      </c>
      <c r="AF24" s="187">
        <f ca="1">V24^2*IF(ISBLANK(Design!$B$43),Constants!$C$6,Design!$B$43)/1000*(1+(AI24-25)*(Constants!$C$36/100))</f>
        <v>0.3687167554939732</v>
      </c>
      <c r="AG24" s="187">
        <f>0.5*Snubber!$B$16/1000000000000*$W$2^2*Design!$B$33*1000000</f>
        <v>4.9895999999999996E-2</v>
      </c>
      <c r="AH24" s="188">
        <f ca="1">$A24+AE24*Design!$B$19</f>
        <v>112.62386208120488</v>
      </c>
      <c r="AI24" s="188">
        <f ca="1">AD24*Design!$C$12+$A24</f>
        <v>145.83130330175391</v>
      </c>
      <c r="AJ24" s="188">
        <f ca="1">Constants!$D$22+Constants!$D$22*Constants!$C$23/100*(AI24-25)</f>
        <v>221.66504264140315</v>
      </c>
      <c r="AK24" s="187">
        <f ca="1">(1-Constants!$C$20/1000000000*Design!$B$33*1000000) * ($W$2+W24-V24*AJ24/1000) - (W24+V24*Design!$B$43/1000)</f>
        <v>9.2284746921185636</v>
      </c>
      <c r="AL24" s="187">
        <f ca="1">IF(AK24&gt;Design!$C$29,Design!$C$29,AK24)</f>
        <v>4.99903317535545</v>
      </c>
      <c r="AM24" s="187">
        <f t="shared" ca="1" si="69"/>
        <v>2.7602459765814209</v>
      </c>
      <c r="AN24" s="187">
        <f t="shared" ca="1" si="70"/>
        <v>12.497582938388625</v>
      </c>
      <c r="AO24" s="366">
        <f t="shared" ca="1" si="71"/>
        <v>81.909313625392429</v>
      </c>
      <c r="AP24" s="373">
        <f t="shared" si="59"/>
        <v>2.5</v>
      </c>
      <c r="AQ24" s="374">
        <f ca="1">FORECAST(AP24, OFFSET(Design!$C$15:$C$17,MATCH(AP24,Design!$B$15:$B$17,1)-1,0,2), OFFSET(Design!$B$15:$B$17,MATCH(AP24,Design!$B$15:$B$17,1)-1,0,2))+(BB24-25)*Design!$B$18/1000</f>
        <v>0.41103852216242631</v>
      </c>
      <c r="AR24" s="199">
        <f ca="1">IF(100*(Design!$C$29+AQ24+AP24*IF(ISBLANK(Design!$B$43),Constants!$C$6,Design!$B$43)/1000*(1+Constants!$C$36/100*(BC24-25)))/($AQ$2+AQ24-AP24*BD24/1000)&gt;Design!$C$36,Design!$C$36,100*(Design!$C$29+AQ24+AP24*IF(ISBLANK(Design!$B$43),Constants!$C$6,Design!$B$43)/1000*(1+Constants!$C$36/100*(BC24-25)))/($AQ$2+AQ24-AP24*BD24/1000))</f>
        <v>35.206985942826343</v>
      </c>
      <c r="AS24" s="198">
        <f ca="1">($AQ$2-AP24*IF(ISBLANK(Design!$B$43),Constants!$C$6,Design!$B$43)/1000*(1+Constants!$C$36/100*(BC24-25))-Design!$C$29) / (IF(ISBLANK(Design!$B$42),Design!$B$40,Design!$B$42)/1000000) * AR24/100/(IF(ISBLANK(Design!$B$33),Design!$B$32,Design!$B$33)*1000000)</f>
        <v>0.55093924974285102</v>
      </c>
      <c r="AT24" s="198">
        <f>$AQ$2*Constants!$C$21/1000+IF(ISBLANK(Design!$B$33),Design!$B$32,Design!$B$33)*1000000*Constants!$D$25/1000000000*($AQ$2-Constants!$C$24)</f>
        <v>0.19814999999999999</v>
      </c>
      <c r="AU24" s="198">
        <f>$AQ$2*AP24*($AQ$2/(Constants!$C$26*1000000000)*IF(ISBLANK(Design!$B$33),Design!$B$32,Design!$B$33)*1000000/2+$AQ$2/(Constants!$C$27*1000000000)*IF(ISBLANK(Design!$B$33),Design!$B$32,Design!$B$33)*1000000/2)</f>
        <v>1.6672146118721463</v>
      </c>
      <c r="AV24" s="198">
        <f t="shared" ca="1" si="72"/>
        <v>0.53028182370061383</v>
      </c>
      <c r="AW24" s="198">
        <f>Constants!$D$25/1000000000*Constants!$C$24*IF(ISBLANK(Design!$B$33),Design!$B$32,Design!$B$33)*1000000</f>
        <v>6.8250000000000005E-2</v>
      </c>
      <c r="AX24" s="198">
        <f t="shared" ca="1" si="73"/>
        <v>2.4638964355727602</v>
      </c>
      <c r="AY24" s="198">
        <f t="shared" ca="1" si="74"/>
        <v>0.66581061861274937</v>
      </c>
      <c r="AZ24" s="198">
        <f ca="1">AP24^2*IF(ISBLANK(Design!$B$43),Constants!$C$6,Design!$B$43)/1000*(1+(BC24-25)*(Constants!$C$36/100))</f>
        <v>0.39125646043030804</v>
      </c>
      <c r="BA24" s="198">
        <f>0.5*Snubber!$B$16/1000000000000*$AQ$2^2*Design!$B$33*1000000</f>
        <v>8.8703999999999991E-2</v>
      </c>
      <c r="BB24" s="199">
        <f ca="1">$A24+AY24*Design!$B$19</f>
        <v>118.29053093063746</v>
      </c>
      <c r="BC24" s="199">
        <f ca="1">AX24*Design!$C$12+$A24</f>
        <v>168.77247880947385</v>
      </c>
      <c r="BD24" s="199">
        <f ca="1">Constants!$D$22+Constants!$D$22*Constants!$C$23/100*(BC24-25)</f>
        <v>240.01798304757909</v>
      </c>
      <c r="BE24" s="198">
        <f ca="1">(1-Constants!$C$20/1000000000*Design!$B$33*1000000) * ($AQ$2+AQ24-AP24*BD24/1000) - (AQ24+AP24*Design!$B$43/1000)</f>
        <v>12.47769269111004</v>
      </c>
      <c r="BF24" s="198">
        <f ca="1">IF(BE24&gt;Design!$C$29,Design!$C$29,BE24)</f>
        <v>4.99903317535545</v>
      </c>
      <c r="BG24" s="198">
        <f t="shared" ca="1" si="75"/>
        <v>3.6096675146158175</v>
      </c>
      <c r="BH24" s="198">
        <f t="shared" ca="1" si="76"/>
        <v>12.497582938388625</v>
      </c>
      <c r="BI24" s="375">
        <f t="shared" ca="1" si="77"/>
        <v>77.58979705973023</v>
      </c>
    </row>
    <row r="25" spans="1:61" x14ac:dyDescent="0.3">
      <c r="A25" s="130"/>
      <c r="G25" s="151"/>
    </row>
    <row r="27" spans="1:61" x14ac:dyDescent="0.3">
      <c r="G27" s="11"/>
    </row>
    <row r="75" spans="2:9" ht="15" thickBot="1" x14ac:dyDescent="0.35"/>
    <row r="76" spans="2:9" x14ac:dyDescent="0.3">
      <c r="B76" s="203" t="s">
        <v>199</v>
      </c>
      <c r="C76" s="148"/>
      <c r="D76" s="148"/>
      <c r="E76" s="148"/>
      <c r="F76" s="148"/>
      <c r="H76" s="239">
        <v>0</v>
      </c>
      <c r="I76" s="240">
        <v>155</v>
      </c>
    </row>
    <row r="77" spans="2:9" ht="15" thickBot="1" x14ac:dyDescent="0.35">
      <c r="B77" s="201" t="s">
        <v>224</v>
      </c>
      <c r="C77" s="149"/>
      <c r="D77" s="149"/>
      <c r="E77" s="149"/>
      <c r="F77" s="152"/>
      <c r="H77" s="241">
        <v>3.5</v>
      </c>
      <c r="I77" s="242">
        <v>155</v>
      </c>
    </row>
    <row r="78" spans="2:9" x14ac:dyDescent="0.3">
      <c r="B78" s="202" t="s">
        <v>200</v>
      </c>
      <c r="C78" s="150"/>
      <c r="D78" s="129">
        <v>0</v>
      </c>
      <c r="F78" s="11"/>
    </row>
  </sheetData>
  <sheetProtection algorithmName="SHA-512" hashValue="pBtryARusXq+ZcWWHTY4ygOlaBT4WtR+x4dIwYOJfjb8AneQJrIfc84aq35gIn5m8vnfjEPtBZhRqfir6ufeaw==" saltValue="ny7pPUFItpKKCp7kqGzc/Q==" spinCount="100000" sheet="1" objects="1" scenarios="1"/>
  <mergeCells count="1">
    <mergeCell ref="A1:BI1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115"/>
  <sheetViews>
    <sheetView topLeftCell="A88" zoomScaleNormal="100" workbookViewId="0">
      <selection activeCell="AM73" sqref="AM73"/>
    </sheetView>
  </sheetViews>
  <sheetFormatPr defaultRowHeight="14.4" x14ac:dyDescent="0.3"/>
  <cols>
    <col min="1" max="6" width="6.6640625" style="1" customWidth="1"/>
    <col min="7" max="16" width="6.6640625" style="155" customWidth="1"/>
    <col min="17" max="47" width="6.6640625" customWidth="1"/>
  </cols>
  <sheetData>
    <row r="1" spans="1:47" ht="24" customHeight="1" thickBot="1" x14ac:dyDescent="0.35">
      <c r="A1" s="456" t="s">
        <v>169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6"/>
      <c r="AP1" s="456"/>
      <c r="AQ1" s="456"/>
      <c r="AR1" s="456"/>
      <c r="AS1" s="456"/>
      <c r="AT1" s="456"/>
      <c r="AU1" s="456"/>
    </row>
    <row r="2" spans="1:47" s="228" customFormat="1" ht="18" customHeight="1" x14ac:dyDescent="0.3">
      <c r="A2" s="238" t="s">
        <v>266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</row>
    <row r="3" spans="1:47" s="158" customFormat="1" ht="16.2" thickBot="1" x14ac:dyDescent="0.35">
      <c r="A3" s="210" t="s">
        <v>198</v>
      </c>
      <c r="B3" s="235" t="s">
        <v>108</v>
      </c>
      <c r="C3" s="208" t="s">
        <v>94</v>
      </c>
      <c r="D3" s="208" t="s">
        <v>223</v>
      </c>
      <c r="E3" s="200" t="s">
        <v>221</v>
      </c>
      <c r="F3" s="200" t="s">
        <v>222</v>
      </c>
      <c r="G3" s="200" t="s">
        <v>95</v>
      </c>
      <c r="H3" s="200" t="s">
        <v>96</v>
      </c>
      <c r="I3" s="200" t="s">
        <v>97</v>
      </c>
      <c r="J3" s="200" t="s">
        <v>186</v>
      </c>
      <c r="K3" s="200" t="s">
        <v>239</v>
      </c>
      <c r="L3" s="200" t="s">
        <v>241</v>
      </c>
      <c r="M3" s="200" t="s">
        <v>268</v>
      </c>
      <c r="N3" s="200" t="s">
        <v>269</v>
      </c>
      <c r="O3" s="200" t="s">
        <v>113</v>
      </c>
      <c r="P3" s="200" t="s">
        <v>235</v>
      </c>
      <c r="Q3" s="211" t="s">
        <v>234</v>
      </c>
      <c r="R3" s="208" t="s">
        <v>94</v>
      </c>
      <c r="S3" s="208" t="s">
        <v>223</v>
      </c>
      <c r="T3" s="200" t="s">
        <v>221</v>
      </c>
      <c r="U3" s="200" t="s">
        <v>222</v>
      </c>
      <c r="V3" s="200" t="s">
        <v>95</v>
      </c>
      <c r="W3" s="200" t="s">
        <v>96</v>
      </c>
      <c r="X3" s="200" t="s">
        <v>97</v>
      </c>
      <c r="Y3" s="200" t="s">
        <v>186</v>
      </c>
      <c r="Z3" s="200" t="s">
        <v>98</v>
      </c>
      <c r="AA3" s="200" t="s">
        <v>241</v>
      </c>
      <c r="AB3" s="200" t="s">
        <v>268</v>
      </c>
      <c r="AC3" s="200" t="s">
        <v>269</v>
      </c>
      <c r="AD3" s="200" t="s">
        <v>113</v>
      </c>
      <c r="AE3" s="200" t="s">
        <v>235</v>
      </c>
      <c r="AF3" s="211" t="s">
        <v>234</v>
      </c>
      <c r="AG3" s="208" t="s">
        <v>94</v>
      </c>
      <c r="AH3" s="208" t="s">
        <v>223</v>
      </c>
      <c r="AI3" s="200" t="s">
        <v>221</v>
      </c>
      <c r="AJ3" s="200" t="s">
        <v>222</v>
      </c>
      <c r="AK3" s="200" t="s">
        <v>95</v>
      </c>
      <c r="AL3" s="200" t="s">
        <v>96</v>
      </c>
      <c r="AM3" s="200" t="s">
        <v>97</v>
      </c>
      <c r="AN3" s="200" t="s">
        <v>186</v>
      </c>
      <c r="AO3" s="200" t="s">
        <v>98</v>
      </c>
      <c r="AP3" s="200" t="s">
        <v>241</v>
      </c>
      <c r="AQ3" s="200" t="s">
        <v>268</v>
      </c>
      <c r="AR3" s="200" t="s">
        <v>269</v>
      </c>
      <c r="AS3" s="200" t="s">
        <v>113</v>
      </c>
      <c r="AT3" s="200" t="s">
        <v>235</v>
      </c>
      <c r="AU3" s="211" t="s">
        <v>234</v>
      </c>
    </row>
    <row r="4" spans="1:47" s="120" customFormat="1" ht="12.75" customHeight="1" x14ac:dyDescent="0.25">
      <c r="A4" s="159">
        <f>Design!$D$13</f>
        <v>85</v>
      </c>
      <c r="B4" s="160">
        <f t="shared" ref="B4:B43" si="0">$B5+$AU$88</f>
        <v>11.999999999999995</v>
      </c>
      <c r="C4" s="161">
        <f>Design!$D$7</f>
        <v>2</v>
      </c>
      <c r="D4" s="161">
        <f ca="1">FORECAST(C4, OFFSET(Design!$C$15:$C$17,MATCH(C4,Design!$B$15:$B$17,1)-1,0,2), OFFSET(Design!$B$15:$B$17,MATCH(C4,Design!$B$15:$B$17,1)-1,0,2))+(M4-25)*Design!$B$18/1000</f>
        <v>0.38716585721126728</v>
      </c>
      <c r="E4" s="172">
        <f ca="1">IF(100*(Design!$C$29+D4+C4*IF(ISBLANK(Design!$B$43),Constants!$C$6,Design!$B$43)/1000*(1+Constants!$C$36/100*(N4-25)))/($B4+D4-C4*O4/1000)&gt;Design!$C$36,Design!$C$37,100*(Design!$C$29+D4+C4*IF(ISBLANK(Design!$B$43),Constants!$C$6,Design!$B$43)/1000*(1+Constants!$C$36/100*(N4-25)))/($B4+D4-C4*O4/1000))</f>
        <v>45.948680827517045</v>
      </c>
      <c r="F4" s="162">
        <f ca="1">IF(($B4-C4*IF(ISBLANK(Design!$B$43),Constants!$C$6,Design!$B$43)/1000*(1+Constants!$C$36/100*(N4-25))-Design!$C$29)/(IF(ISBLANK(Design!$B$42),Design!$B$40,Design!$B$42)/1000000)*E4/100/(IF(ISBLANK(Design!$B$33),Design!$B$32,Design!$B$33)*1000000)&lt;0, 0, ($B4-C4*IF(ISBLANK(Design!$B$43),Constants!$C$6,Design!$B$43)/1000*(1+Constants!$C$36/100*(N4-25))-Design!$C$29)/(IF(ISBLANK(Design!$B$42),Design!$B$40,Design!$B$42)/1000000)*E4/100/(IF(ISBLANK(Design!$B$33),Design!$B$32,Design!$B$33)*1000000))</f>
        <v>0.45668985293217196</v>
      </c>
      <c r="G4" s="163">
        <f>B4*Constants!$C$21/1000+IF(ISBLANK(Design!$B$33),Design!$B$32,Design!$B$33)*1000000*Constants!$D$25/1000000000*(B4-Constants!$C$24)</f>
        <v>0.13154999999999992</v>
      </c>
      <c r="H4" s="163">
        <f>B4*C4*(B4/(Constants!$C$26*1000000000)*IF(ISBLANK(Design!$B$33),Design!$B$32,Design!$B$33)*1000000/2+B4/(Constants!$C$27*1000000000)*IF(ISBLANK(Design!$B$33),Design!$B$32,Design!$B$33)*1000000/2)</f>
        <v>0.75024657534246508</v>
      </c>
      <c r="I4" s="163">
        <f t="shared" ref="I4:I44" ca="1" si="1">IF($D$115,1,E4/100*(C4^2+F4^2/12)*O4/1000)</f>
        <v>0.38645119932561883</v>
      </c>
      <c r="J4" s="163">
        <f>Constants!$D$25/1000000000*Constants!$C$24*IF(ISBLANK(Design!$B$33),Design!$B$32,Design!$B$33)*1000000</f>
        <v>6.8250000000000005E-2</v>
      </c>
      <c r="K4" s="163">
        <f ca="1">SUM(G4:J4)</f>
        <v>1.3364977746680837</v>
      </c>
      <c r="L4" s="163">
        <f ca="1">C4*D4*(1-E4/100)</f>
        <v>0.41853650641628343</v>
      </c>
      <c r="M4" s="164">
        <f ca="1">$A4+L4*Design!$B$19</f>
        <v>105.92682532081417</v>
      </c>
      <c r="N4" s="164">
        <f ca="1">K4*Design!$C$12+A4</f>
        <v>130.44092433871484</v>
      </c>
      <c r="O4" s="164">
        <f ca="1">Constants!$D$22+Constants!$D$22*Constants!$C$23/100*(N4-25)</f>
        <v>209.35273947097187</v>
      </c>
      <c r="P4" s="163">
        <f ca="1">IF(100*(Design!$C$29+D4+C4*IF(ISBLANK(Design!$B$43),Constants!$C$6,Design!$B$43)/1000*(1+Constants!$C$36/100*(N4-25)))/($B4+D4-C4*O4/1000)&gt;Design!$C$36,  (1-Constants!$C$20/1000000000*IF(ISBLANK(Design!$B$33),Design!$B$32/4,Design!$B$33/4)*1000000) * ($B4+D4-C4*O4/1000) - (D4+C4*(1+($A4-25)*Constants!$C$36/100)*IF(ISBLANK(Design!$B$43),Constants!$C$6/1000,Design!$B$43/1000)),   (1-Constants!$C$20/1000000000*IF(ISBLANK(Design!$B$33),Design!$B$32,Design!$B$33)*1000000) * ($B4+D4-C4*O4/1000) - (D4+C4*(1+($A4-25)*Constants!$C$36/100)*IF(ISBLANK(Design!$B$43),Constants!$C$6/1000,Design!$B$43/1000)) )</f>
        <v>9.346060343536978</v>
      </c>
      <c r="Q4" s="170">
        <f ca="1">IF(P4&gt;Design!$C$29,Design!$C$29,P4)</f>
        <v>4.99903317535545</v>
      </c>
      <c r="R4" s="175">
        <f>2*Design!$D$7/3</f>
        <v>1.3333333333333333</v>
      </c>
      <c r="S4" s="176">
        <f ca="1">FORECAST(R4, OFFSET(Design!$C$15:$C$17,MATCH(R4,Design!$B$15:$B$17,1)-1,0,2), OFFSET(Design!$B$15:$B$17,MATCH(R4,Design!$B$15:$B$17,1)-1,0,2))+(AB4-25)*Design!$B$18/1000</f>
        <v>0.34638564520111842</v>
      </c>
      <c r="T4" s="177">
        <f ca="1">IF(100*(Design!$C$29+S4+R4*IF(ISBLANK(Design!$B$43),Constants!$C$6,Design!$B$43)/1000*(1+Constants!$C$36/100*(AC4-25)))/($B4+S4-R4*AD4/1000)&gt;Design!$C$36,Design!$C$37,100*(Design!$C$29+S4+R4*IF(ISBLANK(Design!$B$43),Constants!$C$6,Design!$B$43)/1000*(1+Constants!$C$36/100*(AC4-25)))/($B4+S4-R4*AD4/1000))</f>
        <v>44.829282960634274</v>
      </c>
      <c r="U4" s="178">
        <f ca="1">IF(($B4-R4*IF(ISBLANK(Design!$B$43),Constants!$C$6,Design!$B$43)/1000*(1+Constants!$C$36/100*(AC4-25))-Design!$C$29)/(Design!$B$42/1000000)*T4/100/(IF(ISBLANK(IF(ISBLANK(Design!$B$42),Design!$B$40,Design!$B$42)),Design!$B$32,Design!$B$33)*1000000)&lt;0,0,($B4-R4*IF(ISBLANK(Design!$B$43),Constants!$C$6,Design!$B$43)/1000*(1+Constants!$C$36/100*(AC4-25))-Design!$C$29)/(IF(ISBLANK(Design!$B$42),Design!$B$40,Design!$B$42)/1000000)*T4/100/(IF(ISBLANK(Design!$B$33),Design!$B$32,Design!$B$33)*1000000))</f>
        <v>0.44822449761928806</v>
      </c>
      <c r="V4" s="179">
        <f>$B4*Constants!$C$21/1000+IF(ISBLANK(Design!$B$33),Design!$B$32,Design!$B$33)*1000000*Constants!$D$25/1000000000*($B4-Constants!$C$24)</f>
        <v>0.13154999999999992</v>
      </c>
      <c r="W4" s="179">
        <f>$B4*R4*($B4/(Constants!$C$26*1000000000)*IF(ISBLANK(Design!$B$33),Design!$B$32,Design!$B$33)*1000000/2+$B4/(Constants!$C$27*1000000000)*IF(ISBLANK(Design!$B$33),Design!$B$32,Design!$B$33)*1000000/2)</f>
        <v>0.50016438356164339</v>
      </c>
      <c r="X4" s="179">
        <f t="shared" ref="X4:X44" ca="1" si="2">IF($D$115,1,T4/100*(R4^2+U4^2/12)*AD4/1000)</f>
        <v>0.15794582153479989</v>
      </c>
      <c r="Y4" s="179">
        <f>Constants!$D$25/1000000000*Constants!$C$24*IF(ISBLANK(Design!$B$33),Design!$B$32,Design!$B$33)*1000000</f>
        <v>6.8250000000000005E-2</v>
      </c>
      <c r="Z4" s="179">
        <f ca="1">SUM(V4:Y4)</f>
        <v>0.85791020509644322</v>
      </c>
      <c r="AA4" s="179">
        <f ca="1">R4*S4*(1-T4/100)</f>
        <v>0.25480459223852048</v>
      </c>
      <c r="AB4" s="180">
        <f ca="1">$A4+AA4*Design!$B$19</f>
        <v>97.740229611926026</v>
      </c>
      <c r="AC4" s="180">
        <f ca="1">Z4*Design!$C$12+$A4</f>
        <v>114.16894697327908</v>
      </c>
      <c r="AD4" s="180">
        <f ca="1">Constants!$D$22+Constants!$D$22*Constants!$C$23/100*(AC4-25)</f>
        <v>196.33515757862327</v>
      </c>
      <c r="AE4" s="179">
        <f ca="1">IF(100*(Design!$C$29+S4+R4*IF(ISBLANK(Design!$B$43),Constants!$C$6,Design!$B$43)/1000*(1+Constants!$C$36/100*(AC4-25)))/($B4+S4-R4*AD4/1000)&gt;Design!$C$36,  (1-Constants!$C$20/1000000000*IF(ISBLANK(Design!$B$33),Design!$B$32/4,Design!$B$33/4)*1000000) * ($B4+S4-R4*AD4/1000) - (S4+R4*(1+($A4-25)*Constants!$C$36/100)*IF(ISBLANK(Design!$B$43),Constants!$C$6/1000,Design!$B$43/1000)),   (1-Constants!$C$20/1000000000*IF(ISBLANK(Design!$B$33),Design!$B$32,Design!$B$33)*1000000) * ($B4+S4-R4*AD4/1000) - (S4+R4*(1+($A4-25)*Constants!$C$36/100)*IF(ISBLANK(Design!$B$43),Constants!$C$6/1000,Design!$B$43/1000)) )</f>
        <v>9.5152083863971448</v>
      </c>
      <c r="AF4" s="178">
        <f ca="1">IF(AE4&gt;Design!$C$29,Design!$C$29,AE4)</f>
        <v>4.99903317535545</v>
      </c>
      <c r="AG4" s="189">
        <f>Design!$D$7/3</f>
        <v>0.66666666666666663</v>
      </c>
      <c r="AH4" s="189">
        <f ca="1">FORECAST(AG4, OFFSET(Design!$C$15:$C$17,MATCH(AG4,Design!$B$15:$B$17,1)-1,0,2), OFFSET(Design!$B$15:$B$17,MATCH(AG4,Design!$B$15:$B$17,1)-1,0,2))+(AQ4-25)*Design!$B$18/1000</f>
        <v>0.30457109669801913</v>
      </c>
      <c r="AI4" s="190">
        <f ca="1">IF(100*(Design!$C$29+AH4+AG4*IF(ISBLANK(Design!$B$43),Constants!$C$6,Design!$B$43)/1000*(1+Constants!$C$36/100*(AR4-25)))/($B4+AH4-AG4*AS4/1000)&gt;Design!$C$36,Design!$C$37,100*(Design!$C$29+AH4+AG4*IF(ISBLANK(Design!$B$43),Constants!$C$6,Design!$B$43)/1000*(1+Constants!$C$36/100*(AR4-25)))/($B4+AH4-AG4*AS4/1000))</f>
        <v>43.826941543596519</v>
      </c>
      <c r="AJ4" s="191">
        <f ca="1">IF(($B4-AG4*IF(ISBLANK(Design!$B$43),Constants!$C$6,Design!$B$43)/1000*(1+Constants!$C$36/100*(AR4-25))-Design!$C$29)/(IF(ISBLANK(Design!$B$42),Design!$B$40,Design!$B$42)/1000000)*AI4/100/(IF(ISBLANK(Design!$B$33),Design!$B$32,Design!$B$33)*1000000)&lt;0,0,($B4-AG4*IF(ISBLANK(Design!$B$43),Constants!$C$6,Design!$B$43)/1000*(1+Constants!$C$36/100*(AR4-25))-Design!$C$29)/(IF(ISBLANK(Design!$B$42),Design!$B$40,Design!$B$42)/1000000)*AI4/100/(IF(ISBLANK(Design!$B$33),Design!$B$32,Design!$B$33)*1000000))</f>
        <v>0.44056354125486874</v>
      </c>
      <c r="AK4" s="192">
        <f>$B4*Constants!$C$21/1000+IF(ISBLANK(Design!$B$33),Design!$B$32,Design!$B$33)*1000000*Constants!$D$25/1000000000*($B4-Constants!$C$24)</f>
        <v>0.13154999999999992</v>
      </c>
      <c r="AL4" s="192">
        <f>$B4*AG4*($B4/(Constants!$C$26*1000000000)*IF(ISBLANK(Design!$B$33),Design!$B$32,Design!$B$33)*1000000/2+$B4/(Constants!$C$27*1000000000)*IF(ISBLANK(Design!$B$33),Design!$B$32,Design!$B$33)*1000000/2)</f>
        <v>0.25008219178082169</v>
      </c>
      <c r="AM4" s="192">
        <f t="shared" ref="AM4:AM44" ca="1" si="3">IF($D$115,1,AI4/100*(AG4^2+AJ4^2/12)*AS4/1000)</f>
        <v>3.760119790665109E-2</v>
      </c>
      <c r="AN4" s="192">
        <f>Constants!$D$25/1000000000*Constants!$C$24*IF(ISBLANK(Design!$B$33),Design!$B$32,Design!$B$33)*1000000</f>
        <v>6.8250000000000005E-2</v>
      </c>
      <c r="AO4" s="192">
        <f ca="1">SUM(AK4:AN4)</f>
        <v>0.48748338968747273</v>
      </c>
      <c r="AP4" s="192">
        <f ca="1">AG4*AH4*(1-AI4/100)</f>
        <v>0.1140579334596583</v>
      </c>
      <c r="AQ4" s="193">
        <f ca="1">$A4+AP4*Design!$B$19</f>
        <v>90.702896672982916</v>
      </c>
      <c r="AR4" s="193">
        <f ca="1">AO4*Design!$C$12+$A4</f>
        <v>101.57443524937408</v>
      </c>
      <c r="AS4" s="193">
        <f ca="1">Constants!$D$22+Constants!$D$22*Constants!$C$23/100*(AR4-25)</f>
        <v>186.25954819949925</v>
      </c>
      <c r="AT4" s="192">
        <f ca="1">IF(100*(Design!$C$29+AH4+AG4*IF(ISBLANK(Design!$B$43),Constants!$C$6,Design!$B$43)/1000*(1+Constants!$C$36/100*(AR4-25)))/($B4+AH4-AG4*AS4/1000)&gt;Design!$C$36,  (1-Constants!$C$20/1000000000*IF(ISBLANK(Design!$B$33),Design!$B$32/4,Design!$B$33/4)*1000000) * ($B4+AH4-AG4*AS4/1000) - (AH4+AG4*(1+($A4-25)*Constants!$C$36/100)*IF(ISBLANK(Design!$B$43),Constants!$C$6/1000,Design!$B$43/1000)),   (1-Constants!$C$20/1000000000*IF(ISBLANK(Design!$B$33),Design!$B$32,Design!$B$33)*1000000) * ($B4+AH4-AG4*AS4/1000) - (AH4+AG4*(1+($A4-25)*Constants!$C$36/100)*IF(ISBLANK(Design!$B$43),Constants!$C$6/1000,Design!$B$43/1000)) )</f>
        <v>9.6686712466754727</v>
      </c>
      <c r="AU4" s="191">
        <f ca="1">IF(AT4&gt;Design!$C$29,Design!$C$29,AT4)</f>
        <v>4.99903317535545</v>
      </c>
    </row>
    <row r="5" spans="1:47" s="120" customFormat="1" ht="12.75" customHeight="1" x14ac:dyDescent="0.25">
      <c r="A5" s="112">
        <f>Design!$D$13</f>
        <v>85</v>
      </c>
      <c r="B5" s="113">
        <f t="shared" si="0"/>
        <v>11.784999999999995</v>
      </c>
      <c r="C5" s="114">
        <f>Design!$D$7</f>
        <v>2</v>
      </c>
      <c r="D5" s="114">
        <f ca="1">FORECAST(C5, OFFSET(Design!$C$15:$C$17,MATCH(C5,Design!$B$15:$B$17,1)-1,0,2), OFFSET(Design!$B$15:$B$17,MATCH(C5,Design!$B$15:$B$17,1)-1,0,2))+(M5-25)*Design!$B$18/1000</f>
        <v>0.38744326010731289</v>
      </c>
      <c r="E5" s="173">
        <f ca="1">IF(100*(Design!$C$29+D5+C5*IF(ISBLANK(Design!$B$43),Constants!$C$6,Design!$B$43)/1000*(1+Constants!$C$36/100*(N5-25)))/($B5+D5-C5*O5/1000)&gt;Design!$C$36,Design!$C$37,100*(Design!$C$29+D5+C5*IF(ISBLANK(Design!$B$43),Constants!$C$6,Design!$B$43)/1000*(1+Constants!$C$36/100*(N5-25)))/($B5+D5-C5*O5/1000))</f>
        <v>46.782917645663602</v>
      </c>
      <c r="F5" s="115">
        <f ca="1">IF(($B5-C5*IF(ISBLANK(Design!$B$43),Constants!$C$6,Design!$B$43)/1000*(1+Constants!$C$36/100*(N5-25))-Design!$C$29)/(IF(ISBLANK(Design!$B$42),Design!$B$40,Design!$B$42)/1000000)*E5/100/(IF(ISBLANK(Design!$B$33),Design!$B$32,Design!$B$33)*1000000)&lt;0, 0, ($B5-C5*IF(ISBLANK(Design!$B$43),Constants!$C$6,Design!$B$43)/1000*(1+Constants!$C$36/100*(N5-25))-Design!$C$29)/(IF(ISBLANK(Design!$B$42),Design!$B$40,Design!$B$42)/1000000)*E5/100/(IF(ISBLANK(Design!$B$33),Design!$B$32,Design!$B$33)*1000000))</f>
        <v>0.45048494276728862</v>
      </c>
      <c r="G5" s="165">
        <f>B5*Constants!$C$21/1000+IF(ISBLANK(Design!$B$33),Design!$B$32,Design!$B$33)*1000000*Constants!$D$25/1000000000*(B5-Constants!$C$24)</f>
        <v>0.12797024999999992</v>
      </c>
      <c r="H5" s="165">
        <f>B5*C5*(B5/(Constants!$C$26*1000000000)*IF(ISBLANK(Design!$B$33),Design!$B$32,Design!$B$33)*1000000/2+B5/(Constants!$C$27*1000000000)*IF(ISBLANK(Design!$B$33),Design!$B$32,Design!$B$33)*1000000/2)</f>
        <v>0.72360357408675735</v>
      </c>
      <c r="I5" s="165">
        <f t="shared" ca="1" si="1"/>
        <v>0.39216903356261873</v>
      </c>
      <c r="J5" s="165">
        <f>Constants!$D$25/1000000000*Constants!$C$24*IF(ISBLANK(Design!$B$33),Design!$B$32,Design!$B$33)*1000000</f>
        <v>6.8250000000000005E-2</v>
      </c>
      <c r="K5" s="165">
        <f t="shared" ref="K5:K44" ca="1" si="4">SUM(G5:J5)</f>
        <v>1.311992857649376</v>
      </c>
      <c r="L5" s="165">
        <f t="shared" ref="L5:L44" ca="1" si="5">C5*D5*(1-E5/100)</f>
        <v>0.41237199761526894</v>
      </c>
      <c r="M5" s="166">
        <f ca="1">A5+L5*Design!$B$19</f>
        <v>105.61859988076344</v>
      </c>
      <c r="N5" s="166">
        <f ca="1">K5*Design!$C$12+A5</f>
        <v>129.60775716007879</v>
      </c>
      <c r="O5" s="166">
        <f ca="1">Constants!$D$22+Constants!$D$22*Constants!$C$23/100*(N5-25)</f>
        <v>208.68620572806304</v>
      </c>
      <c r="P5" s="165">
        <f ca="1">IF(100*(Design!$C$29+D5+C5*IF(ISBLANK(Design!$B$43),Constants!$C$6,Design!$B$43)/1000*(1+Constants!$C$36/100*(N5-25)))/($B5+D5-C5*O5/1000)&gt;Design!$C$36,  (1-Constants!$C$20/1000000000*IF(ISBLANK(Design!$B$33),Design!$B$32/4,Design!$B$33/4)*1000000) * ($B5+D5-C5*O5/1000) - (D5+C5*(1+($A5-25)*Constants!$C$36/100)*IF(ISBLANK(Design!$B$43),Constants!$C$6/1000,Design!$B$43/1000)),   (1-Constants!$C$20/1000000000*IF(ISBLANK(Design!$B$33),Design!$B$32,Design!$B$33)*1000000) * ($B5+D5-C5*O5/1000) - (D5+C5*(1+($A5-25)*Constants!$C$36/100)*IF(ISBLANK(Design!$B$43),Constants!$C$6/1000,Design!$B$43/1000)) )</f>
        <v>9.1704834420596324</v>
      </c>
      <c r="Q5" s="171">
        <f ca="1">IF(P5&gt;Design!$C$29,Design!$C$29,P5)</f>
        <v>4.99903317535545</v>
      </c>
      <c r="R5" s="181">
        <f>2*Design!$D$7/3</f>
        <v>1.3333333333333333</v>
      </c>
      <c r="S5" s="116">
        <f ca="1">FORECAST(R5, OFFSET(Design!$C$15:$C$17,MATCH(R5,Design!$B$15:$B$17,1)-1,0,2), OFFSET(Design!$B$15:$B$17,MATCH(R5,Design!$B$15:$B$17,1)-1,0,2))+(AB5-25)*Design!$B$18/1000</f>
        <v>0.34654846581854937</v>
      </c>
      <c r="T5" s="182">
        <f ca="1">IF(100*(Design!$C$29+S5+R5*IF(ISBLANK(Design!$B$43),Constants!$C$6,Design!$B$43)/1000*(1+Constants!$C$36/100*(AC5-25)))/($B5+S5-R5*AD5/1000)&gt;Design!$C$36,Design!$C$37,100*(Design!$C$29+S5+R5*IF(ISBLANK(Design!$B$43),Constants!$C$6,Design!$B$43)/1000*(1+Constants!$C$36/100*(AC5-25)))/($B5+S5-R5*AD5/1000))</f>
        <v>45.63826252217558</v>
      </c>
      <c r="U5" s="117">
        <f ca="1">IF(($B5-R5*IF(ISBLANK(Design!$B$43),Constants!$C$6,Design!$B$43)/1000*(1+Constants!$C$36/100*(AC5-25))-Design!$C$29)/(Design!$B$42/1000000)*T5/100/(IF(ISBLANK(IF(ISBLANK(Design!$B$42),Design!$B$40,Design!$B$42)),Design!$B$32,Design!$B$33)*1000000)&lt;0,0,($B5-R5*IF(ISBLANK(Design!$B$43),Constants!$C$6,Design!$B$43)/1000*(1+Constants!$C$36/100*(AC5-25))-Design!$C$29)/(IF(ISBLANK(Design!$B$42),Design!$B$40,Design!$B$42)/1000000)*T5/100/(IF(ISBLANK(Design!$B$33),Design!$B$32,Design!$B$33)*1000000))</f>
        <v>0.44216289860546515</v>
      </c>
      <c r="V5" s="183">
        <f>$B5*Constants!$C$21/1000+IF(ISBLANK(Design!$B$33),Design!$B$32,Design!$B$33)*1000000*Constants!$D$25/1000000000*($B5-Constants!$C$24)</f>
        <v>0.12797024999999992</v>
      </c>
      <c r="W5" s="183">
        <f>$B5*R5*($B5/(Constants!$C$26*1000000000)*IF(ISBLANK(Design!$B$33),Design!$B$32,Design!$B$33)*1000000/2+$B5/(Constants!$C$27*1000000000)*IF(ISBLANK(Design!$B$33),Design!$B$32,Design!$B$33)*1000000/2)</f>
        <v>0.48240238272450486</v>
      </c>
      <c r="X5" s="183">
        <f t="shared" ca="1" si="2"/>
        <v>0.160333656649712</v>
      </c>
      <c r="Y5" s="183">
        <f>Constants!$D$25/1000000000*Constants!$C$24*IF(ISBLANK(Design!$B$33),Design!$B$32,Design!$B$33)*1000000</f>
        <v>6.8250000000000005E-2</v>
      </c>
      <c r="Z5" s="183">
        <f t="shared" ref="Z5" ca="1" si="6">SUM(V5:Y5)</f>
        <v>0.83895628937421685</v>
      </c>
      <c r="AA5" s="183">
        <f t="shared" ref="AA5:AA44" ca="1" si="7">R5*S5*(1-T5/100)</f>
        <v>0.25118635629561054</v>
      </c>
      <c r="AB5" s="184">
        <f ca="1">$A5+AA5*Design!$B$19</f>
        <v>97.559317814780528</v>
      </c>
      <c r="AC5" s="184">
        <f ca="1">Z5*Design!$C$12+$A5</f>
        <v>113.52451383872338</v>
      </c>
      <c r="AD5" s="184">
        <f ca="1">Constants!$D$22+Constants!$D$22*Constants!$C$23/100*(AC5-25)</f>
        <v>195.81961107097871</v>
      </c>
      <c r="AE5" s="183">
        <f ca="1">IF(100*(Design!$C$29+S5+R5*IF(ISBLANK(Design!$B$43),Constants!$C$6,Design!$B$43)/1000*(1+Constants!$C$36/100*(AC5-25)))/($B5+S5-R5*AD5/1000)&gt;Design!$C$36,  (1-Constants!$C$20/1000000000*IF(ISBLANK(Design!$B$33),Design!$B$32/4,Design!$B$33/4)*1000000) * ($B5+S5-R5*AD5/1000) - (S5+R5*(1+($A5-25)*Constants!$C$36/100)*IF(ISBLANK(Design!$B$43),Constants!$C$6/1000,Design!$B$43/1000)),   (1-Constants!$C$20/1000000000*IF(ISBLANK(Design!$B$33),Design!$B$32,Design!$B$33)*1000000) * ($B5+S5-R5*AD5/1000) - (S5+R5*(1+($A5-25)*Constants!$C$36/100)*IF(ISBLANK(Design!$B$43),Constants!$C$6/1000,Design!$B$43/1000)) )</f>
        <v>9.3391215181916394</v>
      </c>
      <c r="AF5" s="117">
        <f ca="1">IF(AE5&gt;Design!$C$29,Design!$C$29,AE5)</f>
        <v>4.99903317535545</v>
      </c>
      <c r="AG5" s="118">
        <f>Design!$D$7/3</f>
        <v>0.66666666666666663</v>
      </c>
      <c r="AH5" s="118">
        <f ca="1">FORECAST(AG5, OFFSET(Design!$C$15:$C$17,MATCH(AG5,Design!$B$15:$B$17,1)-1,0,2), OFFSET(Design!$B$15:$B$17,MATCH(AG5,Design!$B$15:$B$17,1)-1,0,2))+(AQ5-25)*Design!$B$18/1000</f>
        <v>0.30464180123099455</v>
      </c>
      <c r="AI5" s="194">
        <f ca="1">IF(100*(Design!$C$29+AH5+AG5*IF(ISBLANK(Design!$B$43),Constants!$C$6,Design!$B$43)/1000*(1+Constants!$C$36/100*(AR5-25)))/($B5+AH5-AG5*AS5/1000)&gt;Design!$C$36,Design!$C$37,100*(Design!$C$29+AH5+AG5*IF(ISBLANK(Design!$B$43),Constants!$C$6,Design!$B$43)/1000*(1+Constants!$C$36/100*(AR5-25)))/($B5+AH5-AG5*AS5/1000))</f>
        <v>44.613614500099089</v>
      </c>
      <c r="AJ5" s="119">
        <f ca="1">IF(($B5-AG5*IF(ISBLANK(Design!$B$43),Constants!$C$6,Design!$B$43)/1000*(1+Constants!$C$36/100*(AR5-25))-Design!$C$29)/(IF(ISBLANK(Design!$B$42),Design!$B$40,Design!$B$42)/1000000)*AI5/100/(IF(ISBLANK(Design!$B$33),Design!$B$32,Design!$B$33)*1000000)&lt;0,0,($B5-AG5*IF(ISBLANK(Design!$B$43),Constants!$C$6,Design!$B$43)/1000*(1+Constants!$C$36/100*(AR5-25))-Design!$C$29)/(IF(ISBLANK(Design!$B$42),Design!$B$40,Design!$B$42)/1000000)*AI5/100/(IF(ISBLANK(Design!$B$33),Design!$B$32,Design!$B$33)*1000000))</f>
        <v>0.4346330116494167</v>
      </c>
      <c r="AK5" s="195">
        <f>$B5*Constants!$C$21/1000+IF(ISBLANK(Design!$B$33),Design!$B$32,Design!$B$33)*1000000*Constants!$D$25/1000000000*($B5-Constants!$C$24)</f>
        <v>0.12797024999999992</v>
      </c>
      <c r="AL5" s="195">
        <f>$B5*AG5*($B5/(Constants!$C$26*1000000000)*IF(ISBLANK(Design!$B$33),Design!$B$32,Design!$B$33)*1000000/2+$B5/(Constants!$C$27*1000000000)*IF(ISBLANK(Design!$B$33),Design!$B$32,Design!$B$33)*1000000/2)</f>
        <v>0.24120119136225243</v>
      </c>
      <c r="AM5" s="195">
        <f t="shared" ca="1" si="3"/>
        <v>3.8173792304331544E-2</v>
      </c>
      <c r="AN5" s="195">
        <f>Constants!$D$25/1000000000*Constants!$C$24*IF(ISBLANK(Design!$B$33),Design!$B$32,Design!$B$33)*1000000</f>
        <v>6.8250000000000005E-2</v>
      </c>
      <c r="AO5" s="195">
        <f t="shared" ref="AO5" ca="1" si="8">SUM(AK5:AN5)</f>
        <v>0.47559523366658385</v>
      </c>
      <c r="AP5" s="195">
        <f t="shared" ref="AP5:AP44" ca="1" si="9">AG5*AH5*(1-AI5/100)</f>
        <v>0.11248672161576036</v>
      </c>
      <c r="AQ5" s="196">
        <f ca="1">$A5+AP5*Design!$B$19</f>
        <v>90.624336080788012</v>
      </c>
      <c r="AR5" s="196">
        <f ca="1">AO5*Design!$C$12+$A5</f>
        <v>101.17023794466385</v>
      </c>
      <c r="AS5" s="196">
        <f ca="1">Constants!$D$22+Constants!$D$22*Constants!$C$23/100*(AR5-25)</f>
        <v>185.93619035573107</v>
      </c>
      <c r="AT5" s="195">
        <f ca="1">IF(100*(Design!$C$29+AH5+AG5*IF(ISBLANK(Design!$B$43),Constants!$C$6,Design!$B$43)/1000*(1+Constants!$C$36/100*(AR5-25)))/($B5+AH5-AG5*AS5/1000)&gt;Design!$C$36,  (1-Constants!$C$20/1000000000*IF(ISBLANK(Design!$B$33),Design!$B$32/4,Design!$B$33/4)*1000000) * ($B5+AH5-AG5*AS5/1000) - (AH5+AG5*(1+($A5-25)*Constants!$C$36/100)*IF(ISBLANK(Design!$B$43),Constants!$C$6/1000,Design!$B$43/1000)),   (1-Constants!$C$20/1000000000*IF(ISBLANK(Design!$B$33),Design!$B$32,Design!$B$33)*1000000) * ($B5+AH5-AG5*AS5/1000) - (AH5+AG5*(1+($A5-25)*Constants!$C$36/100)*IF(ISBLANK(Design!$B$43),Constants!$C$6/1000,Design!$B$43/1000)) )</f>
        <v>9.4922132182287751</v>
      </c>
      <c r="AU5" s="119">
        <f ca="1">IF(AT5&gt;Design!$C$29,Design!$C$29,AT5)</f>
        <v>4.99903317535545</v>
      </c>
    </row>
    <row r="6" spans="1:47" s="120" customFormat="1" ht="12.75" customHeight="1" x14ac:dyDescent="0.25">
      <c r="A6" s="112">
        <f>Design!$D$13</f>
        <v>85</v>
      </c>
      <c r="B6" s="113">
        <f t="shared" si="0"/>
        <v>11.569999999999995</v>
      </c>
      <c r="C6" s="114">
        <f>Design!$D$7</f>
        <v>2</v>
      </c>
      <c r="D6" s="114">
        <f ca="1">FORECAST(C6, OFFSET(Design!$C$15:$C$17,MATCH(C6,Design!$B$15:$B$17,1)-1,0,2), OFFSET(Design!$B$15:$B$17,MATCH(C6,Design!$B$15:$B$17,1)-1,0,2))+(M6-25)*Design!$B$18/1000</f>
        <v>0.38773143448618685</v>
      </c>
      <c r="E6" s="173">
        <f ca="1">IF(100*(Design!$C$29+D6+C6*IF(ISBLANK(Design!$B$43),Constants!$C$6,Design!$B$43)/1000*(1+Constants!$C$36/100*(N6-25)))/($B6+D6-C6*O6/1000)&gt;Design!$C$36,Design!$C$37,100*(Design!$C$29+D6+C6*IF(ISBLANK(Design!$B$43),Constants!$C$6,Design!$B$43)/1000*(1+Constants!$C$36/100*(N6-25)))/($B6+D6-C6*O6/1000))</f>
        <v>47.648283525533387</v>
      </c>
      <c r="F6" s="115">
        <f ca="1">IF(($B6-C6*IF(ISBLANK(Design!$B$43),Constants!$C$6,Design!$B$43)/1000*(1+Constants!$C$36/100*(N6-25))-Design!$C$29)/(IF(ISBLANK(Design!$B$42),Design!$B$40,Design!$B$42)/1000000)*E6/100/(IF(ISBLANK(Design!$B$33),Design!$B$32,Design!$B$33)*1000000)&lt;0, 0, ($B6-C6*IF(ISBLANK(Design!$B$43),Constants!$C$6,Design!$B$43)/1000*(1+Constants!$C$36/100*(N6-25))-Design!$C$29)/(IF(ISBLANK(Design!$B$42),Design!$B$40,Design!$B$42)/1000000)*E6/100/(IF(ISBLANK(Design!$B$33),Design!$B$32,Design!$B$33)*1000000))</f>
        <v>0.44405259250944817</v>
      </c>
      <c r="G6" s="165">
        <f>B6*Constants!$C$21/1000+IF(ISBLANK(Design!$B$33),Design!$B$32,Design!$B$33)*1000000*Constants!$D$25/1000000000*(B6-Constants!$C$24)</f>
        <v>0.12439049999999993</v>
      </c>
      <c r="H6" s="165">
        <f>B6*C6*(B6/(Constants!$C$26*1000000000)*IF(ISBLANK(Design!$B$33),Design!$B$32,Design!$B$33)*1000000/2+B6/(Constants!$C$27*1000000000)*IF(ISBLANK(Design!$B$33),Design!$B$32,Design!$B$33)*1000000/2)</f>
        <v>0.69744224155251089</v>
      </c>
      <c r="I6" s="165">
        <f t="shared" ca="1" si="1"/>
        <v>0.39813805365745386</v>
      </c>
      <c r="J6" s="165">
        <f>Constants!$D$25/1000000000*Constants!$C$24*IF(ISBLANK(Design!$B$33),Design!$B$32,Design!$B$33)*1000000</f>
        <v>6.8250000000000005E-2</v>
      </c>
      <c r="K6" s="165">
        <f ca="1">SUM(G6:J6)</f>
        <v>1.2882207952099647</v>
      </c>
      <c r="L6" s="165">
        <f t="shared" ca="1" si="5"/>
        <v>0.40596812252918163</v>
      </c>
      <c r="M6" s="166">
        <f ca="1">A6+L6*Design!$B$19</f>
        <v>105.29840612645908</v>
      </c>
      <c r="N6" s="166">
        <f ca="1">K6*Design!$C$12+A6</f>
        <v>128.7995070371388</v>
      </c>
      <c r="O6" s="166">
        <f ca="1">Constants!$D$22+Constants!$D$22*Constants!$C$23/100*(N6-25)</f>
        <v>208.03960562971105</v>
      </c>
      <c r="P6" s="165">
        <f ca="1">IF(100*(Design!$C$29+D6+C6*IF(ISBLANK(Design!$B$43),Constants!$C$6,Design!$B$43)/1000*(1+Constants!$C$36/100*(N6-25)))/($B6+D6-C6*O6/1000)&gt;Design!$C$36,  (1-Constants!$C$20/1000000000*IF(ISBLANK(Design!$B$33),Design!$B$32/4,Design!$B$33/4)*1000000) * ($B6+D6-C6*O6/1000) - (D6+C6*(1+($A6-25)*Constants!$C$36/100)*IF(ISBLANK(Design!$B$43),Constants!$C$6/1000,Design!$B$43/1000)),   (1-Constants!$C$20/1000000000*IF(ISBLANK(Design!$B$33),Design!$B$32,Design!$B$33)*1000000) * ($B6+D6-C6*O6/1000) - (D6+C6*(1+($A6-25)*Constants!$C$36/100)*IF(ISBLANK(Design!$B$43),Constants!$C$6/1000,Design!$B$43/1000)) )</f>
        <v>8.9948718668945951</v>
      </c>
      <c r="Q6" s="171">
        <f ca="1">IF(P6&gt;Design!$C$29,Design!$C$29,P6)</f>
        <v>4.99903317535545</v>
      </c>
      <c r="R6" s="181">
        <f>2*Design!$D$7/3</f>
        <v>1.3333333333333333</v>
      </c>
      <c r="S6" s="116">
        <f ca="1">FORECAST(R6, OFFSET(Design!$C$15:$C$17,MATCH(R6,Design!$B$15:$B$17,1)-1,0,2), OFFSET(Design!$B$15:$B$17,MATCH(R6,Design!$B$15:$B$17,1)-1,0,2))+(AB6-25)*Design!$B$18/1000</f>
        <v>0.34671745385218605</v>
      </c>
      <c r="T6" s="182">
        <f ca="1">IF(100*(Design!$C$29+S6+R6*IF(ISBLANK(Design!$B$43),Constants!$C$6,Design!$B$43)/1000*(1+Constants!$C$36/100*(AC6-25)))/($B6+S6-R6*AD6/1000)&gt;Design!$C$36,Design!$C$37,100*(Design!$C$29+S6+R6*IF(ISBLANK(Design!$B$43),Constants!$C$6,Design!$B$43)/1000*(1+Constants!$C$36/100*(AC6-25)))/($B6+S6-R6*AD6/1000))</f>
        <v>46.477081573878799</v>
      </c>
      <c r="U6" s="117">
        <f ca="1">IF(($B6-R6*IF(ISBLANK(Design!$B$43),Constants!$C$6,Design!$B$43)/1000*(1+Constants!$C$36/100*(AC6-25))-Design!$C$29)/(Design!$B$42/1000000)*T6/100/(IF(ISBLANK(IF(ISBLANK(Design!$B$42),Design!$B$40,Design!$B$42)),Design!$B$32,Design!$B$33)*1000000)&lt;0,0,($B6-R6*IF(ISBLANK(Design!$B$43),Constants!$C$6,Design!$B$43)/1000*(1+Constants!$C$36/100*(AC6-25))-Design!$C$29)/(IF(ISBLANK(Design!$B$42),Design!$B$40,Design!$B$42)/1000000)*T6/100/(IF(ISBLANK(Design!$B$33),Design!$B$32,Design!$B$33)*1000000))</f>
        <v>0.4358792968501074</v>
      </c>
      <c r="V6" s="183">
        <f>$B6*Constants!$C$21/1000+IF(ISBLANK(Design!$B$33),Design!$B$32,Design!$B$33)*1000000*Constants!$D$25/1000000000*($B6-Constants!$C$24)</f>
        <v>0.12439049999999993</v>
      </c>
      <c r="W6" s="183">
        <f>$B6*R6*($B6/(Constants!$C$26*1000000000)*IF(ISBLANK(Design!$B$33),Design!$B$32,Design!$B$33)*1000000/2+$B6/(Constants!$C$27*1000000000)*IF(ISBLANK(Design!$B$33),Design!$B$32,Design!$B$33)*1000000/2)</f>
        <v>0.46496149436834056</v>
      </c>
      <c r="X6" s="183">
        <f t="shared" ca="1" si="2"/>
        <v>0.16281841182783485</v>
      </c>
      <c r="Y6" s="183">
        <f>Constants!$D$25/1000000000*Constants!$C$24*IF(ISBLANK(Design!$B$33),Design!$B$32,Design!$B$33)*1000000</f>
        <v>6.8250000000000005E-2</v>
      </c>
      <c r="Z6" s="183">
        <f ca="1">SUM(V6:Y6)</f>
        <v>0.8204204061961754</v>
      </c>
      <c r="AA6" s="183">
        <f t="shared" ca="1" si="7"/>
        <v>0.24743106665923995</v>
      </c>
      <c r="AB6" s="184">
        <f ca="1">$A6+AA6*Design!$B$19</f>
        <v>97.371553332961994</v>
      </c>
      <c r="AC6" s="184">
        <f ca="1">Z6*Design!$C$12+$A6</f>
        <v>112.89429381066996</v>
      </c>
      <c r="AD6" s="184">
        <f ca="1">Constants!$D$22+Constants!$D$22*Constants!$C$23/100*(AC6-25)</f>
        <v>195.31543504853596</v>
      </c>
      <c r="AE6" s="183">
        <f ca="1">IF(100*(Design!$C$29+S6+R6*IF(ISBLANK(Design!$B$43),Constants!$C$6,Design!$B$43)/1000*(1+Constants!$C$36/100*(AC6-25)))/($B6+S6-R6*AD6/1000)&gt;Design!$C$36,  (1-Constants!$C$20/1000000000*IF(ISBLANK(Design!$B$33),Design!$B$32/4,Design!$B$33/4)*1000000) * ($B6+S6-R6*AD6/1000) - (S6+R6*(1+($A6-25)*Constants!$C$36/100)*IF(ISBLANK(Design!$B$43),Constants!$C$6/1000,Design!$B$43/1000)),   (1-Constants!$C$20/1000000000*IF(ISBLANK(Design!$B$33),Design!$B$32,Design!$B$33)*1000000) * ($B6+S6-R6*AD6/1000) - (S6+R6*(1+($A6-25)*Constants!$C$36/100)*IF(ISBLANK(Design!$B$43),Constants!$C$6/1000,Design!$B$43/1000)) )</f>
        <v>9.1630210946308832</v>
      </c>
      <c r="AF6" s="117">
        <f ca="1">IF(AE6&gt;Design!$C$29,Design!$C$29,AE6)</f>
        <v>4.99903317535545</v>
      </c>
      <c r="AG6" s="118">
        <f>Design!$D$7/3</f>
        <v>0.66666666666666663</v>
      </c>
      <c r="AH6" s="118">
        <f ca="1">FORECAST(AG6, OFFSET(Design!$C$15:$C$17,MATCH(AG6,Design!$B$15:$B$17,1)-1,0,2), OFFSET(Design!$B$15:$B$17,MATCH(AG6,Design!$B$15:$B$17,1)-1,0,2))+(AQ6-25)*Design!$B$18/1000</f>
        <v>0.3047151269848174</v>
      </c>
      <c r="AI6" s="194">
        <f ca="1">IF(100*(Design!$C$29+AH6+AG6*IF(ISBLANK(Design!$B$43),Constants!$C$6,Design!$B$43)/1000*(1+Constants!$C$36/100*(AR6-25)))/($B6+AH6-AG6*AS6/1000)&gt;Design!$C$36,Design!$C$37,100*(Design!$C$29+AH6+AG6*IF(ISBLANK(Design!$B$43),Constants!$C$6,Design!$B$43)/1000*(1+Constants!$C$36/100*(AR6-25)))/($B6+AH6-AG6*AS6/1000))</f>
        <v>45.429066067392782</v>
      </c>
      <c r="AJ6" s="119">
        <f ca="1">IF(($B6-AG6*IF(ISBLANK(Design!$B$43),Constants!$C$6,Design!$B$43)/1000*(1+Constants!$C$36/100*(AR6-25))-Design!$C$29)/(IF(ISBLANK(Design!$B$42),Design!$B$40,Design!$B$42)/1000000)*AI6/100/(IF(ISBLANK(Design!$B$33),Design!$B$32,Design!$B$33)*1000000)&lt;0,0,($B6-AG6*IF(ISBLANK(Design!$B$43),Constants!$C$6,Design!$B$43)/1000*(1+Constants!$C$36/100*(AR6-25))-Design!$C$29)/(IF(ISBLANK(Design!$B$42),Design!$B$40,Design!$B$42)/1000000)*AI6/100/(IF(ISBLANK(Design!$B$33),Design!$B$32,Design!$B$33)*1000000))</f>
        <v>0.42848585173349418</v>
      </c>
      <c r="AK6" s="195">
        <f>$B6*Constants!$C$21/1000+IF(ISBLANK(Design!$B$33),Design!$B$32,Design!$B$33)*1000000*Constants!$D$25/1000000000*($B6-Constants!$C$24)</f>
        <v>0.12439049999999993</v>
      </c>
      <c r="AL6" s="195">
        <f>$B6*AG6*($B6/(Constants!$C$26*1000000000)*IF(ISBLANK(Design!$B$33),Design!$B$32,Design!$B$33)*1000000/2+$B6/(Constants!$C$27*1000000000)*IF(ISBLANK(Design!$B$33),Design!$B$32,Design!$B$33)*1000000/2)</f>
        <v>0.23248074718417028</v>
      </c>
      <c r="AM6" s="195">
        <f t="shared" ca="1" si="3"/>
        <v>3.8767686090511767E-2</v>
      </c>
      <c r="AN6" s="195">
        <f>Constants!$D$25/1000000000*Constants!$C$24*IF(ISBLANK(Design!$B$33),Design!$B$32,Design!$B$33)*1000000</f>
        <v>6.8250000000000005E-2</v>
      </c>
      <c r="AO6" s="195">
        <f ca="1">SUM(AK6:AN6)</f>
        <v>0.46388893327468195</v>
      </c>
      <c r="AP6" s="195">
        <f t="shared" ca="1" si="9"/>
        <v>0.11085726041969658</v>
      </c>
      <c r="AQ6" s="196">
        <f ca="1">$A6+AP6*Design!$B$19</f>
        <v>90.542863020984825</v>
      </c>
      <c r="AR6" s="196">
        <f ca="1">AO6*Design!$C$12+$A6</f>
        <v>100.77222373133918</v>
      </c>
      <c r="AS6" s="196">
        <f ca="1">Constants!$D$22+Constants!$D$22*Constants!$C$23/100*(AR6-25)</f>
        <v>185.61777898507134</v>
      </c>
      <c r="AT6" s="195">
        <f ca="1">IF(100*(Design!$C$29+AH6+AG6*IF(ISBLANK(Design!$B$43),Constants!$C$6,Design!$B$43)/1000*(1+Constants!$C$36/100*(AR6-25)))/($B6+AH6-AG6*AS6/1000)&gt;Design!$C$36,  (1-Constants!$C$20/1000000000*IF(ISBLANK(Design!$B$33),Design!$B$32/4,Design!$B$33/4)*1000000) * ($B6+AH6-AG6*AS6/1000) - (AH6+AG6*(1+($A6-25)*Constants!$C$36/100)*IF(ISBLANK(Design!$B$43),Constants!$C$6/1000,Design!$B$43/1000)),   (1-Constants!$C$20/1000000000*IF(ISBLANK(Design!$B$33),Design!$B$32,Design!$B$33)*1000000) * ($B6+AH6-AG6*AS6/1000) - (AH6+AG6*(1+($A6-25)*Constants!$C$36/100)*IF(ISBLANK(Design!$B$43),Constants!$C$6/1000,Design!$B$43/1000)) )</f>
        <v>9.3157520128757145</v>
      </c>
      <c r="AU6" s="119">
        <f ca="1">IF(AT6&gt;Design!$C$29,Design!$C$29,AT6)</f>
        <v>4.99903317535545</v>
      </c>
    </row>
    <row r="7" spans="1:47" s="120" customFormat="1" ht="12.75" customHeight="1" x14ac:dyDescent="0.25">
      <c r="A7" s="112">
        <f>Design!$D$13</f>
        <v>85</v>
      </c>
      <c r="B7" s="113">
        <f t="shared" si="0"/>
        <v>11.354999999999995</v>
      </c>
      <c r="C7" s="114">
        <f>Design!$D$7</f>
        <v>2</v>
      </c>
      <c r="D7" s="114">
        <f ca="1">FORECAST(C7, OFFSET(Design!$C$15:$C$17,MATCH(C7,Design!$B$15:$B$17,1)-1,0,2), OFFSET(Design!$B$15:$B$17,MATCH(C7,Design!$B$15:$B$17,1)-1,0,2))+(M7-25)*Design!$B$18/1000</f>
        <v>0.38803101962047581</v>
      </c>
      <c r="E7" s="173">
        <f ca="1">IF(100*(Design!$C$29+D7+C7*IF(ISBLANK(Design!$B$43),Constants!$C$6,Design!$B$43)/1000*(1+Constants!$C$36/100*(N7-25)))/($B7+D7-C7*O7/1000)&gt;Design!$C$36,Design!$C$37,100*(Design!$C$29+D7+C7*IF(ISBLANK(Design!$B$43),Constants!$C$6,Design!$B$43)/1000*(1+Constants!$C$36/100*(N7-25)))/($B7+D7-C7*O7/1000))</f>
        <v>48.546552348946982</v>
      </c>
      <c r="F7" s="115">
        <f ca="1">IF(($B7-C7*IF(ISBLANK(Design!$B$43),Constants!$C$6,Design!$B$43)/1000*(1+Constants!$C$36/100*(N7-25))-Design!$C$29)/(IF(ISBLANK(Design!$B$42),Design!$B$40,Design!$B$42)/1000000)*E7/100/(IF(ISBLANK(Design!$B$33),Design!$B$32,Design!$B$33)*1000000)&lt;0, 0, ($B7-C7*IF(ISBLANK(Design!$B$43),Constants!$C$6,Design!$B$43)/1000*(1+Constants!$C$36/100*(N7-25))-Design!$C$29)/(IF(ISBLANK(Design!$B$42),Design!$B$40,Design!$B$42)/1000000)*E7/100/(IF(ISBLANK(Design!$B$33),Design!$B$32,Design!$B$33)*1000000))</f>
        <v>0.43737980461065606</v>
      </c>
      <c r="G7" s="165">
        <f>B7*Constants!$C$21/1000+IF(ISBLANK(Design!$B$33),Design!$B$32,Design!$B$33)*1000000*Constants!$D$25/1000000000*(B7-Constants!$C$24)</f>
        <v>0.12081074999999993</v>
      </c>
      <c r="H7" s="165">
        <f>B7*C7*(B7/(Constants!$C$26*1000000000)*IF(ISBLANK(Design!$B$33),Design!$B$32,Design!$B$33)*1000000/2+B7/(Constants!$C$27*1000000000)*IF(ISBLANK(Design!$B$33),Design!$B$32,Design!$B$33)*1000000/2)</f>
        <v>0.67176257773972536</v>
      </c>
      <c r="I7" s="165">
        <f t="shared" ca="1" si="1"/>
        <v>0.40437332824165878</v>
      </c>
      <c r="J7" s="165">
        <f>Constants!$D$25/1000000000*Constants!$C$24*IF(ISBLANK(Design!$B$33),Design!$B$32,Design!$B$33)*1000000</f>
        <v>6.8250000000000005E-2</v>
      </c>
      <c r="K7" s="165">
        <f t="shared" ca="1" si="4"/>
        <v>1.2651966559813841</v>
      </c>
      <c r="L7" s="165">
        <f t="shared" ca="1" si="5"/>
        <v>0.39931067510053758</v>
      </c>
      <c r="M7" s="166">
        <f ca="1">A7+L7*Design!$B$19</f>
        <v>104.96553375502688</v>
      </c>
      <c r="N7" s="166">
        <f ca="1">K7*Design!$C$12+A7</f>
        <v>128.01668630336707</v>
      </c>
      <c r="O7" s="166">
        <f ca="1">Constants!$D$22+Constants!$D$22*Constants!$C$23/100*(N7-25)</f>
        <v>207.41334904269365</v>
      </c>
      <c r="P7" s="165">
        <f ca="1">IF(100*(Design!$C$29+D7+C7*IF(ISBLANK(Design!$B$43),Constants!$C$6,Design!$B$43)/1000*(1+Constants!$C$36/100*(N7-25)))/($B7+D7-C7*O7/1000)&gt;Design!$C$36,  (1-Constants!$C$20/1000000000*IF(ISBLANK(Design!$B$33),Design!$B$32/4,Design!$B$33/4)*1000000) * ($B7+D7-C7*O7/1000) - (D7+C7*(1+($A7-25)*Constants!$C$36/100)*IF(ISBLANK(Design!$B$43),Constants!$C$6/1000,Design!$B$43/1000)),   (1-Constants!$C$20/1000000000*IF(ISBLANK(Design!$B$33),Design!$B$32,Design!$B$33)*1000000) * ($B7+D7-C7*O7/1000) - (D7+C7*(1+($A7-25)*Constants!$C$36/100)*IF(ISBLANK(Design!$B$43),Constants!$C$6/1000,Design!$B$43/1000)) )</f>
        <v>8.8192248305205947</v>
      </c>
      <c r="Q7" s="171">
        <f ca="1">IF(P7&gt;Design!$C$29,Design!$C$29,P7)</f>
        <v>4.99903317535545</v>
      </c>
      <c r="R7" s="181">
        <f>2*Design!$D$7/3</f>
        <v>1.3333333333333333</v>
      </c>
      <c r="S7" s="116">
        <f ca="1">FORECAST(R7, OFFSET(Design!$C$15:$C$17,MATCH(R7,Design!$B$15:$B$17,1)-1,0,2), OFFSET(Design!$B$15:$B$17,MATCH(R7,Design!$B$15:$B$17,1)-1,0,2))+(AB7-25)*Design!$B$18/1000</f>
        <v>0.34689296614569715</v>
      </c>
      <c r="T7" s="182">
        <f ca="1">IF(100*(Design!$C$29+S7+R7*IF(ISBLANK(Design!$B$43),Constants!$C$6,Design!$B$43)/1000*(1+Constants!$C$36/100*(AC7-25)))/($B7+S7-R7*AD7/1000)&gt;Design!$C$36,Design!$C$37,100*(Design!$C$29+S7+R7*IF(ISBLANK(Design!$B$43),Constants!$C$6,Design!$B$43)/1000*(1+Constants!$C$36/100*(AC7-25)))/($B7+S7-R7*AD7/1000))</f>
        <v>47.347420406943293</v>
      </c>
      <c r="U7" s="117">
        <f ca="1">IF(($B7-R7*IF(ISBLANK(Design!$B$43),Constants!$C$6,Design!$B$43)/1000*(1+Constants!$C$36/100*(AC7-25))-Design!$C$29)/(Design!$B$42/1000000)*T7/100/(IF(ISBLANK(IF(ISBLANK(Design!$B$42),Design!$B$40,Design!$B$42)),Design!$B$32,Design!$B$33)*1000000)&lt;0,0,($B7-R7*IF(ISBLANK(Design!$B$43),Constants!$C$6,Design!$B$43)/1000*(1+Constants!$C$36/100*(AC7-25))-Design!$C$29)/(IF(ISBLANK(Design!$B$42),Design!$B$40,Design!$B$42)/1000000)*T7/100/(IF(ISBLANK(Design!$B$33),Design!$B$32,Design!$B$33)*1000000))</f>
        <v>0.42936116060756424</v>
      </c>
      <c r="V7" s="183">
        <f>$B7*Constants!$C$21/1000+IF(ISBLANK(Design!$B$33),Design!$B$32,Design!$B$33)*1000000*Constants!$D$25/1000000000*($B7-Constants!$C$24)</f>
        <v>0.12081074999999993</v>
      </c>
      <c r="W7" s="183">
        <f>$B7*R7*($B7/(Constants!$C$26*1000000000)*IF(ISBLANK(Design!$B$33),Design!$B$32,Design!$B$33)*1000000/2+$B7/(Constants!$C$27*1000000000)*IF(ISBLANK(Design!$B$33),Design!$B$32,Design!$B$33)*1000000/2)</f>
        <v>0.44784171849315024</v>
      </c>
      <c r="X7" s="183">
        <f t="shared" ca="1" si="2"/>
        <v>0.16540565254033651</v>
      </c>
      <c r="Y7" s="183">
        <f>Constants!$D$25/1000000000*Constants!$C$24*IF(ISBLANK(Design!$B$33),Design!$B$32,Design!$B$33)*1000000</f>
        <v>6.8250000000000005E-2</v>
      </c>
      <c r="Z7" s="183">
        <f t="shared" ref="Z7:Z44" ca="1" si="10">SUM(V7:Y7)</f>
        <v>0.8023081210334867</v>
      </c>
      <c r="AA7" s="183">
        <f t="shared" ca="1" si="7"/>
        <v>0.24353079347010462</v>
      </c>
      <c r="AB7" s="184">
        <f ca="1">$A7+AA7*Design!$B$19</f>
        <v>97.176539673505232</v>
      </c>
      <c r="AC7" s="184">
        <f ca="1">Z7*Design!$C$12+$A7</f>
        <v>112.27847611513855</v>
      </c>
      <c r="AD7" s="184">
        <f ca="1">Constants!$D$22+Constants!$D$22*Constants!$C$23/100*(AC7-25)</f>
        <v>194.82278089211084</v>
      </c>
      <c r="AE7" s="183">
        <f ca="1">IF(100*(Design!$C$29+S7+R7*IF(ISBLANK(Design!$B$43),Constants!$C$6,Design!$B$43)/1000*(1+Constants!$C$36/100*(AC7-25)))/($B7+S7-R7*AD7/1000)&gt;Design!$C$36,  (1-Constants!$C$20/1000000000*IF(ISBLANK(Design!$B$33),Design!$B$32/4,Design!$B$33/4)*1000000) * ($B7+S7-R7*AD7/1000) - (S7+R7*(1+($A7-25)*Constants!$C$36/100)*IF(ISBLANK(Design!$B$43),Constants!$C$6/1000,Design!$B$43/1000)),   (1-Constants!$C$20/1000000000*IF(ISBLANK(Design!$B$33),Design!$B$32,Design!$B$33)*1000000) * ($B7+S7-R7*AD7/1000) - (S7+R7*(1+($A7-25)*Constants!$C$36/100)*IF(ISBLANK(Design!$B$43),Constants!$C$6/1000,Design!$B$43/1000)) )</f>
        <v>8.9869068862058299</v>
      </c>
      <c r="AF7" s="117">
        <f ca="1">IF(AE7&gt;Design!$C$29,Design!$C$29,AE7)</f>
        <v>4.99903317535545</v>
      </c>
      <c r="AG7" s="118">
        <f>Design!$D$7/3</f>
        <v>0.66666666666666663</v>
      </c>
      <c r="AH7" s="118">
        <f ca="1">FORECAST(AG7, OFFSET(Design!$C$15:$C$17,MATCH(AG7,Design!$B$15:$B$17,1)-1,0,2), OFFSET(Design!$B$15:$B$17,MATCH(AG7,Design!$B$15:$B$17,1)-1,0,2))+(AQ7-25)*Design!$B$18/1000</f>
        <v>0.30479122240747003</v>
      </c>
      <c r="AI7" s="194">
        <f ca="1">IF(100*(Design!$C$29+AH7+AG7*IF(ISBLANK(Design!$B$43),Constants!$C$6,Design!$B$43)/1000*(1+Constants!$C$36/100*(AR7-25)))/($B7+AH7-AG7*AS7/1000)&gt;Design!$C$36,Design!$C$37,100*(Design!$C$29+AH7+AG7*IF(ISBLANK(Design!$B$43),Constants!$C$6,Design!$B$43)/1000*(1+Constants!$C$36/100*(AR7-25)))/($B7+AH7-AG7*AS7/1000))</f>
        <v>46.274904097398561</v>
      </c>
      <c r="AJ7" s="119">
        <f ca="1">IF(($B7-AG7*IF(ISBLANK(Design!$B$43),Constants!$C$6,Design!$B$43)/1000*(1+Constants!$C$36/100*(AR7-25))-Design!$C$29)/(IF(ISBLANK(Design!$B$42),Design!$B$40,Design!$B$42)/1000000)*AI7/100/(IF(ISBLANK(Design!$B$33),Design!$B$32,Design!$B$33)*1000000)&lt;0,0,($B7-AG7*IF(ISBLANK(Design!$B$43),Constants!$C$6,Design!$B$43)/1000*(1+Constants!$C$36/100*(AR7-25))-Design!$C$29)/(IF(ISBLANK(Design!$B$42),Design!$B$40,Design!$B$42)/1000000)*AI7/100/(IF(ISBLANK(Design!$B$33),Design!$B$32,Design!$B$33)*1000000))</f>
        <v>0.42210994533506679</v>
      </c>
      <c r="AK7" s="195">
        <f>$B7*Constants!$C$21/1000+IF(ISBLANK(Design!$B$33),Design!$B$32,Design!$B$33)*1000000*Constants!$D$25/1000000000*($B7-Constants!$C$24)</f>
        <v>0.12081074999999993</v>
      </c>
      <c r="AL7" s="195">
        <f>$B7*AG7*($B7/(Constants!$C$26*1000000000)*IF(ISBLANK(Design!$B$33),Design!$B$32,Design!$B$33)*1000000/2+$B7/(Constants!$C$27*1000000000)*IF(ISBLANK(Design!$B$33),Design!$B$32,Design!$B$33)*1000000/2)</f>
        <v>0.22392085924657512</v>
      </c>
      <c r="AM7" s="195">
        <f t="shared" ca="1" si="3"/>
        <v>3.9384061202971769E-2</v>
      </c>
      <c r="AN7" s="195">
        <f>Constants!$D$25/1000000000*Constants!$C$24*IF(ISBLANK(Design!$B$33),Design!$B$32,Design!$B$33)*1000000</f>
        <v>6.8250000000000005E-2</v>
      </c>
      <c r="AO7" s="195">
        <f t="shared" ref="AO7:AO44" ca="1" si="11">SUM(AK7:AN7)</f>
        <v>0.45236567044954679</v>
      </c>
      <c r="AP7" s="195">
        <f t="shared" ca="1" si="9"/>
        <v>0.10916625102741634</v>
      </c>
      <c r="AQ7" s="196">
        <f ca="1">$A7+AP7*Design!$B$19</f>
        <v>90.458312551370824</v>
      </c>
      <c r="AR7" s="196">
        <f ca="1">AO7*Design!$C$12+$A7</f>
        <v>100.38043279528459</v>
      </c>
      <c r="AS7" s="196">
        <f ca="1">Constants!$D$22+Constants!$D$22*Constants!$C$23/100*(AR7-25)</f>
        <v>185.30434623622767</v>
      </c>
      <c r="AT7" s="195">
        <f ca="1">IF(100*(Design!$C$29+AH7+AG7*IF(ISBLANK(Design!$B$43),Constants!$C$6,Design!$B$43)/1000*(1+Constants!$C$36/100*(AR7-25)))/($B7+AH7-AG7*AS7/1000)&gt;Design!$C$36,  (1-Constants!$C$20/1000000000*IF(ISBLANK(Design!$B$33),Design!$B$32/4,Design!$B$33/4)*1000000) * ($B7+AH7-AG7*AS7/1000) - (AH7+AG7*(1+($A7-25)*Constants!$C$36/100)*IF(ISBLANK(Design!$B$43),Constants!$C$6/1000,Design!$B$43/1000)),   (1-Constants!$C$20/1000000000*IF(ISBLANK(Design!$B$33),Design!$B$32,Design!$B$33)*1000000) * ($B7+AH7-AG7*AS7/1000) - (AH7+AG7*(1+($A7-25)*Constants!$C$36/100)*IF(ISBLANK(Design!$B$43),Constants!$C$6/1000,Design!$B$43/1000)) )</f>
        <v>9.1392875865115553</v>
      </c>
      <c r="AU7" s="119">
        <f ca="1">IF(AT7&gt;Design!$C$29,Design!$C$29,AT7)</f>
        <v>4.99903317535545</v>
      </c>
    </row>
    <row r="8" spans="1:47" s="120" customFormat="1" ht="12.75" customHeight="1" x14ac:dyDescent="0.25">
      <c r="A8" s="112">
        <f>Design!$D$13</f>
        <v>85</v>
      </c>
      <c r="B8" s="113">
        <f t="shared" si="0"/>
        <v>11.139999999999995</v>
      </c>
      <c r="C8" s="114">
        <f>Design!$D$7</f>
        <v>2</v>
      </c>
      <c r="D8" s="114">
        <f ca="1">FORECAST(C8, OFFSET(Design!$C$15:$C$17,MATCH(C8,Design!$B$15:$B$17,1)-1,0,2), OFFSET(Design!$B$15:$B$17,MATCH(C8,Design!$B$15:$B$17,1)-1,0,2))+(M8-25)*Design!$B$18/1000</f>
        <v>0.3883427064220083</v>
      </c>
      <c r="E8" s="173">
        <f ca="1">IF(100*(Design!$C$29+D8+C8*IF(ISBLANK(Design!$B$43),Constants!$C$6,Design!$B$43)/1000*(1+Constants!$C$36/100*(N8-25)))/($B8+D8-C8*O8/1000)&gt;Design!$C$36,Design!$C$37,100*(Design!$C$29+D8+C8*IF(ISBLANK(Design!$B$43),Constants!$C$6,Design!$B$43)/1000*(1+Constants!$C$36/100*(N8-25)))/($B8+D8-C8*O8/1000))</f>
        <v>49.479635481199324</v>
      </c>
      <c r="F8" s="115">
        <f ca="1">IF(($B8-C8*IF(ISBLANK(Design!$B$43),Constants!$C$6,Design!$B$43)/1000*(1+Constants!$C$36/100*(N8-25))-Design!$C$29)/(IF(ISBLANK(Design!$B$42),Design!$B$40,Design!$B$42)/1000000)*E8/100/(IF(ISBLANK(Design!$B$33),Design!$B$32,Design!$B$33)*1000000)&lt;0, 0, ($B8-C8*IF(ISBLANK(Design!$B$43),Constants!$C$6,Design!$B$43)/1000*(1+Constants!$C$36/100*(N8-25))-Design!$C$29)/(IF(ISBLANK(Design!$B$42),Design!$B$40,Design!$B$42)/1000000)*E8/100/(IF(ISBLANK(Design!$B$33),Design!$B$32,Design!$B$33)*1000000))</f>
        <v>0.43045257473893811</v>
      </c>
      <c r="G8" s="165">
        <f>B8*Constants!$C$21/1000+IF(ISBLANK(Design!$B$33),Design!$B$32,Design!$B$33)*1000000*Constants!$D$25/1000000000*(B8-Constants!$C$24)</f>
        <v>0.11723099999999992</v>
      </c>
      <c r="H8" s="165">
        <f>B8*C8*(B8/(Constants!$C$26*1000000000)*IF(ISBLANK(Design!$B$33),Design!$B$32,Design!$B$33)*1000000/2+B8/(Constants!$C$27*1000000000)*IF(ISBLANK(Design!$B$33),Design!$B$32,Design!$B$33)*1000000/2)</f>
        <v>0.64656458264840122</v>
      </c>
      <c r="I8" s="165">
        <f t="shared" ca="1" si="1"/>
        <v>0.41089116085862565</v>
      </c>
      <c r="J8" s="165">
        <f>Constants!$D$25/1000000000*Constants!$C$24*IF(ISBLANK(Design!$B$33),Design!$B$32,Design!$B$33)*1000000</f>
        <v>6.8250000000000005E-2</v>
      </c>
      <c r="K8" s="165">
        <f t="shared" ca="1" si="4"/>
        <v>1.2429367435070267</v>
      </c>
      <c r="L8" s="165">
        <f t="shared" ca="1" si="5"/>
        <v>0.39238430173314909</v>
      </c>
      <c r="M8" s="166">
        <f ca="1">A8+L8*Design!$B$19</f>
        <v>104.61921508665745</v>
      </c>
      <c r="N8" s="166">
        <f ca="1">K8*Design!$C$12+A8</f>
        <v>127.25984927923891</v>
      </c>
      <c r="O8" s="166">
        <f ca="1">Constants!$D$22+Constants!$D$22*Constants!$C$23/100*(N8-25)</f>
        <v>206.80787942339111</v>
      </c>
      <c r="P8" s="165">
        <f ca="1">IF(100*(Design!$C$29+D8+C8*IF(ISBLANK(Design!$B$43),Constants!$C$6,Design!$B$43)/1000*(1+Constants!$C$36/100*(N8-25)))/($B8+D8-C8*O8/1000)&gt;Design!$C$36,  (1-Constants!$C$20/1000000000*IF(ISBLANK(Design!$B$33),Design!$B$32/4,Design!$B$33/4)*1000000) * ($B8+D8-C8*O8/1000) - (D8+C8*(1+($A8-25)*Constants!$C$36/100)*IF(ISBLANK(Design!$B$43),Constants!$C$6/1000,Design!$B$43/1000)),   (1-Constants!$C$20/1000000000*IF(ISBLANK(Design!$B$33),Design!$B$32,Design!$B$33)*1000000) * ($B8+D8-C8*O8/1000) - (D8+C8*(1+($A8-25)*Constants!$C$36/100)*IF(ISBLANK(Design!$B$43),Constants!$C$6/1000,Design!$B$43/1000)) )</f>
        <v>8.6435414810110363</v>
      </c>
      <c r="Q8" s="171">
        <f ca="1">IF(P8&gt;Design!$C$29,Design!$C$29,P8)</f>
        <v>4.99903317535545</v>
      </c>
      <c r="R8" s="181">
        <f>2*Design!$D$7/3</f>
        <v>1.3333333333333333</v>
      </c>
      <c r="S8" s="116">
        <f ca="1">FORECAST(R8, OFFSET(Design!$C$15:$C$17,MATCH(R8,Design!$B$15:$B$17,1)-1,0,2), OFFSET(Design!$B$15:$B$17,MATCH(R8,Design!$B$15:$B$17,1)-1,0,2))+(AB8-25)*Design!$B$18/1000</f>
        <v>0.34707538760415313</v>
      </c>
      <c r="T8" s="182">
        <f ca="1">IF(100*(Design!$C$29+S8+R8*IF(ISBLANK(Design!$B$43),Constants!$C$6,Design!$B$43)/1000*(1+Constants!$C$36/100*(AC8-25)))/($B8+S8-R8*AD8/1000)&gt;Design!$C$36,Design!$C$37,100*(Design!$C$29+S8+R8*IF(ISBLANK(Design!$B$43),Constants!$C$6,Design!$B$43)/1000*(1+Constants!$C$36/100*(AC8-25)))/($B8+S8-R8*AD8/1000))</f>
        <v>48.251087839598668</v>
      </c>
      <c r="U8" s="117">
        <f ca="1">IF(($B8-R8*IF(ISBLANK(Design!$B$43),Constants!$C$6,Design!$B$43)/1000*(1+Constants!$C$36/100*(AC8-25))-Design!$C$29)/(Design!$B$42/1000000)*T8/100/(IF(ISBLANK(IF(ISBLANK(Design!$B$42),Design!$B$40,Design!$B$42)),Design!$B$32,Design!$B$33)*1000000)&lt;0,0,($B8-R8*IF(ISBLANK(Design!$B$43),Constants!$C$6,Design!$B$43)/1000*(1+Constants!$C$36/100*(AC8-25))-Design!$C$29)/(IF(ISBLANK(Design!$B$42),Design!$B$40,Design!$B$42)/1000000)*T8/100/(IF(ISBLANK(Design!$B$33),Design!$B$32,Design!$B$33)*1000000))</f>
        <v>0.42259499862398797</v>
      </c>
      <c r="V8" s="183">
        <f>$B8*Constants!$C$21/1000+IF(ISBLANK(Design!$B$33),Design!$B$32,Design!$B$33)*1000000*Constants!$D$25/1000000000*($B8-Constants!$C$24)</f>
        <v>0.11723099999999992</v>
      </c>
      <c r="W8" s="183">
        <f>$B8*R8*($B8/(Constants!$C$26*1000000000)*IF(ISBLANK(Design!$B$33),Design!$B$32,Design!$B$33)*1000000/2+$B8/(Constants!$C$27*1000000000)*IF(ISBLANK(Design!$B$33),Design!$B$32,Design!$B$33)*1000000/2)</f>
        <v>0.43104305509893415</v>
      </c>
      <c r="X8" s="183">
        <f t="shared" ca="1" si="2"/>
        <v>0.16810138122929455</v>
      </c>
      <c r="Y8" s="183">
        <f>Constants!$D$25/1000000000*Constants!$C$24*IF(ISBLANK(Design!$B$33),Design!$B$32,Design!$B$33)*1000000</f>
        <v>6.8250000000000005E-2</v>
      </c>
      <c r="Z8" s="183">
        <f t="shared" ca="1" si="10"/>
        <v>0.78462543632822856</v>
      </c>
      <c r="AA8" s="183">
        <f t="shared" ca="1" si="7"/>
        <v>0.23947698328219422</v>
      </c>
      <c r="AB8" s="184">
        <f ca="1">$A8+AA8*Design!$B$19</f>
        <v>96.973849164109708</v>
      </c>
      <c r="AC8" s="184">
        <f ca="1">Z8*Design!$C$12+$A8</f>
        <v>111.67726483515978</v>
      </c>
      <c r="AD8" s="184">
        <f ca="1">Constants!$D$22+Constants!$D$22*Constants!$C$23/100*(AC8-25)</f>
        <v>194.34181186812782</v>
      </c>
      <c r="AE8" s="183">
        <f ca="1">IF(100*(Design!$C$29+S8+R8*IF(ISBLANK(Design!$B$43),Constants!$C$6,Design!$B$43)/1000*(1+Constants!$C$36/100*(AC8-25)))/($B8+S8-R8*AD8/1000)&gt;Design!$C$36,  (1-Constants!$C$20/1000000000*IF(ISBLANK(Design!$B$33),Design!$B$32/4,Design!$B$33/4)*1000000) * ($B8+S8-R8*AD8/1000) - (S8+R8*(1+($A8-25)*Constants!$C$36/100)*IF(ISBLANK(Design!$B$43),Constants!$C$6/1000,Design!$B$43/1000)),   (1-Constants!$C$20/1000000000*IF(ISBLANK(Design!$B$33),Design!$B$32,Design!$B$33)*1000000) * ($B8+S8-R8*AD8/1000) - (S8+R8*(1+($A8-25)*Constants!$C$36/100)*IF(ISBLANK(Design!$B$43),Constants!$C$6/1000,Design!$B$43/1000)) )</f>
        <v>8.8107786453797647</v>
      </c>
      <c r="AF8" s="117">
        <f ca="1">IF(AE8&gt;Design!$C$29,Design!$C$29,AE8)</f>
        <v>4.99903317535545</v>
      </c>
      <c r="AG8" s="118">
        <f>Design!$D$7/3</f>
        <v>0.66666666666666663</v>
      </c>
      <c r="AH8" s="118">
        <f ca="1">FORECAST(AG8, OFFSET(Design!$C$15:$C$17,MATCH(AG8,Design!$B$15:$B$17,1)-1,0,2), OFFSET(Design!$B$15:$B$17,MATCH(AG8,Design!$B$15:$B$17,1)-1,0,2))+(AQ8-25)*Design!$B$18/1000</f>
        <v>0.30487024736851542</v>
      </c>
      <c r="AI8" s="194">
        <f ca="1">IF(100*(Design!$C$29+AH8+AG8*IF(ISBLANK(Design!$B$43),Constants!$C$6,Design!$B$43)/1000*(1+Constants!$C$36/100*(AR8-25)))/($B8+AH8-AG8*AS8/1000)&gt;Design!$C$36,Design!$C$37,100*(Design!$C$29+AH8+AG8*IF(ISBLANK(Design!$B$43),Constants!$C$6,Design!$B$43)/1000*(1+Constants!$C$36/100*(AR8-25)))/($B8+AH8-AG8*AS8/1000))</f>
        <v>47.152858449255305</v>
      </c>
      <c r="AJ8" s="119">
        <f ca="1">IF(($B8-AG8*IF(ISBLANK(Design!$B$43),Constants!$C$6,Design!$B$43)/1000*(1+Constants!$C$36/100*(AR8-25))-Design!$C$29)/(IF(ISBLANK(Design!$B$42),Design!$B$40,Design!$B$42)/1000000)*AI8/100/(IF(ISBLANK(Design!$B$33),Design!$B$32,Design!$B$33)*1000000)&lt;0,0,($B8-AG8*IF(ISBLANK(Design!$B$43),Constants!$C$6,Design!$B$43)/1000*(1+Constants!$C$36/100*(AR8-25))-Design!$C$29)/(IF(ISBLANK(Design!$B$42),Design!$B$40,Design!$B$42)/1000000)*AI8/100/(IF(ISBLANK(Design!$B$33),Design!$B$32,Design!$B$33)*1000000))</f>
        <v>0.41549225621731156</v>
      </c>
      <c r="AK8" s="195">
        <f>$B8*Constants!$C$21/1000+IF(ISBLANK(Design!$B$33),Design!$B$32,Design!$B$33)*1000000*Constants!$D$25/1000000000*($B8-Constants!$C$24)</f>
        <v>0.11723099999999992</v>
      </c>
      <c r="AL8" s="195">
        <f>$B8*AG8*($B8/(Constants!$C$26*1000000000)*IF(ISBLANK(Design!$B$33),Design!$B$32,Design!$B$33)*1000000/2+$B8/(Constants!$C$27*1000000000)*IF(ISBLANK(Design!$B$33),Design!$B$32,Design!$B$33)*1000000/2)</f>
        <v>0.21552152754946707</v>
      </c>
      <c r="AM8" s="195">
        <f t="shared" ca="1" si="3"/>
        <v>4.0024190885535681E-2</v>
      </c>
      <c r="AN8" s="195">
        <f>Constants!$D$25/1000000000*Constants!$C$24*IF(ISBLANK(Design!$B$33),Design!$B$32,Design!$B$33)*1000000</f>
        <v>6.8250000000000005E-2</v>
      </c>
      <c r="AO8" s="195">
        <f t="shared" ca="1" si="11"/>
        <v>0.44102671843500263</v>
      </c>
      <c r="AP8" s="195">
        <f t="shared" ca="1" si="9"/>
        <v>0.10741014078196325</v>
      </c>
      <c r="AQ8" s="196">
        <f ca="1">$A8+AP8*Design!$B$19</f>
        <v>90.370507039098158</v>
      </c>
      <c r="AR8" s="196">
        <f ca="1">AO8*Design!$C$12+$A8</f>
        <v>99.99490842679009</v>
      </c>
      <c r="AS8" s="196">
        <f ca="1">Constants!$D$22+Constants!$D$22*Constants!$C$23/100*(AR8-25)</f>
        <v>184.99592674143207</v>
      </c>
      <c r="AT8" s="195">
        <f ca="1">IF(100*(Design!$C$29+AH8+AG8*IF(ISBLANK(Design!$B$43),Constants!$C$6,Design!$B$43)/1000*(1+Constants!$C$36/100*(AR8-25)))/($B8+AH8-AG8*AS8/1000)&gt;Design!$C$36,  (1-Constants!$C$20/1000000000*IF(ISBLANK(Design!$B$33),Design!$B$32/4,Design!$B$33/4)*1000000) * ($B8+AH8-AG8*AS8/1000) - (AH8+AG8*(1+($A8-25)*Constants!$C$36/100)*IF(ISBLANK(Design!$B$43),Constants!$C$6/1000,Design!$B$43/1000)),   (1-Constants!$C$20/1000000000*IF(ISBLANK(Design!$B$33),Design!$B$32,Design!$B$33)*1000000) * ($B8+AH8-AG8*AS8/1000) - (AH8+AG8*(1+($A8-25)*Constants!$C$36/100)*IF(ISBLANK(Design!$B$43),Constants!$C$6/1000,Design!$B$43/1000)) )</f>
        <v>8.9628198916326589</v>
      </c>
      <c r="AU8" s="119">
        <f ca="1">IF(AT8&gt;Design!$C$29,Design!$C$29,AT8)</f>
        <v>4.99903317535545</v>
      </c>
    </row>
    <row r="9" spans="1:47" s="120" customFormat="1" ht="12.75" customHeight="1" x14ac:dyDescent="0.25">
      <c r="A9" s="112">
        <f>Design!$D$13</f>
        <v>85</v>
      </c>
      <c r="B9" s="113">
        <f t="shared" si="0"/>
        <v>10.924999999999995</v>
      </c>
      <c r="C9" s="114">
        <f>Design!$D$7</f>
        <v>2</v>
      </c>
      <c r="D9" s="114">
        <f ca="1">FORECAST(C9, OFFSET(Design!$C$15:$C$17,MATCH(C9,Design!$B$15:$B$17,1)-1,0,2), OFFSET(Design!$B$15:$B$17,MATCH(C9,Design!$B$15:$B$17,1)-1,0,2))+(M9-25)*Design!$B$18/1000</f>
        <v>0.38866724276704301</v>
      </c>
      <c r="E9" s="173">
        <f ca="1">IF(100*(Design!$C$29+D9+C9*IF(ISBLANK(Design!$B$43),Constants!$C$6,Design!$B$43)/1000*(1+Constants!$C$36/100*(N9-25)))/($B9+D9-C9*O9/1000)&gt;Design!$C$36,Design!$C$37,100*(Design!$C$29+D9+C9*IF(ISBLANK(Design!$B$43),Constants!$C$6,Design!$B$43)/1000*(1+Constants!$C$36/100*(N9-25)))/($B9+D9-C9*O9/1000))</f>
        <v>50.449595364348511</v>
      </c>
      <c r="F9" s="115">
        <f ca="1">IF(($B9-C9*IF(ISBLANK(Design!$B$43),Constants!$C$6,Design!$B$43)/1000*(1+Constants!$C$36/100*(N9-25))-Design!$C$29)/(IF(ISBLANK(Design!$B$42),Design!$B$40,Design!$B$42)/1000000)*E9/100/(IF(ISBLANK(Design!$B$33),Design!$B$32,Design!$B$33)*1000000)&lt;0, 0, ($B9-C9*IF(ISBLANK(Design!$B$43),Constants!$C$6,Design!$B$43)/1000*(1+Constants!$C$36/100*(N9-25))-Design!$C$29)/(IF(ISBLANK(Design!$B$42),Design!$B$40,Design!$B$42)/1000000)*E9/100/(IF(ISBLANK(Design!$B$33),Design!$B$32,Design!$B$33)*1000000))</f>
        <v>0.42325579230300248</v>
      </c>
      <c r="G9" s="165">
        <f>B9*Constants!$C$21/1000+IF(ISBLANK(Design!$B$33),Design!$B$32,Design!$B$33)*1000000*Constants!$D$25/1000000000*(B9-Constants!$C$24)</f>
        <v>0.11365124999999993</v>
      </c>
      <c r="H9" s="165">
        <f>B9*C9*(B9/(Constants!$C$26*1000000000)*IF(ISBLANK(Design!$B$33),Design!$B$32,Design!$B$33)*1000000/2+B9/(Constants!$C$27*1000000000)*IF(ISBLANK(Design!$B$33),Design!$B$32,Design!$B$33)*1000000/2)</f>
        <v>0.62184825627853835</v>
      </c>
      <c r="I9" s="165">
        <f t="shared" ca="1" si="1"/>
        <v>0.41770921947470013</v>
      </c>
      <c r="J9" s="165">
        <f>Constants!$D$25/1000000000*Constants!$C$24*IF(ISBLANK(Design!$B$33),Design!$B$32,Design!$B$33)*1000000</f>
        <v>6.8250000000000005E-2</v>
      </c>
      <c r="K9" s="165">
        <f t="shared" ca="1" si="4"/>
        <v>1.2214587257532383</v>
      </c>
      <c r="L9" s="165">
        <f t="shared" ca="1" si="5"/>
        <v>0.38517238295459943</v>
      </c>
      <c r="M9" s="166">
        <f ca="1">A9+L9*Design!$B$19</f>
        <v>104.25861914772997</v>
      </c>
      <c r="N9" s="166">
        <f ca="1">K9*Design!$C$12+A9</f>
        <v>126.52959667561009</v>
      </c>
      <c r="O9" s="166">
        <f ca="1">Constants!$D$22+Constants!$D$22*Constants!$C$23/100*(N9-25)</f>
        <v>206.22367734048808</v>
      </c>
      <c r="P9" s="165">
        <f ca="1">IF(100*(Design!$C$29+D9+C9*IF(ISBLANK(Design!$B$43),Constants!$C$6,Design!$B$43)/1000*(1+Constants!$C$36/100*(N9-25)))/($B9+D9-C9*O9/1000)&gt;Design!$C$36,  (1-Constants!$C$20/1000000000*IF(ISBLANK(Design!$B$33),Design!$B$32/4,Design!$B$33/4)*1000000) * ($B9+D9-C9*O9/1000) - (D9+C9*(1+($A9-25)*Constants!$C$36/100)*IF(ISBLANK(Design!$B$43),Constants!$C$6/1000,Design!$B$43/1000)),   (1-Constants!$C$20/1000000000*IF(ISBLANK(Design!$B$33),Design!$B$32,Design!$B$33)*1000000) * ($B9+D9-C9*O9/1000) - (D9+C9*(1+($A9-25)*Constants!$C$36/100)*IF(ISBLANK(Design!$B$43),Constants!$C$6/1000,Design!$B$43/1000)) )</f>
        <v>8.4678208952956577</v>
      </c>
      <c r="Q9" s="171">
        <f ca="1">IF(P9&gt;Design!$C$29,Design!$C$29,P9)</f>
        <v>4.99903317535545</v>
      </c>
      <c r="R9" s="181">
        <f>2*Design!$D$7/3</f>
        <v>1.3333333333333333</v>
      </c>
      <c r="S9" s="116">
        <f ca="1">FORECAST(R9, OFFSET(Design!$C$15:$C$17,MATCH(R9,Design!$B$15:$B$17,1)-1,0,2), OFFSET(Design!$B$15:$B$17,MATCH(R9,Design!$B$15:$B$17,1)-1,0,2))+(AB9-25)*Design!$B$18/1000</f>
        <v>0.34726513400676251</v>
      </c>
      <c r="T9" s="182">
        <f ca="1">IF(100*(Design!$C$29+S9+R9*IF(ISBLANK(Design!$B$43),Constants!$C$6,Design!$B$43)/1000*(1+Constants!$C$36/100*(AC9-25)))/($B9+S9-R9*AD9/1000)&gt;Design!$C$36,Design!$C$37,100*(Design!$C$29+S9+R9*IF(ISBLANK(Design!$B$43),Constants!$C$6,Design!$B$43)/1000*(1+Constants!$C$36/100*(AC9-25)))/($B9+S9-R9*AD9/1000))</f>
        <v>49.190033740986095</v>
      </c>
      <c r="U9" s="117">
        <f ca="1">IF(($B9-R9*IF(ISBLANK(Design!$B$43),Constants!$C$6,Design!$B$43)/1000*(1+Constants!$C$36/100*(AC9-25))-Design!$C$29)/(Design!$B$42/1000000)*T9/100/(IF(ISBLANK(IF(ISBLANK(Design!$B$42),Design!$B$40,Design!$B$42)),Design!$B$32,Design!$B$33)*1000000)&lt;0,0,($B9-R9*IF(ISBLANK(Design!$B$43),Constants!$C$6,Design!$B$43)/1000*(1+Constants!$C$36/100*(AC9-25))-Design!$C$29)/(IF(ISBLANK(Design!$B$42),Design!$B$40,Design!$B$42)/1000000)*T9/100/(IF(ISBLANK(Design!$B$33),Design!$B$32,Design!$B$33)*1000000))</f>
        <v>0.41556626654524464</v>
      </c>
      <c r="V9" s="183">
        <f>$B9*Constants!$C$21/1000+IF(ISBLANK(Design!$B$33),Design!$B$32,Design!$B$33)*1000000*Constants!$D$25/1000000000*($B9-Constants!$C$24)</f>
        <v>0.11365124999999993</v>
      </c>
      <c r="W9" s="183">
        <f>$B9*R9*($B9/(Constants!$C$26*1000000000)*IF(ISBLANK(Design!$B$33),Design!$B$32,Design!$B$33)*1000000/2+$B9/(Constants!$C$27*1000000000)*IF(ISBLANK(Design!$B$33),Design!$B$32,Design!$B$33)*1000000/2)</f>
        <v>0.41456550418569221</v>
      </c>
      <c r="X9" s="183">
        <f t="shared" ca="1" si="2"/>
        <v>0.17091208128961413</v>
      </c>
      <c r="Y9" s="183">
        <f>Constants!$D$25/1000000000*Constants!$C$24*IF(ISBLANK(Design!$B$33),Design!$B$32,Design!$B$33)*1000000</f>
        <v>6.8250000000000005E-2</v>
      </c>
      <c r="Z9" s="183">
        <f t="shared" ca="1" si="10"/>
        <v>0.76737883547530628</v>
      </c>
      <c r="AA9" s="183">
        <f t="shared" ca="1" si="7"/>
        <v>0.23526039655754061</v>
      </c>
      <c r="AB9" s="184">
        <f ca="1">$A9+AA9*Design!$B$19</f>
        <v>96.763019827877031</v>
      </c>
      <c r="AC9" s="184">
        <f ca="1">Z9*Design!$C$12+$A9</f>
        <v>111.09088040616041</v>
      </c>
      <c r="AD9" s="184">
        <f ca="1">Constants!$D$22+Constants!$D$22*Constants!$C$23/100*(AC9-25)</f>
        <v>193.87270432492835</v>
      </c>
      <c r="AE9" s="183">
        <f ca="1">IF(100*(Design!$C$29+S9+R9*IF(ISBLANK(Design!$B$43),Constants!$C$6,Design!$B$43)/1000*(1+Constants!$C$36/100*(AC9-25)))/($B9+S9-R9*AD9/1000)&gt;Design!$C$36,  (1-Constants!$C$20/1000000000*IF(ISBLANK(Design!$B$33),Design!$B$32/4,Design!$B$33/4)*1000000) * ($B9+S9-R9*AD9/1000) - (S9+R9*(1+($A9-25)*Constants!$C$36/100)*IF(ISBLANK(Design!$B$43),Constants!$C$6/1000,Design!$B$43/1000)),   (1-Constants!$C$20/1000000000*IF(ISBLANK(Design!$B$33),Design!$B$32,Design!$B$33)*1000000) * ($B9+S9-R9*AD9/1000) - (S9+R9*(1+($A9-25)*Constants!$C$36/100)*IF(ISBLANK(Design!$B$43),Constants!$C$6/1000,Design!$B$43/1000)) )</f>
        <v>8.6346361047758862</v>
      </c>
      <c r="AF9" s="117">
        <f ca="1">IF(AE9&gt;Design!$C$29,Design!$C$29,AE9)</f>
        <v>4.99903317535545</v>
      </c>
      <c r="AG9" s="118">
        <f>Design!$D$7/3</f>
        <v>0.66666666666666663</v>
      </c>
      <c r="AH9" s="118">
        <f ca="1">FORECAST(AG9, OFFSET(Design!$C$15:$C$17,MATCH(AG9,Design!$B$15:$B$17,1)-1,0,2), OFFSET(Design!$B$15:$B$17,MATCH(AG9,Design!$B$15:$B$17,1)-1,0,2))+(AQ9-25)*Design!$B$18/1000</f>
        <v>0.3049523742787526</v>
      </c>
      <c r="AI9" s="194">
        <f ca="1">IF(100*(Design!$C$29+AH9+AG9*IF(ISBLANK(Design!$B$43),Constants!$C$6,Design!$B$43)/1000*(1+Constants!$C$36/100*(AR9-25)))/($B9+AH9-AG9*AS9/1000)&gt;Design!$C$36,Design!$C$37,100*(Design!$C$29+AH9+AG9*IF(ISBLANK(Design!$B$43),Constants!$C$6,Design!$B$43)/1000*(1+Constants!$C$36/100*(AR9-25)))/($B9+AH9-AG9*AS9/1000))</f>
        <v>48.064792781838982</v>
      </c>
      <c r="AJ9" s="119">
        <f ca="1">IF(($B9-AG9*IF(ISBLANK(Design!$B$43),Constants!$C$6,Design!$B$43)/1000*(1+Constants!$C$36/100*(AR9-25))-Design!$C$29)/(IF(ISBLANK(Design!$B$42),Design!$B$40,Design!$B$42)/1000000)*AI9/100/(IF(ISBLANK(Design!$B$33),Design!$B$32,Design!$B$33)*1000000)&lt;0,0,($B9-AG9*IF(ISBLANK(Design!$B$43),Constants!$C$6,Design!$B$43)/1000*(1+Constants!$C$36/100*(AR9-25))-Design!$C$29)/(IF(ISBLANK(Design!$B$42),Design!$B$40,Design!$B$42)/1000000)*AI9/100/(IF(ISBLANK(Design!$B$33),Design!$B$32,Design!$B$33)*1000000))</f>
        <v>0.40861873908436908</v>
      </c>
      <c r="AK9" s="195">
        <f>$B9*Constants!$C$21/1000+IF(ISBLANK(Design!$B$33),Design!$B$32,Design!$B$33)*1000000*Constants!$D$25/1000000000*($B9-Constants!$C$24)</f>
        <v>0.11365124999999993</v>
      </c>
      <c r="AL9" s="195">
        <f>$B9*AG9*($B9/(Constants!$C$26*1000000000)*IF(ISBLANK(Design!$B$33),Design!$B$32,Design!$B$33)*1000000/2+$B9/(Constants!$C$27*1000000000)*IF(ISBLANK(Design!$B$33),Design!$B$32,Design!$B$33)*1000000/2)</f>
        <v>0.20728275209284611</v>
      </c>
      <c r="AM9" s="195">
        <f t="shared" ca="1" si="3"/>
        <v>4.0689448900274441E-2</v>
      </c>
      <c r="AN9" s="195">
        <f>Constants!$D$25/1000000000*Constants!$C$24*IF(ISBLANK(Design!$B$33),Design!$B$32,Design!$B$33)*1000000</f>
        <v>6.8250000000000005E-2</v>
      </c>
      <c r="AO9" s="195">
        <f t="shared" ca="1" si="11"/>
        <v>0.42987345099312047</v>
      </c>
      <c r="AP9" s="195">
        <f t="shared" ca="1" si="9"/>
        <v>0.10558509833224808</v>
      </c>
      <c r="AQ9" s="196">
        <f ca="1">$A9+AP9*Design!$B$19</f>
        <v>90.279254916612402</v>
      </c>
      <c r="AR9" s="196">
        <f ca="1">AO9*Design!$C$12+$A9</f>
        <v>99.615697333766093</v>
      </c>
      <c r="AS9" s="196">
        <f ca="1">Constants!$D$22+Constants!$D$22*Constants!$C$23/100*(AR9-25)</f>
        <v>184.69255786701288</v>
      </c>
      <c r="AT9" s="195">
        <f ca="1">IF(100*(Design!$C$29+AH9+AG9*IF(ISBLANK(Design!$B$43),Constants!$C$6,Design!$B$43)/1000*(1+Constants!$C$36/100*(AR9-25)))/($B9+AH9-AG9*AS9/1000)&gt;Design!$C$36,  (1-Constants!$C$20/1000000000*IF(ISBLANK(Design!$B$33),Design!$B$32/4,Design!$B$33/4)*1000000) * ($B9+AH9-AG9*AS9/1000) - (AH9+AG9*(1+($A9-25)*Constants!$C$36/100)*IF(ISBLANK(Design!$B$43),Constants!$C$6/1000,Design!$B$43/1000)),   (1-Constants!$C$20/1000000000*IF(ISBLANK(Design!$B$33),Design!$B$32,Design!$B$33)*1000000) * ($B9+AH9-AG9*AS9/1000) - (AH9+AG9*(1+($A9-25)*Constants!$C$36/100)*IF(ISBLANK(Design!$B$43),Constants!$C$6/1000,Design!$B$43/1000)) )</f>
        <v>8.7863488769994049</v>
      </c>
      <c r="AU9" s="119">
        <f ca="1">IF(AT9&gt;Design!$C$29,Design!$C$29,AT9)</f>
        <v>4.99903317535545</v>
      </c>
    </row>
    <row r="10" spans="1:47" s="120" customFormat="1" ht="12.75" customHeight="1" x14ac:dyDescent="0.25">
      <c r="A10" s="112">
        <f>Design!$D$13</f>
        <v>85</v>
      </c>
      <c r="B10" s="113">
        <f t="shared" si="0"/>
        <v>10.709999999999996</v>
      </c>
      <c r="C10" s="114">
        <f>Design!$D$7</f>
        <v>2</v>
      </c>
      <c r="D10" s="114">
        <f ca="1">FORECAST(C10, OFFSET(Design!$C$15:$C$17,MATCH(C10,Design!$B$15:$B$17,1)-1,0,2), OFFSET(Design!$B$15:$B$17,MATCH(C10,Design!$B$15:$B$17,1)-1,0,2))+(M10-25)*Design!$B$18/1000</f>
        <v>0.3890054394948132</v>
      </c>
      <c r="E10" s="173">
        <f ca="1">IF(100*(Design!$C$29+D10+C10*IF(ISBLANK(Design!$B$43),Constants!$C$6,Design!$B$43)/1000*(1+Constants!$C$36/100*(N10-25)))/($B10+D10-C10*O10/1000)&gt;Design!$C$36,Design!$C$37,100*(Design!$C$29+D10+C10*IF(ISBLANK(Design!$B$43),Constants!$C$6,Design!$B$43)/1000*(1+Constants!$C$36/100*(N10-25)))/($B10+D10-C10*O10/1000))</f>
        <v>51.458660757326143</v>
      </c>
      <c r="F10" s="115">
        <f ca="1">IF(($B10-C10*IF(ISBLANK(Design!$B$43),Constants!$C$6,Design!$B$43)/1000*(1+Constants!$C$36/100*(N10-25))-Design!$C$29)/(IF(ISBLANK(Design!$B$42),Design!$B$40,Design!$B$42)/1000000)*E10/100/(IF(ISBLANK(Design!$B$33),Design!$B$32,Design!$B$33)*1000000)&lt;0, 0, ($B10-C10*IF(ISBLANK(Design!$B$43),Constants!$C$6,Design!$B$43)/1000*(1+Constants!$C$36/100*(N10-25))-Design!$C$29)/(IF(ISBLANK(Design!$B$42),Design!$B$40,Design!$B$42)/1000000)*E10/100/(IF(ISBLANK(Design!$B$33),Design!$B$32,Design!$B$33)*1000000))</f>
        <v>0.41577312893531637</v>
      </c>
      <c r="G10" s="165">
        <f>B10*Constants!$C$21/1000+IF(ISBLANK(Design!$B$33),Design!$B$32,Design!$B$33)*1000000*Constants!$D$25/1000000000*(B10-Constants!$C$24)</f>
        <v>0.11007149999999993</v>
      </c>
      <c r="H10" s="165">
        <f>B10*C10*(B10/(Constants!$C$26*1000000000)*IF(ISBLANK(Design!$B$33),Design!$B$32,Design!$B$33)*1000000/2+B10/(Constants!$C$27*1000000000)*IF(ISBLANK(Design!$B$33),Design!$B$32,Design!$B$33)*1000000/2)</f>
        <v>0.59761359863013652</v>
      </c>
      <c r="I10" s="165">
        <f t="shared" ca="1" si="1"/>
        <v>0.42484668268683801</v>
      </c>
      <c r="J10" s="165">
        <f>Constants!$D$25/1000000000*Constants!$C$24*IF(ISBLANK(Design!$B$33),Design!$B$32,Design!$B$33)*1000000</f>
        <v>6.8250000000000005E-2</v>
      </c>
      <c r="K10" s="165">
        <f t="shared" ca="1" si="4"/>
        <v>1.2007817813169743</v>
      </c>
      <c r="L10" s="165">
        <f t="shared" ca="1" si="5"/>
        <v>0.37765690011526332</v>
      </c>
      <c r="M10" s="166">
        <f ca="1">A10+L10*Design!$B$19</f>
        <v>103.88284500576316</v>
      </c>
      <c r="N10" s="166">
        <f ca="1">K10*Design!$C$12+A10</f>
        <v>125.82658056477712</v>
      </c>
      <c r="O10" s="166">
        <f ca="1">Constants!$D$22+Constants!$D$22*Constants!$C$23/100*(N10-25)</f>
        <v>205.66126445182169</v>
      </c>
      <c r="P10" s="165">
        <f ca="1">IF(100*(Design!$C$29+D10+C10*IF(ISBLANK(Design!$B$43),Constants!$C$6,Design!$B$43)/1000*(1+Constants!$C$36/100*(N10-25)))/($B10+D10-C10*O10/1000)&gt;Design!$C$36,  (1-Constants!$C$20/1000000000*IF(ISBLANK(Design!$B$33),Design!$B$32/4,Design!$B$33/4)*1000000) * ($B10+D10-C10*O10/1000) - (D10+C10*(1+($A10-25)*Constants!$C$36/100)*IF(ISBLANK(Design!$B$43),Constants!$C$6/1000,Design!$B$43/1000)),   (1-Constants!$C$20/1000000000*IF(ISBLANK(Design!$B$33),Design!$B$32,Design!$B$33)*1000000) * ($B10+D10-C10*O10/1000) - (D10+C10*(1+($A10-25)*Constants!$C$36/100)*IF(ISBLANK(Design!$B$43),Constants!$C$6/1000,Design!$B$43/1000)) )</f>
        <v>8.2920620715558293</v>
      </c>
      <c r="Q10" s="171">
        <f ca="1">IF(P10&gt;Design!$C$29,Design!$C$29,P10)</f>
        <v>4.99903317535545</v>
      </c>
      <c r="R10" s="181">
        <f>2*Design!$D$7/3</f>
        <v>1.3333333333333333</v>
      </c>
      <c r="S10" s="116">
        <f ca="1">FORECAST(R10, OFFSET(Design!$C$15:$C$17,MATCH(R10,Design!$B$15:$B$17,1)-1,0,2), OFFSET(Design!$B$15:$B$17,MATCH(R10,Design!$B$15:$B$17,1)-1,0,2))+(AB10-25)*Design!$B$18/1000</f>
        <v>0.34746265516473351</v>
      </c>
      <c r="T10" s="182">
        <f ca="1">IF(100*(Design!$C$29+S10+R10*IF(ISBLANK(Design!$B$43),Constants!$C$6,Design!$B$43)/1000*(1+Constants!$C$36/100*(AC10-25)))/($B10+S10-R10*AD10/1000)&gt;Design!$C$36,Design!$C$37,100*(Design!$C$29+S10+R10*IF(ISBLANK(Design!$B$43),Constants!$C$6,Design!$B$43)/1000*(1+Constants!$C$36/100*(AC10-25)))/($B10+S10-R10*AD10/1000))</f>
        <v>50.166363047981193</v>
      </c>
      <c r="U10" s="117">
        <f ca="1">IF(($B10-R10*IF(ISBLANK(Design!$B$43),Constants!$C$6,Design!$B$43)/1000*(1+Constants!$C$36/100*(AC10-25))-Design!$C$29)/(Design!$B$42/1000000)*T10/100/(IF(ISBLANK(IF(ISBLANK(Design!$B$42),Design!$B$40,Design!$B$42)),Design!$B$32,Design!$B$33)*1000000)&lt;0,0,($B10-R10*IF(ISBLANK(Design!$B$43),Constants!$C$6,Design!$B$43)/1000*(1+Constants!$C$36/100*(AC10-25))-Design!$C$29)/(IF(ISBLANK(Design!$B$42),Design!$B$40,Design!$B$42)/1000000)*T10/100/(IF(ISBLANK(Design!$B$33),Design!$B$32,Design!$B$33)*1000000))</f>
        <v>0.4082592621560458</v>
      </c>
      <c r="V10" s="183">
        <f>$B10*Constants!$C$21/1000+IF(ISBLANK(Design!$B$33),Design!$B$32,Design!$B$33)*1000000*Constants!$D$25/1000000000*($B10-Constants!$C$24)</f>
        <v>0.11007149999999993</v>
      </c>
      <c r="W10" s="183">
        <f>$B10*R10*($B10/(Constants!$C$26*1000000000)*IF(ISBLANK(Design!$B$33),Design!$B$32,Design!$B$33)*1000000/2+$B10/(Constants!$C$27*1000000000)*IF(ISBLANK(Design!$B$33),Design!$B$32,Design!$B$33)*1000000/2)</f>
        <v>0.39840906575342433</v>
      </c>
      <c r="X10" s="183">
        <f t="shared" ca="1" si="2"/>
        <v>0.17384476650182157</v>
      </c>
      <c r="Y10" s="183">
        <f>Constants!$D$25/1000000000*Constants!$C$24*IF(ISBLANK(Design!$B$33),Design!$B$32,Design!$B$33)*1000000</f>
        <v>6.8250000000000005E-2</v>
      </c>
      <c r="Z10" s="183">
        <f t="shared" ca="1" si="10"/>
        <v>0.75057533225524586</v>
      </c>
      <c r="AA10" s="183">
        <f t="shared" ca="1" si="7"/>
        <v>0.2308710374915178</v>
      </c>
      <c r="AB10" s="184">
        <f ca="1">$A10+AA10*Design!$B$19</f>
        <v>96.543551874575883</v>
      </c>
      <c r="AC10" s="184">
        <f ca="1">Z10*Design!$C$12+$A10</f>
        <v>110.51956129667836</v>
      </c>
      <c r="AD10" s="184">
        <f ca="1">Constants!$D$22+Constants!$D$22*Constants!$C$23/100*(AC10-25)</f>
        <v>193.41564903734269</v>
      </c>
      <c r="AE10" s="183">
        <f ca="1">IF(100*(Design!$C$29+S10+R10*IF(ISBLANK(Design!$B$43),Constants!$C$6,Design!$B$43)/1000*(1+Constants!$C$36/100*(AC10-25)))/($B10+S10-R10*AD10/1000)&gt;Design!$C$36,  (1-Constants!$C$20/1000000000*IF(ISBLANK(Design!$B$33),Design!$B$32/4,Design!$B$33/4)*1000000) * ($B10+S10-R10*AD10/1000) - (S10+R10*(1+($A10-25)*Constants!$C$36/100)*IF(ISBLANK(Design!$B$43),Constants!$C$6/1000,Design!$B$43/1000)),   (1-Constants!$C$20/1000000000*IF(ISBLANK(Design!$B$33),Design!$B$32,Design!$B$33)*1000000) * ($B10+S10-R10*AD10/1000) - (S10+R10*(1+($A10-25)*Constants!$C$36/100)*IF(ISBLANK(Design!$B$43),Constants!$C$6/1000,Design!$B$43/1000)) )</f>
        <v>8.4584789751408547</v>
      </c>
      <c r="AF10" s="117">
        <f ca="1">IF(AE10&gt;Design!$C$29,Design!$C$29,AE10)</f>
        <v>4.99903317535545</v>
      </c>
      <c r="AG10" s="118">
        <f>Design!$D$7/3</f>
        <v>0.66666666666666663</v>
      </c>
      <c r="AH10" s="118">
        <f ca="1">FORECAST(AG10, OFFSET(Design!$C$15:$C$17,MATCH(AG10,Design!$B$15:$B$17,1)-1,0,2), OFFSET(Design!$B$15:$B$17,MATCH(AG10,Design!$B$15:$B$17,1)-1,0,2))+(AQ10-25)*Design!$B$18/1000</f>
        <v>0.30503778934417297</v>
      </c>
      <c r="AI10" s="194">
        <f ca="1">IF(100*(Design!$C$29+AH10+AG10*IF(ISBLANK(Design!$B$43),Constants!$C$6,Design!$B$43)/1000*(1+Constants!$C$36/100*(AR10-25)))/($B10+AH10-AG10*AS10/1000)&gt;Design!$C$36,Design!$C$37,100*(Design!$C$29+AH10+AG10*IF(ISBLANK(Design!$B$43),Constants!$C$6,Design!$B$43)/1000*(1+Constants!$C$36/100*(AR10-25)))/($B10+AH10-AG10*AS10/1000))</f>
        <v>49.01271774050894</v>
      </c>
      <c r="AJ10" s="119">
        <f ca="1">IF(($B10-AG10*IF(ISBLANK(Design!$B$43),Constants!$C$6,Design!$B$43)/1000*(1+Constants!$C$36/100*(AR10-25))-Design!$C$29)/(IF(ISBLANK(Design!$B$42),Design!$B$40,Design!$B$42)/1000000)*AI10/100/(IF(ISBLANK(Design!$B$33),Design!$B$32,Design!$B$33)*1000000)&lt;0,0,($B10-AG10*IF(ISBLANK(Design!$B$43),Constants!$C$6,Design!$B$43)/1000*(1+Constants!$C$36/100*(AR10-25))-Design!$C$29)/(IF(ISBLANK(Design!$B$42),Design!$B$40,Design!$B$42)/1000000)*AI10/100/(IF(ISBLANK(Design!$B$33),Design!$B$32,Design!$B$33)*1000000))</f>
        <v>0.40147424005730425</v>
      </c>
      <c r="AK10" s="195">
        <f>$B10*Constants!$C$21/1000+IF(ISBLANK(Design!$B$33),Design!$B$32,Design!$B$33)*1000000*Constants!$D$25/1000000000*($B10-Constants!$C$24)</f>
        <v>0.11007149999999993</v>
      </c>
      <c r="AL10" s="195">
        <f>$B10*AG10*($B10/(Constants!$C$26*1000000000)*IF(ISBLANK(Design!$B$33),Design!$B$32,Design!$B$33)*1000000/2+$B10/(Constants!$C$27*1000000000)*IF(ISBLANK(Design!$B$33),Design!$B$32,Design!$B$33)*1000000/2)</f>
        <v>0.19920453287671216</v>
      </c>
      <c r="AM10" s="195">
        <f t="shared" ca="1" si="3"/>
        <v>4.1381319903984519E-2</v>
      </c>
      <c r="AN10" s="195">
        <f>Constants!$D$25/1000000000*Constants!$C$24*IF(ISBLANK(Design!$B$33),Design!$B$32,Design!$B$33)*1000000</f>
        <v>6.8250000000000005E-2</v>
      </c>
      <c r="AO10" s="195">
        <f t="shared" ca="1" si="11"/>
        <v>0.41890735278069668</v>
      </c>
      <c r="AP10" s="195">
        <f t="shared" ca="1" si="9"/>
        <v>0.10368698576735015</v>
      </c>
      <c r="AQ10" s="196">
        <f ca="1">$A10+AP10*Design!$B$19</f>
        <v>90.184349288367514</v>
      </c>
      <c r="AR10" s="196">
        <f ca="1">AO10*Design!$C$12+$A10</f>
        <v>99.24284999454369</v>
      </c>
      <c r="AS10" s="196">
        <f ca="1">Constants!$D$22+Constants!$D$22*Constants!$C$23/100*(AR10-25)</f>
        <v>184.39427999563495</v>
      </c>
      <c r="AT10" s="195">
        <f ca="1">IF(100*(Design!$C$29+AH10+AG10*IF(ISBLANK(Design!$B$43),Constants!$C$6,Design!$B$43)/1000*(1+Constants!$C$36/100*(AR10-25)))/($B10+AH10-AG10*AS10/1000)&gt;Design!$C$36,  (1-Constants!$C$20/1000000000*IF(ISBLANK(Design!$B$33),Design!$B$32/4,Design!$B$33/4)*1000000) * ($B10+AH10-AG10*AS10/1000) - (AH10+AG10*(1+($A10-25)*Constants!$C$36/100)*IF(ISBLANK(Design!$B$43),Constants!$C$6/1000,Design!$B$43/1000)),   (1-Constants!$C$20/1000000000*IF(ISBLANK(Design!$B$33),Design!$B$32,Design!$B$33)*1000000) * ($B10+AH10-AG10*AS10/1000) - (AH10+AG10*(1+($A10-25)*Constants!$C$36/100)*IF(ISBLANK(Design!$B$43),Constants!$C$6/1000,Design!$B$43/1000)) )</f>
        <v>8.6098744872577857</v>
      </c>
      <c r="AU10" s="119">
        <f ca="1">IF(AT10&gt;Design!$C$29,Design!$C$29,AT10)</f>
        <v>4.99903317535545</v>
      </c>
    </row>
    <row r="11" spans="1:47" s="120" customFormat="1" ht="12.75" customHeight="1" x14ac:dyDescent="0.25">
      <c r="A11" s="112">
        <f>Design!$D$13</f>
        <v>85</v>
      </c>
      <c r="B11" s="113">
        <f t="shared" si="0"/>
        <v>10.494999999999996</v>
      </c>
      <c r="C11" s="114">
        <f>Design!$D$7</f>
        <v>2</v>
      </c>
      <c r="D11" s="114">
        <f ca="1">FORECAST(C11, OFFSET(Design!$C$15:$C$17,MATCH(C11,Design!$B$15:$B$17,1)-1,0,2), OFFSET(Design!$B$15:$B$17,MATCH(C11,Design!$B$15:$B$17,1)-1,0,2))+(M11-25)*Design!$B$18/1000</f>
        <v>0.38935817718098226</v>
      </c>
      <c r="E11" s="173">
        <f ca="1">IF(100*(Design!$C$29+D11+C11*IF(ISBLANK(Design!$B$43),Constants!$C$6,Design!$B$43)/1000*(1+Constants!$C$36/100*(N11-25)))/($B11+D11-C11*O11/1000)&gt;Design!$C$36,Design!$C$37,100*(Design!$C$29+D11+C11*IF(ISBLANK(Design!$B$43),Constants!$C$6,Design!$B$43)/1000*(1+Constants!$C$36/100*(N11-25)))/($B11+D11-C11*O11/1000))</f>
        <v>52.509243860677735</v>
      </c>
      <c r="F11" s="115">
        <f ca="1">IF(($B11-C11*IF(ISBLANK(Design!$B$43),Constants!$C$6,Design!$B$43)/1000*(1+Constants!$C$36/100*(N11-25))-Design!$C$29)/(IF(ISBLANK(Design!$B$42),Design!$B$40,Design!$B$42)/1000000)*E11/100/(IF(ISBLANK(Design!$B$33),Design!$B$32,Design!$B$33)*1000000)&lt;0, 0, ($B11-C11*IF(ISBLANK(Design!$B$43),Constants!$C$6,Design!$B$43)/1000*(1+Constants!$C$36/100*(N11-25))-Design!$C$29)/(IF(ISBLANK(Design!$B$42),Design!$B$40,Design!$B$42)/1000000)*E11/100/(IF(ISBLANK(Design!$B$33),Design!$B$32,Design!$B$33)*1000000))</f>
        <v>0.40798691319642305</v>
      </c>
      <c r="G11" s="165">
        <f>B11*Constants!$C$21/1000+IF(ISBLANK(Design!$B$33),Design!$B$32,Design!$B$33)*1000000*Constants!$D$25/1000000000*(B11-Constants!$C$24)</f>
        <v>0.10649174999999993</v>
      </c>
      <c r="H11" s="165">
        <f>B11*C11*(B11/(Constants!$C$26*1000000000)*IF(ISBLANK(Design!$B$33),Design!$B$32,Design!$B$33)*1000000/2+B11/(Constants!$C$27*1000000000)*IF(ISBLANK(Design!$B$33),Design!$B$32,Design!$B$33)*1000000/2)</f>
        <v>0.57386060970319597</v>
      </c>
      <c r="I11" s="165">
        <f t="shared" ca="1" si="1"/>
        <v>0.43232440520062371</v>
      </c>
      <c r="J11" s="165">
        <f>Constants!$D$25/1000000000*Constants!$C$24*IF(ISBLANK(Design!$B$33),Design!$B$32,Design!$B$33)*1000000</f>
        <v>6.8250000000000005E-2</v>
      </c>
      <c r="K11" s="165">
        <f t="shared" ca="1" si="4"/>
        <v>1.1809267649038195</v>
      </c>
      <c r="L11" s="165">
        <f t="shared" ca="1" si="5"/>
        <v>0.3698182848670612</v>
      </c>
      <c r="M11" s="166">
        <f ca="1">A11+L11*Design!$B$19</f>
        <v>103.49091424335306</v>
      </c>
      <c r="N11" s="166">
        <f ca="1">K11*Design!$C$12+A11</f>
        <v>125.15151000672986</v>
      </c>
      <c r="O11" s="166">
        <f ca="1">Constants!$D$22+Constants!$D$22*Constants!$C$23/100*(N11-25)</f>
        <v>205.12120800538389</v>
      </c>
      <c r="P11" s="165">
        <f ca="1">IF(100*(Design!$C$29+D11+C11*IF(ISBLANK(Design!$B$43),Constants!$C$6,Design!$B$43)/1000*(1+Constants!$C$36/100*(N11-25)))/($B11+D11-C11*O11/1000)&gt;Design!$C$36,  (1-Constants!$C$20/1000000000*IF(ISBLANK(Design!$B$33),Design!$B$32/4,Design!$B$33/4)*1000000) * ($B11+D11-C11*O11/1000) - (D11+C11*(1+($A11-25)*Constants!$C$36/100)*IF(ISBLANK(Design!$B$43),Constants!$C$6/1000,Design!$B$43/1000)),   (1-Constants!$C$20/1000000000*IF(ISBLANK(Design!$B$33),Design!$B$32,Design!$B$33)*1000000) * ($B11+D11-C11*O11/1000) - (D11+C11*(1+($A11-25)*Constants!$C$36/100)*IF(ISBLANK(Design!$B$43),Constants!$C$6/1000,Design!$B$43/1000)) )</f>
        <v>8.1162639206203444</v>
      </c>
      <c r="Q11" s="171">
        <f ca="1">IF(P11&gt;Design!$C$29,Design!$C$29,P11)</f>
        <v>4.99903317535545</v>
      </c>
      <c r="R11" s="181">
        <f>2*Design!$D$7/3</f>
        <v>1.3333333333333333</v>
      </c>
      <c r="S11" s="116">
        <f ca="1">FORECAST(R11, OFFSET(Design!$C$15:$C$17,MATCH(R11,Design!$B$15:$B$17,1)-1,0,2), OFFSET(Design!$B$15:$B$17,MATCH(R11,Design!$B$15:$B$17,1)-1,0,2))+(AB11-25)*Design!$B$18/1000</f>
        <v>0.3476684384746796</v>
      </c>
      <c r="T11" s="182">
        <f ca="1">IF(100*(Design!$C$29+S11+R11*IF(ISBLANK(Design!$B$43),Constants!$C$6,Design!$B$43)/1000*(1+Constants!$C$36/100*(AC11-25)))/($B11+S11-R11*AD11/1000)&gt;Design!$C$36,Design!$C$37,100*(Design!$C$29+S11+R11*IF(ISBLANK(Design!$B$43),Constants!$C$6,Design!$B$43)/1000*(1+Constants!$C$36/100*(AC11-25)))/($B11+S11-R11*AD11/1000))</f>
        <v>51.182351486712577</v>
      </c>
      <c r="U11" s="117">
        <f ca="1">IF(($B11-R11*IF(ISBLANK(Design!$B$43),Constants!$C$6,Design!$B$43)/1000*(1+Constants!$C$36/100*(AC11-25))-Design!$C$29)/(Design!$B$42/1000000)*T11/100/(IF(ISBLANK(IF(ISBLANK(Design!$B$42),Design!$B$40,Design!$B$42)),Design!$B$32,Design!$B$33)*1000000)&lt;0,0,($B11-R11*IF(ISBLANK(Design!$B$43),Constants!$C$6,Design!$B$43)/1000*(1+Constants!$C$36/100*(AC11-25))-Design!$C$29)/(IF(ISBLANK(Design!$B$42),Design!$B$40,Design!$B$42)/1000000)*T11/100/(IF(ISBLANK(Design!$B$33),Design!$B$32,Design!$B$33)*1000000))</f>
        <v>0.40065700786440789</v>
      </c>
      <c r="V11" s="183">
        <f>$B11*Constants!$C$21/1000+IF(ISBLANK(Design!$B$33),Design!$B$32,Design!$B$33)*1000000*Constants!$D$25/1000000000*($B11-Constants!$C$24)</f>
        <v>0.10649174999999993</v>
      </c>
      <c r="W11" s="183">
        <f>$B11*R11*($B11/(Constants!$C$26*1000000000)*IF(ISBLANK(Design!$B$33),Design!$B$32,Design!$B$33)*1000000/2+$B11/(Constants!$C$27*1000000000)*IF(ISBLANK(Design!$B$33),Design!$B$32,Design!$B$33)*1000000/2)</f>
        <v>0.38257373980213061</v>
      </c>
      <c r="X11" s="183">
        <f t="shared" ca="1" si="2"/>
        <v>0.17690703672476957</v>
      </c>
      <c r="Y11" s="183">
        <f>Constants!$D$25/1000000000*Constants!$C$24*IF(ISBLANK(Design!$B$33),Design!$B$32,Design!$B$33)*1000000</f>
        <v>6.8250000000000005E-2</v>
      </c>
      <c r="Z11" s="183">
        <f t="shared" ca="1" si="10"/>
        <v>0.73422252652690012</v>
      </c>
      <c r="AA11" s="183">
        <f t="shared" ca="1" si="7"/>
        <v>0.22629807504827204</v>
      </c>
      <c r="AB11" s="184">
        <f ca="1">$A11+AA11*Design!$B$19</f>
        <v>96.314903752413599</v>
      </c>
      <c r="AC11" s="184">
        <f ca="1">Z11*Design!$C$12+$A11</f>
        <v>109.96356590191461</v>
      </c>
      <c r="AD11" s="184">
        <f ca="1">Constants!$D$22+Constants!$D$22*Constants!$C$23/100*(AC11-25)</f>
        <v>192.97085272153168</v>
      </c>
      <c r="AE11" s="183">
        <f ca="1">IF(100*(Design!$C$29+S11+R11*IF(ISBLANK(Design!$B$43),Constants!$C$6,Design!$B$43)/1000*(1+Constants!$C$36/100*(AC11-25)))/($B11+S11-R11*AD11/1000)&gt;Design!$C$36,  (1-Constants!$C$20/1000000000*IF(ISBLANK(Design!$B$33),Design!$B$32/4,Design!$B$33/4)*1000000) * ($B11+S11-R11*AD11/1000) - (S11+R11*(1+($A11-25)*Constants!$C$36/100)*IF(ISBLANK(Design!$B$43),Constants!$C$6/1000,Design!$B$43/1000)),   (1-Constants!$C$20/1000000000*IF(ISBLANK(Design!$B$33),Design!$B$32,Design!$B$33)*1000000) * ($B11+S11-R11*AD11/1000) - (S11+R11*(1+($A11-25)*Constants!$C$36/100)*IF(ISBLANK(Design!$B$43),Constants!$C$6/1000,Design!$B$43/1000)) )</f>
        <v>8.2823069430512817</v>
      </c>
      <c r="AF11" s="117">
        <f ca="1">IF(AE11&gt;Design!$C$29,Design!$C$29,AE11)</f>
        <v>4.99903317535545</v>
      </c>
      <c r="AG11" s="118">
        <f>Design!$D$7/3</f>
        <v>0.66666666666666663</v>
      </c>
      <c r="AH11" s="118">
        <f ca="1">FORECAST(AG11, OFFSET(Design!$C$15:$C$17,MATCH(AG11,Design!$B$15:$B$17,1)-1,0,2), OFFSET(Design!$B$15:$B$17,MATCH(AG11,Design!$B$15:$B$17,1)-1,0,2))+(AQ11-25)*Design!$B$18/1000</f>
        <v>0.30512669397338921</v>
      </c>
      <c r="AI11" s="194">
        <f ca="1">IF(100*(Design!$C$29+AH11+AG11*IF(ISBLANK(Design!$B$43),Constants!$C$6,Design!$B$43)/1000*(1+Constants!$C$36/100*(AR11-25)))/($B11+AH11-AG11*AS11/1000)&gt;Design!$C$36,Design!$C$37,100*(Design!$C$29+AH11+AG11*IF(ISBLANK(Design!$B$43),Constants!$C$6,Design!$B$43)/1000*(1+Constants!$C$36/100*(AR11-25)))/($B11+AH11-AG11*AS11/1000))</f>
        <v>49.998805734188089</v>
      </c>
      <c r="AJ11" s="119">
        <f ca="1">IF(($B11-AG11*IF(ISBLANK(Design!$B$43),Constants!$C$6,Design!$B$43)/1000*(1+Constants!$C$36/100*(AR11-25))-Design!$C$29)/(IF(ISBLANK(Design!$B$42),Design!$B$40,Design!$B$42)/1000000)*AI11/100/(IF(ISBLANK(Design!$B$33),Design!$B$32,Design!$B$33)*1000000)&lt;0,0,($B11-AG11*IF(ISBLANK(Design!$B$43),Constants!$C$6,Design!$B$43)/1000*(1+Constants!$C$36/100*(AR11-25))-Design!$C$29)/(IF(ISBLANK(Design!$B$42),Design!$B$40,Design!$B$42)/1000000)*AI11/100/(IF(ISBLANK(Design!$B$33),Design!$B$32,Design!$B$33)*1000000))</f>
        <v>0.3940423851380494</v>
      </c>
      <c r="AK11" s="195">
        <f>$B11*Constants!$C$21/1000+IF(ISBLANK(Design!$B$33),Design!$B$32,Design!$B$33)*1000000*Constants!$D$25/1000000000*($B11-Constants!$C$24)</f>
        <v>0.10649174999999993</v>
      </c>
      <c r="AL11" s="195">
        <f>$B11*AG11*($B11/(Constants!$C$26*1000000000)*IF(ISBLANK(Design!$B$33),Design!$B$32,Design!$B$33)*1000000/2+$B11/(Constants!$C$27*1000000000)*IF(ISBLANK(Design!$B$33),Design!$B$32,Design!$B$33)*1000000/2)</f>
        <v>0.1912868699010653</v>
      </c>
      <c r="AM11" s="195">
        <f t="shared" ca="1" si="3"/>
        <v>4.2101411167720933E-2</v>
      </c>
      <c r="AN11" s="195">
        <f>Constants!$D$25/1000000000*Constants!$C$24*IF(ISBLANK(Design!$B$33),Design!$B$32,Design!$B$33)*1000000</f>
        <v>6.8250000000000005E-2</v>
      </c>
      <c r="AO11" s="195">
        <f t="shared" ca="1" si="11"/>
        <v>0.4081300310687862</v>
      </c>
      <c r="AP11" s="195">
        <f t="shared" ca="1" si="9"/>
        <v>0.10171132734032248</v>
      </c>
      <c r="AQ11" s="196">
        <f ca="1">$A11+AP11*Design!$B$19</f>
        <v>90.085566367016128</v>
      </c>
      <c r="AR11" s="196">
        <f ca="1">AO11*Design!$C$12+$A11</f>
        <v>98.876421056338728</v>
      </c>
      <c r="AS11" s="196">
        <f ca="1">Constants!$D$22+Constants!$D$22*Constants!$C$23/100*(AR11-25)</f>
        <v>184.10113684507098</v>
      </c>
      <c r="AT11" s="195">
        <f ca="1">IF(100*(Design!$C$29+AH11+AG11*IF(ISBLANK(Design!$B$43),Constants!$C$6,Design!$B$43)/1000*(1+Constants!$C$36/100*(AR11-25)))/($B11+AH11-AG11*AS11/1000)&gt;Design!$C$36,  (1-Constants!$C$20/1000000000*IF(ISBLANK(Design!$B$33),Design!$B$32/4,Design!$B$33/4)*1000000) * ($B11+AH11-AG11*AS11/1000) - (AH11+AG11*(1+($A11-25)*Constants!$C$36/100)*IF(ISBLANK(Design!$B$43),Constants!$C$6/1000,Design!$B$43/1000)),   (1-Constants!$C$20/1000000000*IF(ISBLANK(Design!$B$33),Design!$B$32,Design!$B$33)*1000000) * ($B11+AH11-AG11*AS11/1000) - (AH11+AG11*(1+($A11-25)*Constants!$C$36/100)*IF(ISBLANK(Design!$B$43),Constants!$C$6/1000,Design!$B$43/1000)) )</f>
        <v>8.4333966625135961</v>
      </c>
      <c r="AU11" s="119">
        <f ca="1">IF(AT11&gt;Design!$C$29,Design!$C$29,AT11)</f>
        <v>4.99903317535545</v>
      </c>
    </row>
    <row r="12" spans="1:47" s="120" customFormat="1" ht="12.75" customHeight="1" x14ac:dyDescent="0.25">
      <c r="A12" s="112">
        <f>Design!$D$13</f>
        <v>85</v>
      </c>
      <c r="B12" s="113">
        <f t="shared" si="0"/>
        <v>10.279999999999996</v>
      </c>
      <c r="C12" s="114">
        <f>Design!$D$7</f>
        <v>2</v>
      </c>
      <c r="D12" s="114">
        <f ca="1">FORECAST(C12, OFFSET(Design!$C$15:$C$17,MATCH(C12,Design!$B$15:$B$17,1)-1,0,2), OFFSET(Design!$B$15:$B$17,MATCH(C12,Design!$B$15:$B$17,1)-1,0,2))+(M12-25)*Design!$B$18/1000</f>
        <v>0.3897264138054764</v>
      </c>
      <c r="E12" s="173">
        <f ca="1">IF(100*(Design!$C$29+D12+C12*IF(ISBLANK(Design!$B$43),Constants!$C$6,Design!$B$43)/1000*(1+Constants!$C$36/100*(N12-25)))/($B12+D12-C12*O12/1000)&gt;Design!$C$36,Design!$C$37,100*(Design!$C$29+D12+C12*IF(ISBLANK(Design!$B$43),Constants!$C$6,Design!$B$43)/1000*(1+Constants!$C$36/100*(N12-25)))/($B12+D12-C12*O12/1000))</f>
        <v>53.60395960386532</v>
      </c>
      <c r="F12" s="115">
        <f ca="1">IF(($B12-C12*IF(ISBLANK(Design!$B$43),Constants!$C$6,Design!$B$43)/1000*(1+Constants!$C$36/100*(N12-25))-Design!$C$29)/(IF(ISBLANK(Design!$B$42),Design!$B$40,Design!$B$42)/1000000)*E12/100/(IF(ISBLANK(Design!$B$33),Design!$B$32,Design!$B$33)*1000000)&lt;0, 0, ($B12-C12*IF(ISBLANK(Design!$B$43),Constants!$C$6,Design!$B$43)/1000*(1+Constants!$C$36/100*(N12-25))-Design!$C$29)/(IF(ISBLANK(Design!$B$42),Design!$B$40,Design!$B$42)/1000000)*E12/100/(IF(ISBLANK(Design!$B$33),Design!$B$32,Design!$B$33)*1000000))</f>
        <v>0.39987798947059527</v>
      </c>
      <c r="G12" s="165">
        <f>B12*Constants!$C$21/1000+IF(ISBLANK(Design!$B$33),Design!$B$32,Design!$B$33)*1000000*Constants!$D$25/1000000000*(B12-Constants!$C$24)</f>
        <v>0.10291199999999993</v>
      </c>
      <c r="H12" s="165">
        <f>B12*C12*(B12/(Constants!$C$26*1000000000)*IF(ISBLANK(Design!$B$33),Design!$B$32,Design!$B$33)*1000000/2+B12/(Constants!$C$27*1000000000)*IF(ISBLANK(Design!$B$33),Design!$B$32,Design!$B$33)*1000000/2)</f>
        <v>0.55058928949771646</v>
      </c>
      <c r="I12" s="165">
        <f t="shared" ca="1" si="1"/>
        <v>0.44016510561742023</v>
      </c>
      <c r="J12" s="165">
        <f>Constants!$D$25/1000000000*Constants!$C$24*IF(ISBLANK(Design!$B$33),Design!$B$32,Design!$B$33)*1000000</f>
        <v>6.8250000000000005E-2</v>
      </c>
      <c r="K12" s="165">
        <f t="shared" ca="1" si="4"/>
        <v>1.1619163951151366</v>
      </c>
      <c r="L12" s="165">
        <f t="shared" ca="1" si="5"/>
        <v>0.36163524876719161</v>
      </c>
      <c r="M12" s="166">
        <f ca="1">A12+L12*Design!$B$19</f>
        <v>103.08176243835958</v>
      </c>
      <c r="N12" s="166">
        <f ca="1">K12*Design!$C$12+A12</f>
        <v>124.50515743391463</v>
      </c>
      <c r="O12" s="166">
        <f ca="1">Constants!$D$22+Constants!$D$22*Constants!$C$23/100*(N12-25)</f>
        <v>204.60412594713171</v>
      </c>
      <c r="P12" s="165">
        <f ca="1">IF(100*(Design!$C$29+D12+C12*IF(ISBLANK(Design!$B$43),Constants!$C$6,Design!$B$43)/1000*(1+Constants!$C$36/100*(N12-25)))/($B12+D12-C12*O12/1000)&gt;Design!$C$36,  (1-Constants!$C$20/1000000000*IF(ISBLANK(Design!$B$33),Design!$B$32/4,Design!$B$33/4)*1000000) * ($B12+D12-C12*O12/1000) - (D12+C12*(1+($A12-25)*Constants!$C$36/100)*IF(ISBLANK(Design!$B$43),Constants!$C$6/1000,Design!$B$43/1000)),   (1-Constants!$C$20/1000000000*IF(ISBLANK(Design!$B$33),Design!$B$32,Design!$B$33)*1000000) * ($B12+D12-C12*O12/1000) - (D12+C12*(1+($A12-25)*Constants!$C$36/100)*IF(ISBLANK(Design!$B$43),Constants!$C$6/1000,Design!$B$43/1000)) )</f>
        <v>7.9404252562045814</v>
      </c>
      <c r="Q12" s="171">
        <f ca="1">IF(P12&gt;Design!$C$29,Design!$C$29,P12)</f>
        <v>4.99903317535545</v>
      </c>
      <c r="R12" s="181">
        <f>2*Design!$D$7/3</f>
        <v>1.3333333333333333</v>
      </c>
      <c r="S12" s="116">
        <f ca="1">FORECAST(R12, OFFSET(Design!$C$15:$C$17,MATCH(R12,Design!$B$15:$B$17,1)-1,0,2), OFFSET(Design!$B$15:$B$17,MATCH(R12,Design!$B$15:$B$17,1)-1,0,2))+(AB12-25)*Design!$B$18/1000</f>
        <v>0.34788301292658264</v>
      </c>
      <c r="T12" s="182">
        <f ca="1">IF(100*(Design!$C$29+S12+R12*IF(ISBLANK(Design!$B$43),Constants!$C$6,Design!$B$43)/1000*(1+Constants!$C$36/100*(AC12-25)))/($B12+S12-R12*AD12/1000)&gt;Design!$C$36,Design!$C$37,100*(Design!$C$29+S12+R12*IF(ISBLANK(Design!$B$43),Constants!$C$6,Design!$B$43)/1000*(1+Constants!$C$36/100*(AC12-25)))/($B12+S12-R12*AD12/1000))</f>
        <v>52.240463245551609</v>
      </c>
      <c r="U12" s="117">
        <f ca="1">IF(($B12-R12*IF(ISBLANK(Design!$B$43),Constants!$C$6,Design!$B$43)/1000*(1+Constants!$C$36/100*(AC12-25))-Design!$C$29)/(Design!$B$42/1000000)*T12/100/(IF(ISBLANK(IF(ISBLANK(Design!$B$42),Design!$B$40,Design!$B$42)),Design!$B$32,Design!$B$33)*1000000)&lt;0,0,($B12-R12*IF(ISBLANK(Design!$B$43),Constants!$C$6,Design!$B$43)/1000*(1+Constants!$C$36/100*(AC12-25))-Design!$C$29)/(IF(ISBLANK(Design!$B$42),Design!$B$40,Design!$B$42)/1000000)*T12/100/(IF(ISBLANK(Design!$B$33),Design!$B$32,Design!$B$33)*1000000))</f>
        <v>0.39274111858297994</v>
      </c>
      <c r="V12" s="183">
        <f>$B12*Constants!$C$21/1000+IF(ISBLANK(Design!$B$33),Design!$B$32,Design!$B$33)*1000000*Constants!$D$25/1000000000*($B12-Constants!$C$24)</f>
        <v>0.10291199999999993</v>
      </c>
      <c r="W12" s="183">
        <f>$B12*R12*($B12/(Constants!$C$26*1000000000)*IF(ISBLANK(Design!$B$33),Design!$B$32,Design!$B$33)*1000000/2+$B12/(Constants!$C$27*1000000000)*IF(ISBLANK(Design!$B$33),Design!$B$32,Design!$B$33)*1000000/2)</f>
        <v>0.36705952633181094</v>
      </c>
      <c r="X12" s="183">
        <f t="shared" ca="1" si="2"/>
        <v>0.18010714079821513</v>
      </c>
      <c r="Y12" s="183">
        <f>Constants!$D$25/1000000000*Constants!$C$24*IF(ISBLANK(Design!$B$33),Design!$B$32,Design!$B$33)*1000000</f>
        <v>6.8250000000000005E-2</v>
      </c>
      <c r="Z12" s="183">
        <f t="shared" ca="1" si="10"/>
        <v>0.71832866713002608</v>
      </c>
      <c r="AA12" s="183">
        <f t="shared" ca="1" si="7"/>
        <v>0.22152975389487159</v>
      </c>
      <c r="AB12" s="184">
        <f ca="1">$A12+AA12*Design!$B$19</f>
        <v>96.076487694743577</v>
      </c>
      <c r="AC12" s="184">
        <f ca="1">Z12*Design!$C$12+$A12</f>
        <v>109.42317468242089</v>
      </c>
      <c r="AD12" s="184">
        <f ca="1">Constants!$D$22+Constants!$D$22*Constants!$C$23/100*(AC12-25)</f>
        <v>192.5385397459367</v>
      </c>
      <c r="AE12" s="183">
        <f ca="1">IF(100*(Design!$C$29+S12+R12*IF(ISBLANK(Design!$B$43),Constants!$C$6,Design!$B$43)/1000*(1+Constants!$C$36/100*(AC12-25)))/($B12+S12-R12*AD12/1000)&gt;Design!$C$36,  (1-Constants!$C$20/1000000000*IF(ISBLANK(Design!$B$33),Design!$B$32/4,Design!$B$33/4)*1000000) * ($B12+S12-R12*AD12/1000) - (S12+R12*(1+($A12-25)*Constants!$C$36/100)*IF(ISBLANK(Design!$B$43),Constants!$C$6/1000,Design!$B$43/1000)),   (1-Constants!$C$20/1000000000*IF(ISBLANK(Design!$B$33),Design!$B$32,Design!$B$33)*1000000) * ($B12+S12-R12*AD12/1000) - (S12+R12*(1+($A12-25)*Constants!$C$36/100)*IF(ISBLANK(Design!$B$43),Constants!$C$6/1000,Design!$B$43/1000)) )</f>
        <v>8.1061196683242187</v>
      </c>
      <c r="AF12" s="117">
        <f ca="1">IF(AE12&gt;Design!$C$29,Design!$C$29,AE12)</f>
        <v>4.99903317535545</v>
      </c>
      <c r="AG12" s="118">
        <f>Design!$D$7/3</f>
        <v>0.66666666666666663</v>
      </c>
      <c r="AH12" s="118">
        <f ca="1">FORECAST(AG12, OFFSET(Design!$C$15:$C$17,MATCH(AG12,Design!$B$15:$B$17,1)-1,0,2), OFFSET(Design!$B$15:$B$17,MATCH(AG12,Design!$B$15:$B$17,1)-1,0,2))+(AQ12-25)*Design!$B$18/1000</f>
        <v>0.30521930636089872</v>
      </c>
      <c r="AI12" s="194">
        <f ca="1">IF(100*(Design!$C$29+AH12+AG12*IF(ISBLANK(Design!$B$43),Constants!$C$6,Design!$B$43)/1000*(1+Constants!$C$36/100*(AR12-25)))/($B12+AH12-AG12*AS12/1000)&gt;Design!$C$36,Design!$C$37,100*(Design!$C$29+AH12+AG12*IF(ISBLANK(Design!$B$43),Constants!$C$6,Design!$B$43)/1000*(1+Constants!$C$36/100*(AR12-25)))/($B12+AH12-AG12*AS12/1000))</f>
        <v>51.025407531040862</v>
      </c>
      <c r="AJ12" s="119">
        <f ca="1">IF(($B12-AG12*IF(ISBLANK(Design!$B$43),Constants!$C$6,Design!$B$43)/1000*(1+Constants!$C$36/100*(AR12-25))-Design!$C$29)/(IF(ISBLANK(Design!$B$42),Design!$B$40,Design!$B$42)/1000000)*AI12/100/(IF(ISBLANK(Design!$B$33),Design!$B$32,Design!$B$33)*1000000)&lt;0,0,($B12-AG12*IF(ISBLANK(Design!$B$43),Constants!$C$6,Design!$B$43)/1000*(1+Constants!$C$36/100*(AR12-25))-Design!$C$29)/(IF(ISBLANK(Design!$B$42),Design!$B$40,Design!$B$42)/1000000)*AI12/100/(IF(ISBLANK(Design!$B$33),Design!$B$32,Design!$B$33)*1000000))</f>
        <v>0.38630545493583568</v>
      </c>
      <c r="AK12" s="195">
        <f>$B12*Constants!$C$21/1000+IF(ISBLANK(Design!$B$33),Design!$B$32,Design!$B$33)*1000000*Constants!$D$25/1000000000*($B12-Constants!$C$24)</f>
        <v>0.10291199999999993</v>
      </c>
      <c r="AL12" s="195">
        <f>$B12*AG12*($B12/(Constants!$C$26*1000000000)*IF(ISBLANK(Design!$B$33),Design!$B$32,Design!$B$33)*1000000/2+$B12/(Constants!$C$27*1000000000)*IF(ISBLANK(Design!$B$33),Design!$B$32,Design!$B$33)*1000000/2)</f>
        <v>0.18352976316590547</v>
      </c>
      <c r="AM12" s="195">
        <f t="shared" ca="1" si="3"/>
        <v>4.2851465850728111E-2</v>
      </c>
      <c r="AN12" s="195">
        <f>Constants!$D$25/1000000000*Constants!$C$24*IF(ISBLANK(Design!$B$33),Design!$B$32,Design!$B$33)*1000000</f>
        <v>6.8250000000000005E-2</v>
      </c>
      <c r="AO12" s="195">
        <f t="shared" ca="1" si="11"/>
        <v>0.39754322901663353</v>
      </c>
      <c r="AP12" s="195">
        <f t="shared" ca="1" si="9"/>
        <v>9.9653274284556004E-2</v>
      </c>
      <c r="AQ12" s="196">
        <f ca="1">$A12+AP12*Design!$B$19</f>
        <v>89.982663714227797</v>
      </c>
      <c r="AR12" s="196">
        <f ca="1">AO12*Design!$C$12+$A12</f>
        <v>98.516469786565537</v>
      </c>
      <c r="AS12" s="196">
        <f ca="1">Constants!$D$22+Constants!$D$22*Constants!$C$23/100*(AR12-25)</f>
        <v>183.81317582925243</v>
      </c>
      <c r="AT12" s="195">
        <f ca="1">IF(100*(Design!$C$29+AH12+AG12*IF(ISBLANK(Design!$B$43),Constants!$C$6,Design!$B$43)/1000*(1+Constants!$C$36/100*(AR12-25)))/($B12+AH12-AG12*AS12/1000)&gt;Design!$C$36,  (1-Constants!$C$20/1000000000*IF(ISBLANK(Design!$B$33),Design!$B$32/4,Design!$B$33/4)*1000000) * ($B12+AH12-AG12*AS12/1000) - (AH12+AG12*(1+($A12-25)*Constants!$C$36/100)*IF(ISBLANK(Design!$B$43),Constants!$C$6/1000,Design!$B$43/1000)),   (1-Constants!$C$20/1000000000*IF(ISBLANK(Design!$B$33),Design!$B$32,Design!$B$33)*1000000) * ($B12+AH12-AG12*AS12/1000) - (AH12+AG12*(1+($A12-25)*Constants!$C$36/100)*IF(ISBLANK(Design!$B$43),Constants!$C$6/1000,Design!$B$43/1000)) )</f>
        <v>8.2569153378520888</v>
      </c>
      <c r="AU12" s="119">
        <f ca="1">IF(AT12&gt;Design!$C$29,Design!$C$29,AT12)</f>
        <v>4.99903317535545</v>
      </c>
    </row>
    <row r="13" spans="1:47" s="120" customFormat="1" ht="12.75" customHeight="1" x14ac:dyDescent="0.25">
      <c r="A13" s="112">
        <f>Design!$D$13</f>
        <v>85</v>
      </c>
      <c r="B13" s="113">
        <f t="shared" si="0"/>
        <v>10.064999999999996</v>
      </c>
      <c r="C13" s="114">
        <f>Design!$D$7</f>
        <v>2</v>
      </c>
      <c r="D13" s="114">
        <f ca="1">FORECAST(C13, OFFSET(Design!$C$15:$C$17,MATCH(C13,Design!$B$15:$B$17,1)-1,0,2), OFFSET(Design!$B$15:$B$17,MATCH(C13,Design!$B$15:$B$17,1)-1,0,2))+(M13-25)*Design!$B$18/1000</f>
        <v>0.39011119345569883</v>
      </c>
      <c r="E13" s="173">
        <f ca="1">IF(100*(Design!$C$29+D13+C13*IF(ISBLANK(Design!$B$43),Constants!$C$6,Design!$B$43)/1000*(1+Constants!$C$36/100*(N13-25)))/($B13+D13-C13*O13/1000)&gt;Design!$C$36,Design!$C$37,100*(Design!$C$29+D13+C13*IF(ISBLANK(Design!$B$43),Constants!$C$6,Design!$B$43)/1000*(1+Constants!$C$36/100*(N13-25)))/($B13+D13-C13*O13/1000))</f>
        <v>54.745647420976177</v>
      </c>
      <c r="F13" s="115">
        <f ca="1">IF(($B13-C13*IF(ISBLANK(Design!$B$43),Constants!$C$6,Design!$B$43)/1000*(1+Constants!$C$36/100*(N13-25))-Design!$C$29)/(IF(ISBLANK(Design!$B$42),Design!$B$40,Design!$B$42)/1000000)*E13/100/(IF(ISBLANK(Design!$B$33),Design!$B$32,Design!$B$33)*1000000)&lt;0, 0, ($B13-C13*IF(ISBLANK(Design!$B$43),Constants!$C$6,Design!$B$43)/1000*(1+Constants!$C$36/100*(N13-25))-Design!$C$29)/(IF(ISBLANK(Design!$B$42),Design!$B$40,Design!$B$42)/1000000)*E13/100/(IF(ISBLANK(Design!$B$33),Design!$B$32,Design!$B$33)*1000000))</f>
        <v>0.39142555867340245</v>
      </c>
      <c r="G13" s="165">
        <f>B13*Constants!$C$21/1000+IF(ISBLANK(Design!$B$33),Design!$B$32,Design!$B$33)*1000000*Constants!$D$25/1000000000*(B13-Constants!$C$24)</f>
        <v>9.9332249999999928E-2</v>
      </c>
      <c r="H13" s="165">
        <f>B13*C13*(B13/(Constants!$C$26*1000000000)*IF(ISBLANK(Design!$B$33),Design!$B$32,Design!$B$33)*1000000/2+B13/(Constants!$C$27*1000000000)*IF(ISBLANK(Design!$B$33),Design!$B$32,Design!$B$33)*1000000/2)</f>
        <v>0.52779963801369822</v>
      </c>
      <c r="I13" s="165">
        <f t="shared" ca="1" si="1"/>
        <v>0.44839358013133251</v>
      </c>
      <c r="J13" s="165">
        <f>Constants!$D$25/1000000000*Constants!$C$24*IF(ISBLANK(Design!$B$33),Design!$B$32,Design!$B$33)*1000000</f>
        <v>6.8250000000000005E-2</v>
      </c>
      <c r="K13" s="165">
        <f t="shared" ca="1" si="4"/>
        <v>1.1437754681450305</v>
      </c>
      <c r="L13" s="165">
        <f t="shared" ca="1" si="5"/>
        <v>0.35308458987335933</v>
      </c>
      <c r="M13" s="166">
        <f ca="1">A13+L13*Design!$B$19</f>
        <v>102.65422949366797</v>
      </c>
      <c r="N13" s="166">
        <f ca="1">K13*Design!$C$12+A13</f>
        <v>123.88836591693104</v>
      </c>
      <c r="O13" s="166">
        <f ca="1">Constants!$D$22+Constants!$D$22*Constants!$C$23/100*(N13-25)</f>
        <v>204.11069273354485</v>
      </c>
      <c r="P13" s="165">
        <f ca="1">IF(100*(Design!$C$29+D13+C13*IF(ISBLANK(Design!$B$43),Constants!$C$6,Design!$B$43)/1000*(1+Constants!$C$36/100*(N13-25)))/($B13+D13-C13*O13/1000)&gt;Design!$C$36,  (1-Constants!$C$20/1000000000*IF(ISBLANK(Design!$B$33),Design!$B$32/4,Design!$B$33/4)*1000000) * ($B13+D13-C13*O13/1000) - (D13+C13*(1+($A13-25)*Constants!$C$36/100)*IF(ISBLANK(Design!$B$43),Constants!$C$6/1000,Design!$B$43/1000)),   (1-Constants!$C$20/1000000000*IF(ISBLANK(Design!$B$33),Design!$B$32,Design!$B$33)*1000000) * ($B13+D13-C13*O13/1000) - (D13+C13*(1+($A13-25)*Constants!$C$36/100)*IF(ISBLANK(Design!$B$43),Constants!$C$6/1000,Design!$B$43/1000)) )</f>
        <v>7.7645447838069392</v>
      </c>
      <c r="Q13" s="171">
        <f ca="1">IF(P13&gt;Design!$C$29,Design!$C$29,P13)</f>
        <v>4.99903317535545</v>
      </c>
      <c r="R13" s="181">
        <f>2*Design!$D$7/3</f>
        <v>1.3333333333333333</v>
      </c>
      <c r="S13" s="116">
        <f ca="1">FORECAST(R13, OFFSET(Design!$C$15:$C$17,MATCH(R13,Design!$B$15:$B$17,1)-1,0,2), OFFSET(Design!$B$15:$B$17,MATCH(R13,Design!$B$15:$B$17,1)-1,0,2))+(AB13-25)*Design!$B$18/1000</f>
        <v>0.34810695363560495</v>
      </c>
      <c r="T13" s="182">
        <f ca="1">IF(100*(Design!$C$29+S13+R13*IF(ISBLANK(Design!$B$43),Constants!$C$6,Design!$B$43)/1000*(1+Constants!$C$36/100*(AC13-25)))/($B13+S13-R13*AD13/1000)&gt;Design!$C$36,Design!$C$37,100*(Design!$C$29+S13+R13*IF(ISBLANK(Design!$B$43),Constants!$C$6,Design!$B$43)/1000*(1+Constants!$C$36/100*(AC13-25)))/($B13+S13-R13*AD13/1000))</f>
        <v>53.343370888018327</v>
      </c>
      <c r="U13" s="117">
        <f ca="1">IF(($B13-R13*IF(ISBLANK(Design!$B$43),Constants!$C$6,Design!$B$43)/1000*(1+Constants!$C$36/100*(AC13-25))-Design!$C$29)/(Design!$B$42/1000000)*T13/100/(IF(ISBLANK(IF(ISBLANK(Design!$B$42),Design!$B$40,Design!$B$42)),Design!$B$32,Design!$B$33)*1000000)&lt;0,0,($B13-R13*IF(ISBLANK(Design!$B$43),Constants!$C$6,Design!$B$43)/1000*(1+Constants!$C$36/100*(AC13-25))-Design!$C$29)/(IF(ISBLANK(Design!$B$42),Design!$B$40,Design!$B$42)/1000000)*T13/100/(IF(ISBLANK(Design!$B$33),Design!$B$32,Design!$B$33)*1000000))</f>
        <v>0.38449165284626752</v>
      </c>
      <c r="V13" s="183">
        <f>$B13*Constants!$C$21/1000+IF(ISBLANK(Design!$B$33),Design!$B$32,Design!$B$33)*1000000*Constants!$D$25/1000000000*($B13-Constants!$C$24)</f>
        <v>9.9332249999999928E-2</v>
      </c>
      <c r="W13" s="183">
        <f>$B13*R13*($B13/(Constants!$C$26*1000000000)*IF(ISBLANK(Design!$B$33),Design!$B$32,Design!$B$33)*1000000/2+$B13/(Constants!$C$27*1000000000)*IF(ISBLANK(Design!$B$33),Design!$B$32,Design!$B$33)*1000000/2)</f>
        <v>0.35186642534246548</v>
      </c>
      <c r="X13" s="183">
        <f t="shared" ca="1" si="2"/>
        <v>0.18345404777450894</v>
      </c>
      <c r="Y13" s="183">
        <f>Constants!$D$25/1000000000*Constants!$C$24*IF(ISBLANK(Design!$B$33),Design!$B$32,Design!$B$33)*1000000</f>
        <v>6.8250000000000005E-2</v>
      </c>
      <c r="Z13" s="183">
        <f t="shared" ca="1" si="10"/>
        <v>0.70290272311697433</v>
      </c>
      <c r="AA13" s="183">
        <f t="shared" ca="1" si="7"/>
        <v>0.21655329369437629</v>
      </c>
      <c r="AB13" s="184">
        <f ca="1">$A13+AA13*Design!$B$19</f>
        <v>95.827664684718812</v>
      </c>
      <c r="AC13" s="184">
        <f ca="1">Z13*Design!$C$12+$A13</f>
        <v>108.89869258597713</v>
      </c>
      <c r="AD13" s="184">
        <f ca="1">Constants!$D$22+Constants!$D$22*Constants!$C$23/100*(AC13-25)</f>
        <v>192.1189540687817</v>
      </c>
      <c r="AE13" s="183">
        <f ca="1">IF(100*(Design!$C$29+S13+R13*IF(ISBLANK(Design!$B$43),Constants!$C$6,Design!$B$43)/1000*(1+Constants!$C$36/100*(AC13-25)))/($B13+S13-R13*AD13/1000)&gt;Design!$C$36,  (1-Constants!$C$20/1000000000*IF(ISBLANK(Design!$B$33),Design!$B$32/4,Design!$B$33/4)*1000000) * ($B13+S13-R13*AD13/1000) - (S13+R13*(1+($A13-25)*Constants!$C$36/100)*IF(ISBLANK(Design!$B$43),Constants!$C$6/1000,Design!$B$43/1000)),   (1-Constants!$C$20/1000000000*IF(ISBLANK(Design!$B$33),Design!$B$32,Design!$B$33)*1000000) * ($B13+S13-R13*AD13/1000) - (S13+R13*(1+($A13-25)*Constants!$C$36/100)*IF(ISBLANK(Design!$B$43),Constants!$C$6/1000,Design!$B$43/1000)) )</f>
        <v>7.9299167810860363</v>
      </c>
      <c r="AF13" s="117">
        <f ca="1">IF(AE13&gt;Design!$C$29,Design!$C$29,AE13)</f>
        <v>4.99903317535545</v>
      </c>
      <c r="AG13" s="118">
        <f>Design!$D$7/3</f>
        <v>0.66666666666666663</v>
      </c>
      <c r="AH13" s="118">
        <f ca="1">FORECAST(AG13, OFFSET(Design!$C$15:$C$17,MATCH(AG13,Design!$B$15:$B$17,1)-1,0,2), OFFSET(Design!$B$15:$B$17,MATCH(AG13,Design!$B$15:$B$17,1)-1,0,2))+(AQ13-25)*Design!$B$18/1000</f>
        <v>0.30531586327234661</v>
      </c>
      <c r="AI13" s="194">
        <f ca="1">IF(100*(Design!$C$29+AH13+AG13*IF(ISBLANK(Design!$B$43),Constants!$C$6,Design!$B$43)/1000*(1+Constants!$C$36/100*(AR13-25)))/($B13+AH13-AG13*AS13/1000)&gt;Design!$C$36,Design!$C$37,100*(Design!$C$29+AH13+AG13*IF(ISBLANK(Design!$B$43),Constants!$C$6,Design!$B$43)/1000*(1+Constants!$C$36/100*(AR13-25)))/($B13+AH13-AG13*AS13/1000))</f>
        <v>52.095070939226929</v>
      </c>
      <c r="AJ13" s="119">
        <f ca="1">IF(($B13-AG13*IF(ISBLANK(Design!$B$43),Constants!$C$6,Design!$B$43)/1000*(1+Constants!$C$36/100*(AR13-25))-Design!$C$29)/(IF(ISBLANK(Design!$B$42),Design!$B$40,Design!$B$42)/1000000)*AI13/100/(IF(ISBLANK(Design!$B$33),Design!$B$32,Design!$B$33)*1000000)&lt;0,0,($B13-AG13*IF(ISBLANK(Design!$B$43),Constants!$C$6,Design!$B$43)/1000*(1+Constants!$C$36/100*(AR13-25))-Design!$C$29)/(IF(ISBLANK(Design!$B$42),Design!$B$40,Design!$B$42)/1000000)*AI13/100/(IF(ISBLANK(Design!$B$33),Design!$B$32,Design!$B$33)*1000000))</f>
        <v>0.37824424364154591</v>
      </c>
      <c r="AK13" s="195">
        <f>$B13*Constants!$C$21/1000+IF(ISBLANK(Design!$B$33),Design!$B$32,Design!$B$33)*1000000*Constants!$D$25/1000000000*($B13-Constants!$C$24)</f>
        <v>9.9332249999999928E-2</v>
      </c>
      <c r="AL13" s="195">
        <f>$B13*AG13*($B13/(Constants!$C$26*1000000000)*IF(ISBLANK(Design!$B$33),Design!$B$32,Design!$B$33)*1000000/2+$B13/(Constants!$C$27*1000000000)*IF(ISBLANK(Design!$B$33),Design!$B$32,Design!$B$33)*1000000/2)</f>
        <v>0.17593321267123274</v>
      </c>
      <c r="AM13" s="195">
        <f t="shared" ca="1" si="3"/>
        <v>4.3633378079584242E-2</v>
      </c>
      <c r="AN13" s="195">
        <f>Constants!$D$25/1000000000*Constants!$C$24*IF(ISBLANK(Design!$B$33),Design!$B$32,Design!$B$33)*1000000</f>
        <v>6.8250000000000005E-2</v>
      </c>
      <c r="AO13" s="195">
        <f t="shared" ca="1" si="11"/>
        <v>0.3871488407508169</v>
      </c>
      <c r="AP13" s="195">
        <f t="shared" ca="1" si="9"/>
        <v>9.7507565141269695E-2</v>
      </c>
      <c r="AQ13" s="196">
        <f ca="1">$A13+AP13*Design!$B$19</f>
        <v>89.875378257063488</v>
      </c>
      <c r="AR13" s="196">
        <f ca="1">AO13*Design!$C$12+$A13</f>
        <v>98.163060585527774</v>
      </c>
      <c r="AS13" s="196">
        <f ca="1">Constants!$D$22+Constants!$D$22*Constants!$C$23/100*(AR13-25)</f>
        <v>183.53044846842221</v>
      </c>
      <c r="AT13" s="195">
        <f ca="1">IF(100*(Design!$C$29+AH13+AG13*IF(ISBLANK(Design!$B$43),Constants!$C$6,Design!$B$43)/1000*(1+Constants!$C$36/100*(AR13-25)))/($B13+AH13-AG13*AS13/1000)&gt;Design!$C$36,  (1-Constants!$C$20/1000000000*IF(ISBLANK(Design!$B$33),Design!$B$32/4,Design!$B$33/4)*1000000) * ($B13+AH13-AG13*AS13/1000) - (AH13+AG13*(1+($A13-25)*Constants!$C$36/100)*IF(ISBLANK(Design!$B$43),Constants!$C$6/1000,Design!$B$43/1000)),   (1-Constants!$C$20/1000000000*IF(ISBLANK(Design!$B$33),Design!$B$32,Design!$B$33)*1000000) * ($B13+AH13-AG13*AS13/1000) - (AH13+AG13*(1+($A13-25)*Constants!$C$36/100)*IF(ISBLANK(Design!$B$43),Constants!$C$6/1000,Design!$B$43/1000)) )</f>
        <v>8.0804304427946771</v>
      </c>
      <c r="AU13" s="119">
        <f ca="1">IF(AT13&gt;Design!$C$29,Design!$C$29,AT13)</f>
        <v>4.99903317535545</v>
      </c>
    </row>
    <row r="14" spans="1:47" s="120" customFormat="1" ht="12.75" customHeight="1" x14ac:dyDescent="0.25">
      <c r="A14" s="112">
        <f>Design!$D$13</f>
        <v>85</v>
      </c>
      <c r="B14" s="113">
        <f t="shared" si="0"/>
        <v>9.8499999999999961</v>
      </c>
      <c r="C14" s="114">
        <f>Design!$D$7</f>
        <v>2</v>
      </c>
      <c r="D14" s="114">
        <f ca="1">FORECAST(C14, OFFSET(Design!$C$15:$C$17,MATCH(C14,Design!$B$15:$B$17,1)-1,0,2), OFFSET(Design!$B$15:$B$17,MATCH(C14,Design!$B$15:$B$17,1)-1,0,2))+(M14-25)*Design!$B$18/1000</f>
        <v>0.39051365623215362</v>
      </c>
      <c r="E14" s="173">
        <f ca="1">IF(100*(Design!$C$29+D14+C14*IF(ISBLANK(Design!$B$43),Constants!$C$6,Design!$B$43)/1000*(1+Constants!$C$36/100*(N14-25)))/($B14+D14-C14*O14/1000)&gt;Design!$C$36,Design!$C$37,100*(Design!$C$29+D14+C14*IF(ISBLANK(Design!$B$43),Constants!$C$6,Design!$B$43)/1000*(1+Constants!$C$36/100*(N14-25)))/($B14+D14-C14*O14/1000))</f>
        <v>55.937395898106132</v>
      </c>
      <c r="F14" s="115">
        <f ca="1">IF(($B14-C14*IF(ISBLANK(Design!$B$43),Constants!$C$6,Design!$B$43)/1000*(1+Constants!$C$36/100*(N14-25))-Design!$C$29)/(IF(ISBLANK(Design!$B$42),Design!$B$40,Design!$B$42)/1000000)*E14/100/(IF(ISBLANK(Design!$B$33),Design!$B$32,Design!$B$33)*1000000)&lt;0, 0, ($B14-C14*IF(ISBLANK(Design!$B$43),Constants!$C$6,Design!$B$43)/1000*(1+Constants!$C$36/100*(N14-25))-Design!$C$29)/(IF(ISBLANK(Design!$B$42),Design!$B$40,Design!$B$42)/1000000)*E14/100/(IF(ISBLANK(Design!$B$33),Design!$B$32,Design!$B$33)*1000000))</f>
        <v>0.38260699797299413</v>
      </c>
      <c r="G14" s="165">
        <f>B14*Constants!$C$21/1000+IF(ISBLANK(Design!$B$33),Design!$B$32,Design!$B$33)*1000000*Constants!$D$25/1000000000*(B14-Constants!$C$24)</f>
        <v>9.5752499999999949E-2</v>
      </c>
      <c r="H14" s="165">
        <f>B14*C14*(B14/(Constants!$C$26*1000000000)*IF(ISBLANK(Design!$B$33),Design!$B$32,Design!$B$33)*1000000/2+B14/(Constants!$C$27*1000000000)*IF(ISBLANK(Design!$B$33),Design!$B$32,Design!$B$33)*1000000/2)</f>
        <v>0.50549165525114115</v>
      </c>
      <c r="I14" s="165">
        <f t="shared" ca="1" si="1"/>
        <v>0.45703694641857928</v>
      </c>
      <c r="J14" s="165">
        <f>Constants!$D$25/1000000000*Constants!$C$24*IF(ISBLANK(Design!$B$33),Design!$B$32,Design!$B$33)*1000000</f>
        <v>6.8250000000000005E-2</v>
      </c>
      <c r="K14" s="165">
        <f t="shared" ca="1" si="4"/>
        <v>1.1265311016697201</v>
      </c>
      <c r="L14" s="165">
        <f t="shared" ca="1" si="5"/>
        <v>0.34414097261880927</v>
      </c>
      <c r="M14" s="166">
        <f ca="1">A14+L14*Design!$B$19</f>
        <v>102.20704863094046</v>
      </c>
      <c r="N14" s="166">
        <f ca="1">K14*Design!$C$12+A14</f>
        <v>123.30205745677048</v>
      </c>
      <c r="O14" s="166">
        <f ca="1">Constants!$D$22+Constants!$D$22*Constants!$C$23/100*(N14-25)</f>
        <v>203.64164596541639</v>
      </c>
      <c r="P14" s="165">
        <f ca="1">IF(100*(Design!$C$29+D14+C14*IF(ISBLANK(Design!$B$43),Constants!$C$6,Design!$B$43)/1000*(1+Constants!$C$36/100*(N14-25)))/($B14+D14-C14*O14/1000)&gt;Design!$C$36,  (1-Constants!$C$20/1000000000*IF(ISBLANK(Design!$B$33),Design!$B$32/4,Design!$B$33/4)*1000000) * ($B14+D14-C14*O14/1000) - (D14+C14*(1+($A14-25)*Constants!$C$36/100)*IF(ISBLANK(Design!$B$43),Constants!$C$6/1000,Design!$B$43/1000)),   (1-Constants!$C$20/1000000000*IF(ISBLANK(Design!$B$33),Design!$B$32,Design!$B$33)*1000000) * ($B14+D14-C14*O14/1000) - (D14+C14*(1+($A14-25)*Constants!$C$36/100)*IF(ISBLANK(Design!$B$43),Constants!$C$6/1000,Design!$B$43/1000)) )</f>
        <v>7.5886210880413776</v>
      </c>
      <c r="Q14" s="171">
        <f ca="1">IF(P14&gt;Design!$C$29,Design!$C$29,P14)</f>
        <v>4.99903317535545</v>
      </c>
      <c r="R14" s="181">
        <f>2*Design!$D$7/3</f>
        <v>1.3333333333333333</v>
      </c>
      <c r="S14" s="116">
        <f ca="1">FORECAST(R14, OFFSET(Design!$C$15:$C$17,MATCH(R14,Design!$B$15:$B$17,1)-1,0,2), OFFSET(Design!$B$15:$B$17,MATCH(R14,Design!$B$15:$B$17,1)-1,0,2))+(AB14-25)*Design!$B$18/1000</f>
        <v>0.34834088697937649</v>
      </c>
      <c r="T14" s="182">
        <f ca="1">IF(100*(Design!$C$29+S14+R14*IF(ISBLANK(Design!$B$43),Constants!$C$6,Design!$B$43)/1000*(1+Constants!$C$36/100*(AC14-25)))/($B14+S14-R14*AD14/1000)&gt;Design!$C$36,Design!$C$37,100*(Design!$C$29+S14+R14*IF(ISBLANK(Design!$B$43),Constants!$C$6,Design!$B$43)/1000*(1+Constants!$C$36/100*(AC14-25)))/($B14+S14-R14*AD14/1000))</f>
        <v>54.493977843804373</v>
      </c>
      <c r="U14" s="117">
        <f ca="1">IF(($B14-R14*IF(ISBLANK(Design!$B$43),Constants!$C$6,Design!$B$43)/1000*(1+Constants!$C$36/100*(AC14-25))-Design!$C$29)/(Design!$B$42/1000000)*T14/100/(IF(ISBLANK(IF(ISBLANK(Design!$B$42),Design!$B$40,Design!$B$42)),Design!$B$32,Design!$B$33)*1000000)&lt;0,0,($B14-R14*IF(ISBLANK(Design!$B$43),Constants!$C$6,Design!$B$43)/1000*(1+Constants!$C$36/100*(AC14-25))-Design!$C$29)/(IF(ISBLANK(Design!$B$42),Design!$B$40,Design!$B$42)/1000000)*T14/100/(IF(ISBLANK(Design!$B$33),Design!$B$32,Design!$B$33)*1000000))</f>
        <v>0.37588694462961686</v>
      </c>
      <c r="V14" s="183">
        <f>$B14*Constants!$C$21/1000+IF(ISBLANK(Design!$B$33),Design!$B$32,Design!$B$33)*1000000*Constants!$D$25/1000000000*($B14-Constants!$C$24)</f>
        <v>9.5752499999999949E-2</v>
      </c>
      <c r="W14" s="183">
        <f>$B14*R14*($B14/(Constants!$C$26*1000000000)*IF(ISBLANK(Design!$B$33),Design!$B$32,Design!$B$33)*1000000/2+$B14/(Constants!$C$27*1000000000)*IF(ISBLANK(Design!$B$33),Design!$B$32,Design!$B$33)*1000000/2)</f>
        <v>0.33699443683409408</v>
      </c>
      <c r="X14" s="183">
        <f t="shared" ca="1" si="2"/>
        <v>0.18695752780280142</v>
      </c>
      <c r="Y14" s="183">
        <f>Constants!$D$25/1000000000*Constants!$C$24*IF(ISBLANK(Design!$B$33),Design!$B$32,Design!$B$33)*1000000</f>
        <v>6.8250000000000005E-2</v>
      </c>
      <c r="Z14" s="183">
        <f t="shared" ca="1" si="10"/>
        <v>0.68795446463689547</v>
      </c>
      <c r="AA14" s="183">
        <f t="shared" ca="1" si="7"/>
        <v>0.2113547749438979</v>
      </c>
      <c r="AB14" s="184">
        <f ca="1">$A14+AA14*Design!$B$19</f>
        <v>95.567738747194895</v>
      </c>
      <c r="AC14" s="184">
        <f ca="1">Z14*Design!$C$12+$A14</f>
        <v>108.39045179765445</v>
      </c>
      <c r="AD14" s="184">
        <f ca="1">Constants!$D$22+Constants!$D$22*Constants!$C$23/100*(AC14-25)</f>
        <v>191.71236143812357</v>
      </c>
      <c r="AE14" s="183">
        <f ca="1">IF(100*(Design!$C$29+S14+R14*IF(ISBLANK(Design!$B$43),Constants!$C$6,Design!$B$43)/1000*(1+Constants!$C$36/100*(AC14-25)))/($B14+S14-R14*AD14/1000)&gt;Design!$C$36,  (1-Constants!$C$20/1000000000*IF(ISBLANK(Design!$B$33),Design!$B$32/4,Design!$B$33/4)*1000000) * ($B14+S14-R14*AD14/1000) - (S14+R14*(1+($A14-25)*Constants!$C$36/100)*IF(ISBLANK(Design!$B$43),Constants!$C$6/1000,Design!$B$43/1000)),   (1-Constants!$C$20/1000000000*IF(ISBLANK(Design!$B$33),Design!$B$32,Design!$B$33)*1000000) * ($B14+S14-R14*AD14/1000) - (S14+R14*(1+($A14-25)*Constants!$C$36/100)*IF(ISBLANK(Design!$B$43),Constants!$C$6/1000,Design!$B$43/1000)) )</f>
        <v>7.753697878445621</v>
      </c>
      <c r="AF14" s="117">
        <f ca="1">IF(AE14&gt;Design!$C$29,Design!$C$29,AE14)</f>
        <v>4.99903317535545</v>
      </c>
      <c r="AG14" s="118">
        <f>Design!$D$7/3</f>
        <v>0.66666666666666663</v>
      </c>
      <c r="AH14" s="118">
        <f ca="1">FORECAST(AG14, OFFSET(Design!$C$15:$C$17,MATCH(AG14,Design!$B$15:$B$17,1)-1,0,2), OFFSET(Design!$B$15:$B$17,MATCH(AG14,Design!$B$15:$B$17,1)-1,0,2))+(AQ14-25)*Design!$B$18/1000</f>
        <v>0.30541662206249676</v>
      </c>
      <c r="AI14" s="194">
        <f ca="1">IF(100*(Design!$C$29+AH14+AG14*IF(ISBLANK(Design!$B$43),Constants!$C$6,Design!$B$43)/1000*(1+Constants!$C$36/100*(AR14-25)))/($B14+AH14-AG14*AS14/1000)&gt;Design!$C$36,Design!$C$37,100*(Design!$C$29+AH14+AG14*IF(ISBLANK(Design!$B$43),Constants!$C$6,Design!$B$43)/1000*(1+Constants!$C$36/100*(AR14-25)))/($B14+AH14-AG14*AS14/1000))</f>
        <v>53.21056188476711</v>
      </c>
      <c r="AJ14" s="119">
        <f ca="1">IF(($B14-AG14*IF(ISBLANK(Design!$B$43),Constants!$C$6,Design!$B$43)/1000*(1+Constants!$C$36/100*(AR14-25))-Design!$C$29)/(IF(ISBLANK(Design!$B$42),Design!$B$40,Design!$B$42)/1000000)*AI14/100/(IF(ISBLANK(Design!$B$33),Design!$B$32,Design!$B$33)*1000000)&lt;0,0,($B14-AG14*IF(ISBLANK(Design!$B$43),Constants!$C$6,Design!$B$43)/1000*(1+Constants!$C$36/100*(AR14-25))-Design!$C$29)/(IF(ISBLANK(Design!$B$42),Design!$B$40,Design!$B$42)/1000000)*AI14/100/(IF(ISBLANK(Design!$B$33),Design!$B$32,Design!$B$33)*1000000))</f>
        <v>0.36983789989068461</v>
      </c>
      <c r="AK14" s="195">
        <f>$B14*Constants!$C$21/1000+IF(ISBLANK(Design!$B$33),Design!$B$32,Design!$B$33)*1000000*Constants!$D$25/1000000000*($B14-Constants!$C$24)</f>
        <v>9.5752499999999949E-2</v>
      </c>
      <c r="AL14" s="195">
        <f>$B14*AG14*($B14/(Constants!$C$26*1000000000)*IF(ISBLANK(Design!$B$33),Design!$B$32,Design!$B$33)*1000000/2+$B14/(Constants!$C$27*1000000000)*IF(ISBLANK(Design!$B$33),Design!$B$32,Design!$B$33)*1000000/2)</f>
        <v>0.16849721841704704</v>
      </c>
      <c r="AM14" s="195">
        <f t="shared" ca="1" si="3"/>
        <v>4.4449210131423181E-2</v>
      </c>
      <c r="AN14" s="195">
        <f>Constants!$D$25/1000000000*Constants!$C$24*IF(ISBLANK(Design!$B$33),Design!$B$32,Design!$B$33)*1000000</f>
        <v>6.8250000000000005E-2</v>
      </c>
      <c r="AO14" s="195">
        <f t="shared" ca="1" si="11"/>
        <v>0.37694892854847017</v>
      </c>
      <c r="AP14" s="195">
        <f t="shared" ca="1" si="9"/>
        <v>9.5268480915711107E-2</v>
      </c>
      <c r="AQ14" s="196">
        <f ca="1">$A14+AP14*Design!$B$19</f>
        <v>89.763424045785555</v>
      </c>
      <c r="AR14" s="196">
        <f ca="1">AO14*Design!$C$12+$A14</f>
        <v>97.81626357064799</v>
      </c>
      <c r="AS14" s="196">
        <f ca="1">Constants!$D$22+Constants!$D$22*Constants!$C$23/100*(AR14-25)</f>
        <v>183.25301085651839</v>
      </c>
      <c r="AT14" s="195">
        <f ca="1">IF(100*(Design!$C$29+AH14+AG14*IF(ISBLANK(Design!$B$43),Constants!$C$6,Design!$B$43)/1000*(1+Constants!$C$36/100*(AR14-25)))/($B14+AH14-AG14*AS14/1000)&gt;Design!$C$36,  (1-Constants!$C$20/1000000000*IF(ISBLANK(Design!$B$33),Design!$B$32/4,Design!$B$33/4)*1000000) * ($B14+AH14-AG14*AS14/1000) - (AH14+AG14*(1+($A14-25)*Constants!$C$36/100)*IF(ISBLANK(Design!$B$43),Constants!$C$6/1000,Design!$B$43/1000)),   (1-Constants!$C$20/1000000000*IF(ISBLANK(Design!$B$33),Design!$B$32,Design!$B$33)*1000000) * ($B14+AH14-AG14*AS14/1000) - (AH14+AG14*(1+($A14-25)*Constants!$C$36/100)*IF(ISBLANK(Design!$B$43),Constants!$C$6/1000,Design!$B$43/1000)) )</f>
        <v>7.9039419006827547</v>
      </c>
      <c r="AU14" s="119">
        <f ca="1">IF(AT14&gt;Design!$C$29,Design!$C$29,AT14)</f>
        <v>4.99903317535545</v>
      </c>
    </row>
    <row r="15" spans="1:47" s="120" customFormat="1" ht="12.75" customHeight="1" x14ac:dyDescent="0.25">
      <c r="A15" s="112">
        <f>Design!$D$13</f>
        <v>85</v>
      </c>
      <c r="B15" s="113">
        <f t="shared" si="0"/>
        <v>9.6349999999999962</v>
      </c>
      <c r="C15" s="114">
        <f>Design!$D$7</f>
        <v>2</v>
      </c>
      <c r="D15" s="114">
        <f ca="1">FORECAST(C15, OFFSET(Design!$C$15:$C$17,MATCH(C15,Design!$B$15:$B$17,1)-1,0,2), OFFSET(Design!$B$15:$B$17,MATCH(C15,Design!$B$15:$B$17,1)-1,0,2))+(M15-25)*Design!$B$18/1000</f>
        <v>0.39093504955505792</v>
      </c>
      <c r="E15" s="173">
        <f ca="1">IF(100*(Design!$C$29+D15+C15*IF(ISBLANK(Design!$B$43),Constants!$C$6,Design!$B$43)/1000*(1+Constants!$C$36/100*(N15-25)))/($B15+D15-C15*O15/1000)&gt;Design!$C$36,Design!$C$37,100*(Design!$C$29+D15+C15*IF(ISBLANK(Design!$B$43),Constants!$C$6,Design!$B$43)/1000*(1+Constants!$C$36/100*(N15-25)))/($B15+D15-C15*O15/1000))</f>
        <v>57.182570744770196</v>
      </c>
      <c r="F15" s="115">
        <f ca="1">IF(($B15-C15*IF(ISBLANK(Design!$B$43),Constants!$C$6,Design!$B$43)/1000*(1+Constants!$C$36/100*(N15-25))-Design!$C$29)/(IF(ISBLANK(Design!$B$42),Design!$B$40,Design!$B$42)/1000000)*E15/100/(IF(ISBLANK(Design!$B$33),Design!$B$32,Design!$B$33)*1000000)&lt;0, 0, ($B15-C15*IF(ISBLANK(Design!$B$43),Constants!$C$6,Design!$B$43)/1000*(1+Constants!$C$36/100*(N15-25))-Design!$C$29)/(IF(ISBLANK(Design!$B$42),Design!$B$40,Design!$B$42)/1000000)*E15/100/(IF(ISBLANK(Design!$B$33),Design!$B$32,Design!$B$33)*1000000))</f>
        <v>0.37339765622320981</v>
      </c>
      <c r="G15" s="165">
        <f>B15*Constants!$C$21/1000+IF(ISBLANK(Design!$B$33),Design!$B$32,Design!$B$33)*1000000*Constants!$D$25/1000000000*(B15-Constants!$C$24)</f>
        <v>9.2172749999999942E-2</v>
      </c>
      <c r="H15" s="165">
        <f>B15*C15*(B15/(Constants!$C$26*1000000000)*IF(ISBLANK(Design!$B$33),Design!$B$32,Design!$B$33)*1000000/2+B15/(Constants!$C$27*1000000000)*IF(ISBLANK(Design!$B$33),Design!$B$32,Design!$B$33)*1000000/2)</f>
        <v>0.48366534121004529</v>
      </c>
      <c r="I15" s="165">
        <f t="shared" ca="1" si="1"/>
        <v>0.46612492283304557</v>
      </c>
      <c r="J15" s="165">
        <f>Constants!$D$25/1000000000*Constants!$C$24*IF(ISBLANK(Design!$B$33),Design!$B$32,Design!$B$33)*1000000</f>
        <v>6.8250000000000005E-2</v>
      </c>
      <c r="K15" s="165">
        <f t="shared" ca="1" si="4"/>
        <v>1.1102130140430908</v>
      </c>
      <c r="L15" s="165">
        <f t="shared" ca="1" si="5"/>
        <v>0.33477667655426896</v>
      </c>
      <c r="M15" s="166">
        <f ca="1">A15+L15*Design!$B$19</f>
        <v>101.73883382771345</v>
      </c>
      <c r="N15" s="166">
        <f ca="1">K15*Design!$C$12+A15</f>
        <v>122.74724247746508</v>
      </c>
      <c r="O15" s="166">
        <f ca="1">Constants!$D$22+Constants!$D$22*Constants!$C$23/100*(N15-25)</f>
        <v>203.19779398197207</v>
      </c>
      <c r="P15" s="165">
        <f ca="1">IF(100*(Design!$C$29+D15+C15*IF(ISBLANK(Design!$B$43),Constants!$C$6,Design!$B$43)/1000*(1+Constants!$C$36/100*(N15-25)))/($B15+D15-C15*O15/1000)&gt;Design!$C$36,  (1-Constants!$C$20/1000000000*IF(ISBLANK(Design!$B$33),Design!$B$32/4,Design!$B$33/4)*1000000) * ($B15+D15-C15*O15/1000) - (D15+C15*(1+($A15-25)*Constants!$C$36/100)*IF(ISBLANK(Design!$B$43),Constants!$C$6/1000,Design!$B$43/1000)),   (1-Constants!$C$20/1000000000*IF(ISBLANK(Design!$B$33),Design!$B$32,Design!$B$33)*1000000) * ($B15+D15-C15*O15/1000) - (D15+C15*(1+($A15-25)*Constants!$C$36/100)*IF(ISBLANK(Design!$B$43),Constants!$C$6/1000,Design!$B$43/1000)) )</f>
        <v>7.4126526181420385</v>
      </c>
      <c r="Q15" s="171">
        <f ca="1">IF(P15&gt;Design!$C$29,Design!$C$29,P15)</f>
        <v>4.99903317535545</v>
      </c>
      <c r="R15" s="181">
        <f>2*Design!$D$7/3</f>
        <v>1.3333333333333333</v>
      </c>
      <c r="S15" s="116">
        <f ca="1">FORECAST(R15, OFFSET(Design!$C$15:$C$17,MATCH(R15,Design!$B$15:$B$17,1)-1,0,2), OFFSET(Design!$B$15:$B$17,MATCH(R15,Design!$B$15:$B$17,1)-1,0,2))+(AB15-25)*Design!$B$18/1000</f>
        <v>0.34858549643724557</v>
      </c>
      <c r="T15" s="182">
        <f ca="1">IF(100*(Design!$C$29+S15+R15*IF(ISBLANK(Design!$B$43),Constants!$C$6,Design!$B$43)/1000*(1+Constants!$C$36/100*(AC15-25)))/($B15+S15-R15*AD15/1000)&gt;Design!$C$36,Design!$C$37,100*(Design!$C$29+S15+R15*IF(ISBLANK(Design!$B$43),Constants!$C$6,Design!$B$43)/1000*(1+Constants!$C$36/100*(AC15-25)))/($B15+S15-R15*AD15/1000))</f>
        <v>55.695443875729886</v>
      </c>
      <c r="U15" s="117">
        <f ca="1">IF(($B15-R15*IF(ISBLANK(Design!$B$43),Constants!$C$6,Design!$B$43)/1000*(1+Constants!$C$36/100*(AC15-25))-Design!$C$29)/(Design!$B$42/1000000)*T15/100/(IF(ISBLANK(IF(ISBLANK(Design!$B$42),Design!$B$40,Design!$B$42)),Design!$B$32,Design!$B$33)*1000000)&lt;0,0,($B15-R15*IF(ISBLANK(Design!$B$43),Constants!$C$6,Design!$B$43)/1000*(1+Constants!$C$36/100*(AC15-25))-Design!$C$29)/(IF(ISBLANK(Design!$B$42),Design!$B$40,Design!$B$42)/1000000)*T15/100/(IF(ISBLANK(Design!$B$33),Design!$B$32,Design!$B$33)*1000000))</f>
        <v>0.36690341288854567</v>
      </c>
      <c r="V15" s="183">
        <f>$B15*Constants!$C$21/1000+IF(ISBLANK(Design!$B$33),Design!$B$32,Design!$B$33)*1000000*Constants!$D$25/1000000000*($B15-Constants!$C$24)</f>
        <v>9.2172749999999942E-2</v>
      </c>
      <c r="W15" s="183">
        <f>$B15*R15*($B15/(Constants!$C$26*1000000000)*IF(ISBLANK(Design!$B$33),Design!$B$32,Design!$B$33)*1000000/2+$B15/(Constants!$C$27*1000000000)*IF(ISBLANK(Design!$B$33),Design!$B$32,Design!$B$33)*1000000/2)</f>
        <v>0.32244356080669684</v>
      </c>
      <c r="X15" s="183">
        <f t="shared" ca="1" si="2"/>
        <v>0.19062824423642077</v>
      </c>
      <c r="Y15" s="183">
        <f>Constants!$D$25/1000000000*Constants!$C$24*IF(ISBLANK(Design!$B$33),Design!$B$32,Design!$B$33)*1000000</f>
        <v>6.8250000000000005E-2</v>
      </c>
      <c r="Z15" s="183">
        <f t="shared" ca="1" si="10"/>
        <v>0.67349455504311762</v>
      </c>
      <c r="AA15" s="183">
        <f t="shared" ca="1" si="7"/>
        <v>0.20591900921347339</v>
      </c>
      <c r="AB15" s="184">
        <f ca="1">$A15+AA15*Design!$B$19</f>
        <v>95.295950460673666</v>
      </c>
      <c r="AC15" s="184">
        <f ca="1">Z15*Design!$C$12+$A15</f>
        <v>107.898814871466</v>
      </c>
      <c r="AD15" s="184">
        <f ca="1">Constants!$D$22+Constants!$D$22*Constants!$C$23/100*(AC15-25)</f>
        <v>191.31905189717281</v>
      </c>
      <c r="AE15" s="183">
        <f ca="1">IF(100*(Design!$C$29+S15+R15*IF(ISBLANK(Design!$B$43),Constants!$C$6,Design!$B$43)/1000*(1+Constants!$C$36/100*(AC15-25)))/($B15+S15-R15*AD15/1000)&gt;Design!$C$36,  (1-Constants!$C$20/1000000000*IF(ISBLANK(Design!$B$33),Design!$B$32/4,Design!$B$33/4)*1000000) * ($B15+S15-R15*AD15/1000) - (S15+R15*(1+($A15-25)*Constants!$C$36/100)*IF(ISBLANK(Design!$B$43),Constants!$C$6/1000,Design!$B$43/1000)),   (1-Constants!$C$20/1000000000*IF(ISBLANK(Design!$B$33),Design!$B$32,Design!$B$33)*1000000) * ($B15+S15-R15*AD15/1000) - (S15+R15*(1+($A15-25)*Constants!$C$36/100)*IF(ISBLANK(Design!$B$43),Constants!$C$6/1000,Design!$B$43/1000)) )</f>
        <v>7.577462520707912</v>
      </c>
      <c r="AF15" s="117">
        <f ca="1">IF(AE15&gt;Design!$C$29,Design!$C$29,AE15)</f>
        <v>4.99903317535545</v>
      </c>
      <c r="AG15" s="118">
        <f>Design!$D$7/3</f>
        <v>0.66666666666666663</v>
      </c>
      <c r="AH15" s="118">
        <f ca="1">FORECAST(AG15, OFFSET(Design!$C$15:$C$17,MATCH(AG15,Design!$B$15:$B$17,1)-1,0,2), OFFSET(Design!$B$15:$B$17,MATCH(AG15,Design!$B$15:$B$17,1)-1,0,2))+(AQ15-25)*Design!$B$18/1000</f>
        <v>0.30552186296207134</v>
      </c>
      <c r="AI15" s="194">
        <f ca="1">IF(100*(Design!$C$29+AH15+AG15*IF(ISBLANK(Design!$B$43),Constants!$C$6,Design!$B$43)/1000*(1+Constants!$C$36/100*(AR15-25)))/($B15+AH15-AG15*AS15/1000)&gt;Design!$C$36,Design!$C$37,100*(Design!$C$29+AH15+AG15*IF(ISBLANK(Design!$B$43),Constants!$C$6,Design!$B$43)/1000*(1+Constants!$C$36/100*(AR15-25)))/($B15+AH15-AG15*AS15/1000))</f>
        <v>54.374888253070147</v>
      </c>
      <c r="AJ15" s="119">
        <f ca="1">IF(($B15-AG15*IF(ISBLANK(Design!$B$43),Constants!$C$6,Design!$B$43)/1000*(1+Constants!$C$36/100*(AR15-25))-Design!$C$29)/(IF(ISBLANK(Design!$B$42),Design!$B$40,Design!$B$42)/1000000)*AI15/100/(IF(ISBLANK(Design!$B$33),Design!$B$32,Design!$B$33)*1000000)&lt;0,0,($B15-AG15*IF(ISBLANK(Design!$B$43),Constants!$C$6,Design!$B$43)/1000*(1+Constants!$C$36/100*(AR15-25))-Design!$C$29)/(IF(ISBLANK(Design!$B$42),Design!$B$40,Design!$B$42)/1000000)*AI15/100/(IF(ISBLANK(Design!$B$33),Design!$B$32,Design!$B$33)*1000000))</f>
        <v>0.36106374674317387</v>
      </c>
      <c r="AK15" s="195">
        <f>$B15*Constants!$C$21/1000+IF(ISBLANK(Design!$B$33),Design!$B$32,Design!$B$33)*1000000*Constants!$D$25/1000000000*($B15-Constants!$C$24)</f>
        <v>9.2172749999999942E-2</v>
      </c>
      <c r="AL15" s="195">
        <f>$B15*AG15*($B15/(Constants!$C$26*1000000000)*IF(ISBLANK(Design!$B$33),Design!$B$32,Design!$B$33)*1000000/2+$B15/(Constants!$C$27*1000000000)*IF(ISBLANK(Design!$B$33),Design!$B$32,Design!$B$33)*1000000/2)</f>
        <v>0.16122178040334842</v>
      </c>
      <c r="AM15" s="195">
        <f t="shared" ca="1" si="3"/>
        <v>4.5301212078866525E-2</v>
      </c>
      <c r="AN15" s="195">
        <f>Constants!$D$25/1000000000*Constants!$C$24*IF(ISBLANK(Design!$B$33),Design!$B$32,Design!$B$33)*1000000</f>
        <v>6.8250000000000005E-2</v>
      </c>
      <c r="AO15" s="195">
        <f t="shared" ca="1" si="11"/>
        <v>0.3669457424822149</v>
      </c>
      <c r="AP15" s="195">
        <f t="shared" ca="1" si="9"/>
        <v>9.2929794258497969E-2</v>
      </c>
      <c r="AQ15" s="196">
        <f ca="1">$A15+AP15*Design!$B$19</f>
        <v>89.646489712924904</v>
      </c>
      <c r="AR15" s="196">
        <f ca="1">AO15*Design!$C$12+$A15</f>
        <v>97.476155244395301</v>
      </c>
      <c r="AS15" s="196">
        <f ca="1">Constants!$D$22+Constants!$D$22*Constants!$C$23/100*(AR15-25)</f>
        <v>182.98092419551625</v>
      </c>
      <c r="AT15" s="195">
        <f ca="1">IF(100*(Design!$C$29+AH15+AG15*IF(ISBLANK(Design!$B$43),Constants!$C$6,Design!$B$43)/1000*(1+Constants!$C$36/100*(AR15-25)))/($B15+AH15-AG15*AS15/1000)&gt;Design!$C$36,  (1-Constants!$C$20/1000000000*IF(ISBLANK(Design!$B$33),Design!$B$32/4,Design!$B$33/4)*1000000) * ($B15+AH15-AG15*AS15/1000) - (AH15+AG15*(1+($A15-25)*Constants!$C$36/100)*IF(ISBLANK(Design!$B$43),Constants!$C$6/1000,Design!$B$43/1000)),   (1-Constants!$C$20/1000000000*IF(ISBLANK(Design!$B$33),Design!$B$32,Design!$B$33)*1000000) * ($B15+AH15-AG15*AS15/1000) - (AH15+AG15*(1+($A15-25)*Constants!$C$36/100)*IF(ISBLANK(Design!$B$43),Constants!$C$6/1000,Design!$B$43/1000)) )</f>
        <v>7.7274496279768554</v>
      </c>
      <c r="AU15" s="119">
        <f ca="1">IF(AT15&gt;Design!$C$29,Design!$C$29,AT15)</f>
        <v>4.99903317535545</v>
      </c>
    </row>
    <row r="16" spans="1:47" s="120" customFormat="1" ht="12.75" customHeight="1" x14ac:dyDescent="0.25">
      <c r="A16" s="112">
        <f>Design!$D$13</f>
        <v>85</v>
      </c>
      <c r="B16" s="113">
        <f t="shared" si="0"/>
        <v>9.4199999999999964</v>
      </c>
      <c r="C16" s="114">
        <f>Design!$D$7</f>
        <v>2</v>
      </c>
      <c r="D16" s="114">
        <f ca="1">FORECAST(C16, OFFSET(Design!$C$15:$C$17,MATCH(C16,Design!$B$15:$B$17,1)-1,0,2), OFFSET(Design!$B$15:$B$17,MATCH(C16,Design!$B$15:$B$17,1)-1,0,2))+(M16-25)*Design!$B$18/1000</f>
        <v>0.39137674110895593</v>
      </c>
      <c r="E16" s="173">
        <f ca="1">IF(100*(Design!$C$29+D16+C16*IF(ISBLANK(Design!$B$43),Constants!$C$6,Design!$B$43)/1000*(1+Constants!$C$36/100*(N16-25)))/($B16+D16-C16*O16/1000)&gt;Design!$C$36,Design!$C$37,100*(Design!$C$29+D16+C16*IF(ISBLANK(Design!$B$43),Constants!$C$6,Design!$B$43)/1000*(1+Constants!$C$36/100*(N16-25)))/($B16+D16-C16*O16/1000))</f>
        <v>58.484846625134217</v>
      </c>
      <c r="F16" s="115">
        <f ca="1">IF(($B16-C16*IF(ISBLANK(Design!$B$43),Constants!$C$6,Design!$B$43)/1000*(1+Constants!$C$36/100*(N16-25))-Design!$C$29)/(IF(ISBLANK(Design!$B$42),Design!$B$40,Design!$B$42)/1000000)*E16/100/(IF(ISBLANK(Design!$B$33),Design!$B$32,Design!$B$33)*1000000)&lt;0, 0, ($B16-C16*IF(ISBLANK(Design!$B$43),Constants!$C$6,Design!$B$43)/1000*(1+Constants!$C$36/100*(N16-25))-Design!$C$29)/(IF(ISBLANK(Design!$B$42),Design!$B$40,Design!$B$42)/1000000)*E16/100/(IF(ISBLANK(Design!$B$33),Design!$B$32,Design!$B$33)*1000000))</f>
        <v>0.36377062119843628</v>
      </c>
      <c r="G16" s="165">
        <f>B16*Constants!$C$21/1000+IF(ISBLANK(Design!$B$33),Design!$B$32,Design!$B$33)*1000000*Constants!$D$25/1000000000*(B16-Constants!$C$24)</f>
        <v>8.859299999999995E-2</v>
      </c>
      <c r="H16" s="165">
        <f>B16*C16*(B16/(Constants!$C$26*1000000000)*IF(ISBLANK(Design!$B$33),Design!$B$32,Design!$B$33)*1000000/2+B16/(Constants!$C$27*1000000000)*IF(ISBLANK(Design!$B$33),Design!$B$32,Design!$B$33)*1000000/2)</f>
        <v>0.46232069589041058</v>
      </c>
      <c r="I16" s="165">
        <f t="shared" ca="1" si="1"/>
        <v>0.47569014903952589</v>
      </c>
      <c r="J16" s="165">
        <f>Constants!$D$25/1000000000*Constants!$C$24*IF(ISBLANK(Design!$B$33),Design!$B$32,Design!$B$33)*1000000</f>
        <v>6.8250000000000005E-2</v>
      </c>
      <c r="K16" s="165">
        <f t="shared" ca="1" si="4"/>
        <v>1.0948538449299363</v>
      </c>
      <c r="L16" s="165">
        <f t="shared" ca="1" si="5"/>
        <v>0.32496130868986889</v>
      </c>
      <c r="M16" s="166">
        <f ca="1">A16+L16*Design!$B$19</f>
        <v>101.24806543449344</v>
      </c>
      <c r="N16" s="166">
        <f ca="1">K16*Design!$C$12+A16</f>
        <v>122.22503072761783</v>
      </c>
      <c r="O16" s="166">
        <f ca="1">Constants!$D$22+Constants!$D$22*Constants!$C$23/100*(N16-25)</f>
        <v>202.78002458209426</v>
      </c>
      <c r="P16" s="165">
        <f ca="1">IF(100*(Design!$C$29+D16+C16*IF(ISBLANK(Design!$B$43),Constants!$C$6,Design!$B$43)/1000*(1+Constants!$C$36/100*(N16-25)))/($B16+D16-C16*O16/1000)&gt;Design!$C$36,  (1-Constants!$C$20/1000000000*IF(ISBLANK(Design!$B$33),Design!$B$32/4,Design!$B$33/4)*1000000) * ($B16+D16-C16*O16/1000) - (D16+C16*(1+($A16-25)*Constants!$C$36/100)*IF(ISBLANK(Design!$B$43),Constants!$C$6/1000,Design!$B$43/1000)),   (1-Constants!$C$20/1000000000*IF(ISBLANK(Design!$B$33),Design!$B$32,Design!$B$33)*1000000) * ($B16+D16-C16*O16/1000) - (D16+C16*(1+($A16-25)*Constants!$C$36/100)*IF(ISBLANK(Design!$B$43),Constants!$C$6/1000,Design!$B$43/1000)) )</f>
        <v>7.2366376713236686</v>
      </c>
      <c r="Q16" s="171">
        <f ca="1">IF(P16&gt;Design!$C$29,Design!$C$29,P16)</f>
        <v>4.99903317535545</v>
      </c>
      <c r="R16" s="181">
        <f>2*Design!$D$7/3</f>
        <v>1.3333333333333333</v>
      </c>
      <c r="S16" s="116">
        <f ca="1">FORECAST(R16, OFFSET(Design!$C$15:$C$17,MATCH(R16,Design!$B$15:$B$17,1)-1,0,2), OFFSET(Design!$B$15:$B$17,MATCH(R16,Design!$B$15:$B$17,1)-1,0,2))+(AB16-25)*Design!$B$18/1000</f>
        <v>0.34884152924595624</v>
      </c>
      <c r="T16" s="182">
        <f ca="1">IF(100*(Design!$C$29+S16+R16*IF(ISBLANK(Design!$B$43),Constants!$C$6,Design!$B$43)/1000*(1+Constants!$C$36/100*(AC16-25)))/($B16+S16-R16*AD16/1000)&gt;Design!$C$36,Design!$C$37,100*(Design!$C$29+S16+R16*IF(ISBLANK(Design!$B$43),Constants!$C$6,Design!$B$43)/1000*(1+Constants!$C$36/100*(AC16-25)))/($B16+S16-R16*AD16/1000))</f>
        <v>56.951213992152766</v>
      </c>
      <c r="U16" s="117">
        <f ca="1">IF(($B16-R16*IF(ISBLANK(Design!$B$43),Constants!$C$6,Design!$B$43)/1000*(1+Constants!$C$36/100*(AC16-25))-Design!$C$29)/(Design!$B$42/1000000)*T16/100/(IF(ISBLANK(IF(ISBLANK(Design!$B$42),Design!$B$40,Design!$B$42)),Design!$B$32,Design!$B$33)*1000000)&lt;0,0,($B16-R16*IF(ISBLANK(Design!$B$43),Constants!$C$6,Design!$B$43)/1000*(1+Constants!$C$36/100*(AC16-25))-Design!$C$29)/(IF(ISBLANK(Design!$B$42),Design!$B$40,Design!$B$42)/1000000)*T16/100/(IF(ISBLANK(Design!$B$33),Design!$B$32,Design!$B$33)*1000000))</f>
        <v>0.35751534529901208</v>
      </c>
      <c r="V16" s="183">
        <f>$B16*Constants!$C$21/1000+IF(ISBLANK(Design!$B$33),Design!$B$32,Design!$B$33)*1000000*Constants!$D$25/1000000000*($B16-Constants!$C$24)</f>
        <v>8.859299999999995E-2</v>
      </c>
      <c r="W16" s="183">
        <f>$B16*R16*($B16/(Constants!$C$26*1000000000)*IF(ISBLANK(Design!$B$33),Design!$B$32,Design!$B$33)*1000000/2+$B16/(Constants!$C$27*1000000000)*IF(ISBLANK(Design!$B$33),Design!$B$32,Design!$B$33)*1000000/2)</f>
        <v>0.3082137972602737</v>
      </c>
      <c r="X16" s="183">
        <f t="shared" ca="1" si="2"/>
        <v>0.19447785883481031</v>
      </c>
      <c r="Y16" s="183">
        <f>Constants!$D$25/1000000000*Constants!$C$24*IF(ISBLANK(Design!$B$33),Design!$B$32,Design!$B$33)*1000000</f>
        <v>6.8250000000000005E-2</v>
      </c>
      <c r="Z16" s="183">
        <f t="shared" ca="1" si="10"/>
        <v>0.65953465609508399</v>
      </c>
      <c r="AA16" s="183">
        <f t="shared" ca="1" si="7"/>
        <v>0.20022939124212466</v>
      </c>
      <c r="AB16" s="184">
        <f ca="1">$A16+AA16*Design!$B$19</f>
        <v>95.011469562106228</v>
      </c>
      <c r="AC16" s="184">
        <f ca="1">Z16*Design!$C$12+$A16</f>
        <v>107.42417830723286</v>
      </c>
      <c r="AD16" s="184">
        <f ca="1">Constants!$D$22+Constants!$D$22*Constants!$C$23/100*(AC16-25)</f>
        <v>190.9393426457863</v>
      </c>
      <c r="AE16" s="183">
        <f ca="1">IF(100*(Design!$C$29+S16+R16*IF(ISBLANK(Design!$B$43),Constants!$C$6,Design!$B$43)/1000*(1+Constants!$C$36/100*(AC16-25)))/($B16+S16-R16*AD16/1000)&gt;Design!$C$36,  (1-Constants!$C$20/1000000000*IF(ISBLANK(Design!$B$33),Design!$B$32/4,Design!$B$33/4)*1000000) * ($B16+S16-R16*AD16/1000) - (S16+R16*(1+($A16-25)*Constants!$C$36/100)*IF(ISBLANK(Design!$B$43),Constants!$C$6/1000,Design!$B$43/1000)),   (1-Constants!$C$20/1000000000*IF(ISBLANK(Design!$B$33),Design!$B$32,Design!$B$33)*1000000) * ($B16+S16-R16*AD16/1000) - (S16+R16*(1+($A16-25)*Constants!$C$36/100)*IF(ISBLANK(Design!$B$43),Constants!$C$6/1000,Design!$B$43/1000)) )</f>
        <v>7.4012102270515756</v>
      </c>
      <c r="AF16" s="117">
        <f ca="1">IF(AE16&gt;Design!$C$29,Design!$C$29,AE16)</f>
        <v>4.99903317535545</v>
      </c>
      <c r="AG16" s="118">
        <f>Design!$D$7/3</f>
        <v>0.66666666666666663</v>
      </c>
      <c r="AH16" s="118">
        <f ca="1">FORECAST(AG16, OFFSET(Design!$C$15:$C$17,MATCH(AG16,Design!$B$15:$B$17,1)-1,0,2), OFFSET(Design!$B$15:$B$17,MATCH(AG16,Design!$B$15:$B$17,1)-1,0,2))+(AQ16-25)*Design!$B$18/1000</f>
        <v>0.30563189167618454</v>
      </c>
      <c r="AI16" s="194">
        <f ca="1">IF(100*(Design!$C$29+AH16+AG16*IF(ISBLANK(Design!$B$43),Constants!$C$6,Design!$B$43)/1000*(1+Constants!$C$36/100*(AR16-25)))/($B16+AH16-AG16*AS16/1000)&gt;Design!$C$36,Design!$C$37,100*(Design!$C$29+AH16+AG16*IF(ISBLANK(Design!$B$43),Constants!$C$6,Design!$B$43)/1000*(1+Constants!$C$36/100*(AR16-25)))/($B16+AH16-AG16*AS16/1000))</f>
        <v>55.59132692612615</v>
      </c>
      <c r="AJ16" s="119">
        <f ca="1">IF(($B16-AG16*IF(ISBLANK(Design!$B$43),Constants!$C$6,Design!$B$43)/1000*(1+Constants!$C$36/100*(AR16-25))-Design!$C$29)/(IF(ISBLANK(Design!$B$42),Design!$B$40,Design!$B$42)/1000000)*AI16/100/(IF(ISBLANK(Design!$B$33),Design!$B$32,Design!$B$33)*1000000)&lt;0,0,($B16-AG16*IF(ISBLANK(Design!$B$43),Constants!$C$6,Design!$B$43)/1000*(1+Constants!$C$36/100*(AR16-25))-Design!$C$29)/(IF(ISBLANK(Design!$B$42),Design!$B$40,Design!$B$42)/1000000)*AI16/100/(IF(ISBLANK(Design!$B$33),Design!$B$32,Design!$B$33)*1000000))</f>
        <v>0.35189707751276111</v>
      </c>
      <c r="AK16" s="195">
        <f>$B16*Constants!$C$21/1000+IF(ISBLANK(Design!$B$33),Design!$B$32,Design!$B$33)*1000000*Constants!$D$25/1000000000*($B16-Constants!$C$24)</f>
        <v>8.859299999999995E-2</v>
      </c>
      <c r="AL16" s="195">
        <f>$B16*AG16*($B16/(Constants!$C$26*1000000000)*IF(ISBLANK(Design!$B$33),Design!$B$32,Design!$B$33)*1000000/2+$B16/(Constants!$C$27*1000000000)*IF(ISBLANK(Design!$B$33),Design!$B$32,Design!$B$33)*1000000/2)</f>
        <v>0.15410689863013685</v>
      </c>
      <c r="AM16" s="195">
        <f t="shared" ca="1" si="3"/>
        <v>4.6191844326520994E-2</v>
      </c>
      <c r="AN16" s="195">
        <f>Constants!$D$25/1000000000*Constants!$C$24*IF(ISBLANK(Design!$B$33),Design!$B$32,Design!$B$33)*1000000</f>
        <v>6.8250000000000005E-2</v>
      </c>
      <c r="AO16" s="195">
        <f t="shared" ca="1" si="11"/>
        <v>0.35714174295665779</v>
      </c>
      <c r="AP16" s="195">
        <f t="shared" ca="1" si="9"/>
        <v>9.04847117226487E-2</v>
      </c>
      <c r="AQ16" s="196">
        <f ca="1">$A16+AP16*Design!$B$19</f>
        <v>89.524235586132434</v>
      </c>
      <c r="AR16" s="196">
        <f ca="1">AO16*Design!$C$12+$A16</f>
        <v>97.142819260526366</v>
      </c>
      <c r="AS16" s="196">
        <f ca="1">Constants!$D$22+Constants!$D$22*Constants!$C$23/100*(AR16-25)</f>
        <v>182.71425540842108</v>
      </c>
      <c r="AT16" s="195">
        <f ca="1">IF(100*(Design!$C$29+AH16+AG16*IF(ISBLANK(Design!$B$43),Constants!$C$6,Design!$B$43)/1000*(1+Constants!$C$36/100*(AR16-25)))/($B16+AH16-AG16*AS16/1000)&gt;Design!$C$36,  (1-Constants!$C$20/1000000000*IF(ISBLANK(Design!$B$33),Design!$B$32/4,Design!$B$33/4)*1000000) * ($B16+AH16-AG16*AS16/1000) - (AH16+AG16*(1+($A16-25)*Constants!$C$36/100)*IF(ISBLANK(Design!$B$43),Constants!$C$6/1000,Design!$B$43/1000)),   (1-Constants!$C$20/1000000000*IF(ISBLANK(Design!$B$33),Design!$B$32,Design!$B$33)*1000000) * ($B16+AH16-AG16*AS16/1000) - (AH16+AG16*(1+($A16-25)*Constants!$C$36/100)*IF(ISBLANK(Design!$B$43),Constants!$C$6/1000,Design!$B$43/1000)) )</f>
        <v>7.5509535334571192</v>
      </c>
      <c r="AU16" s="119">
        <f ca="1">IF(AT16&gt;Design!$C$29,Design!$C$29,AT16)</f>
        <v>4.99903317535545</v>
      </c>
    </row>
    <row r="17" spans="1:47" s="120" customFormat="1" ht="12.75" customHeight="1" x14ac:dyDescent="0.25">
      <c r="A17" s="112">
        <f>Design!$D$13</f>
        <v>85</v>
      </c>
      <c r="B17" s="113">
        <f t="shared" si="0"/>
        <v>9.2049999999999965</v>
      </c>
      <c r="C17" s="114">
        <f>Design!$D$7</f>
        <v>2</v>
      </c>
      <c r="D17" s="114">
        <f ca="1">FORECAST(C17, OFFSET(Design!$C$15:$C$17,MATCH(C17,Design!$B$15:$B$17,1)-1,0,2), OFFSET(Design!$B$15:$B$17,MATCH(C17,Design!$B$15:$B$17,1)-1,0,2))+(M17-25)*Design!$B$18/1000</f>
        <v>0.39184023370936288</v>
      </c>
      <c r="E17" s="173">
        <f ca="1">IF(100*(Design!$C$29+D17+C17*IF(ISBLANK(Design!$B$43),Constants!$C$6,Design!$B$43)/1000*(1+Constants!$C$36/100*(N17-25)))/($B17+D17-C17*O17/1000)&gt;Design!$C$36,Design!$C$37,100*(Design!$C$29+D17+C17*IF(ISBLANK(Design!$B$43),Constants!$C$6,Design!$B$43)/1000*(1+Constants!$C$36/100*(N17-25)))/($B17+D17-C17*O17/1000))</f>
        <v>59.848243486060518</v>
      </c>
      <c r="F17" s="115">
        <f ca="1">IF(($B17-C17*IF(ISBLANK(Design!$B$43),Constants!$C$6,Design!$B$43)/1000*(1+Constants!$C$36/100*(N17-25))-Design!$C$29)/(IF(ISBLANK(Design!$B$42),Design!$B$40,Design!$B$42)/1000000)*E17/100/(IF(ISBLANK(Design!$B$33),Design!$B$32,Design!$B$33)*1000000)&lt;0, 0, ($B17-C17*IF(ISBLANK(Design!$B$43),Constants!$C$6,Design!$B$43)/1000*(1+Constants!$C$36/100*(N17-25))-Design!$C$29)/(IF(ISBLANK(Design!$B$42),Design!$B$40,Design!$B$42)/1000000)*E17/100/(IF(ISBLANK(Design!$B$33),Design!$B$32,Design!$B$33)*1000000))</f>
        <v>0.35369645398274452</v>
      </c>
      <c r="G17" s="165">
        <f>B17*Constants!$C$21/1000+IF(ISBLANK(Design!$B$33),Design!$B$32,Design!$B$33)*1000000*Constants!$D$25/1000000000*(B17-Constants!$C$24)</f>
        <v>8.5013249999999943E-2</v>
      </c>
      <c r="H17" s="165">
        <f>B17*C17*(B17/(Constants!$C$26*1000000000)*IF(ISBLANK(Design!$B$33),Design!$B$32,Design!$B$33)*1000000/2+B17/(Constants!$C$27*1000000000)*IF(ISBLANK(Design!$B$33),Design!$B$32,Design!$B$33)*1000000/2)</f>
        <v>0.44145771929223715</v>
      </c>
      <c r="I17" s="165">
        <f t="shared" ca="1" si="1"/>
        <v>0.48576855546835013</v>
      </c>
      <c r="J17" s="165">
        <f>Constants!$D$25/1000000000*Constants!$C$24*IF(ISBLANK(Design!$B$33),Design!$B$32,Design!$B$33)*1000000</f>
        <v>6.8250000000000005E-2</v>
      </c>
      <c r="K17" s="165">
        <f t="shared" ca="1" si="4"/>
        <v>1.0804895247605872</v>
      </c>
      <c r="L17" s="165">
        <f t="shared" ca="1" si="5"/>
        <v>0.31466147312526965</v>
      </c>
      <c r="M17" s="166">
        <f ca="1">A17+L17*Design!$B$19</f>
        <v>100.73307365626349</v>
      </c>
      <c r="N17" s="166">
        <f ca="1">K17*Design!$C$12+A17</f>
        <v>121.73664384185997</v>
      </c>
      <c r="O17" s="166">
        <f ca="1">Constants!$D$22+Constants!$D$22*Constants!$C$23/100*(N17-25)</f>
        <v>202.38931507348798</v>
      </c>
      <c r="P17" s="165">
        <f ca="1">IF(100*(Design!$C$29+D17+C17*IF(ISBLANK(Design!$B$43),Constants!$C$6,Design!$B$43)/1000*(1+Constants!$C$36/100*(N17-25)))/($B17+D17-C17*O17/1000)&gt;Design!$C$36,  (1-Constants!$C$20/1000000000*IF(ISBLANK(Design!$B$33),Design!$B$32/4,Design!$B$33/4)*1000000) * ($B17+D17-C17*O17/1000) - (D17+C17*(1+($A17-25)*Constants!$C$36/100)*IF(ISBLANK(Design!$B$43),Constants!$C$6/1000,Design!$B$43/1000)),   (1-Constants!$C$20/1000000000*IF(ISBLANK(Design!$B$33),Design!$B$32,Design!$B$33)*1000000) * ($B17+D17-C17*O17/1000) - (D17+C17*(1+($A17-25)*Constants!$C$36/100)*IF(ISBLANK(Design!$B$43),Constants!$C$6/1000,Design!$B$43/1000)) )</f>
        <v>7.0605743736171345</v>
      </c>
      <c r="Q17" s="171">
        <f ca="1">IF(P17&gt;Design!$C$29,Design!$C$29,P17)</f>
        <v>4.99903317535545</v>
      </c>
      <c r="R17" s="181">
        <f>2*Design!$D$7/3</f>
        <v>1.3333333333333333</v>
      </c>
      <c r="S17" s="116">
        <f ca="1">FORECAST(R17, OFFSET(Design!$C$15:$C$17,MATCH(R17,Design!$B$15:$B$17,1)-1,0,2), OFFSET(Design!$B$15:$B$17,MATCH(R17,Design!$B$15:$B$17,1)-1,0,2))+(AB17-25)*Design!$B$18/1000</f>
        <v>0.34910980400804592</v>
      </c>
      <c r="T17" s="182">
        <f ca="1">IF(100*(Design!$C$29+S17+R17*IF(ISBLANK(Design!$B$43),Constants!$C$6,Design!$B$43)/1000*(1+Constants!$C$36/100*(AC17-25)))/($B17+S17-R17*AD17/1000)&gt;Design!$C$36,Design!$C$37,100*(Design!$C$29+S17+R17*IF(ISBLANK(Design!$B$43),Constants!$C$6,Design!$B$43)/1000*(1+Constants!$C$36/100*(AC17-25)))/($B17+S17-R17*AD17/1000))</f>
        <v>58.265051360915741</v>
      </c>
      <c r="U17" s="117">
        <f ca="1">IF(($B17-R17*IF(ISBLANK(Design!$B$43),Constants!$C$6,Design!$B$43)/1000*(1+Constants!$C$36/100*(AC17-25))-Design!$C$29)/(Design!$B$42/1000000)*T17/100/(IF(ISBLANK(IF(ISBLANK(Design!$B$42),Design!$B$40,Design!$B$42)),Design!$B$32,Design!$B$33)*1000000)&lt;0,0,($B17-R17*IF(ISBLANK(Design!$B$43),Constants!$C$6,Design!$B$43)/1000*(1+Constants!$C$36/100*(AC17-25))-Design!$C$29)/(IF(ISBLANK(Design!$B$42),Design!$B$40,Design!$B$42)/1000000)*T17/100/(IF(ISBLANK(Design!$B$33),Design!$B$32,Design!$B$33)*1000000))</f>
        <v>0.34769465202949051</v>
      </c>
      <c r="V17" s="183">
        <f>$B17*Constants!$C$21/1000+IF(ISBLANK(Design!$B$33),Design!$B$32,Design!$B$33)*1000000*Constants!$D$25/1000000000*($B17-Constants!$C$24)</f>
        <v>8.5013249999999943E-2</v>
      </c>
      <c r="W17" s="183">
        <f>$B17*R17*($B17/(Constants!$C$26*1000000000)*IF(ISBLANK(Design!$B$33),Design!$B$32,Design!$B$33)*1000000/2+$B17/(Constants!$C$27*1000000000)*IF(ISBLANK(Design!$B$33),Design!$B$32,Design!$B$33)*1000000/2)</f>
        <v>0.29430514619482473</v>
      </c>
      <c r="X17" s="183">
        <f t="shared" ca="1" si="2"/>
        <v>0.19851915229886072</v>
      </c>
      <c r="Y17" s="183">
        <f>Constants!$D$25/1000000000*Constants!$C$24*IF(ISBLANK(Design!$B$33),Design!$B$32,Design!$B$33)*1000000</f>
        <v>6.8250000000000005E-2</v>
      </c>
      <c r="Z17" s="183">
        <f t="shared" ca="1" si="10"/>
        <v>0.64608754849368544</v>
      </c>
      <c r="AA17" s="183">
        <f t="shared" ca="1" si="7"/>
        <v>0.19426772986235424</v>
      </c>
      <c r="AB17" s="184">
        <f ca="1">$A17+AA17*Design!$B$19</f>
        <v>94.71338649311771</v>
      </c>
      <c r="AC17" s="184">
        <f ca="1">Z17*Design!$C$12+$A17</f>
        <v>106.96697664878531</v>
      </c>
      <c r="AD17" s="184">
        <f ca="1">Constants!$D$22+Constants!$D$22*Constants!$C$23/100*(AC17-25)</f>
        <v>190.57358131902825</v>
      </c>
      <c r="AE17" s="183">
        <f ca="1">IF(100*(Design!$C$29+S17+R17*IF(ISBLANK(Design!$B$43),Constants!$C$6,Design!$B$43)/1000*(1+Constants!$C$36/100*(AC17-25)))/($B17+S17-R17*AD17/1000)&gt;Design!$C$36,  (1-Constants!$C$20/1000000000*IF(ISBLANK(Design!$B$33),Design!$B$32/4,Design!$B$33/4)*1000000) * ($B17+S17-R17*AD17/1000) - (S17+R17*(1+($A17-25)*Constants!$C$36/100)*IF(ISBLANK(Design!$B$43),Constants!$C$6/1000,Design!$B$43/1000)),   (1-Constants!$C$20/1000000000*IF(ISBLANK(Design!$B$33),Design!$B$32,Design!$B$33)*1000000) * ($B17+S17-R17*AD17/1000) - (S17+R17*(1+($A17-25)*Constants!$C$36/100)*IF(ISBLANK(Design!$B$43),Constants!$C$6/1000,Design!$B$43/1000)) )</f>
        <v>7.2249404705797859</v>
      </c>
      <c r="AF17" s="117">
        <f ca="1">IF(AE17&gt;Design!$C$29,Design!$C$29,AE17)</f>
        <v>4.99903317535545</v>
      </c>
      <c r="AG17" s="118">
        <f>Design!$D$7/3</f>
        <v>0.66666666666666663</v>
      </c>
      <c r="AH17" s="118">
        <f ca="1">FORECAST(AG17, OFFSET(Design!$C$15:$C$17,MATCH(AG17,Design!$B$15:$B$17,1)-1,0,2), OFFSET(Design!$B$15:$B$17,MATCH(AG17,Design!$B$15:$B$17,1)-1,0,2))+(AQ17-25)*Design!$B$18/1000</f>
        <v>0.30574704234503181</v>
      </c>
      <c r="AI17" s="194">
        <f ca="1">IF(100*(Design!$C$29+AH17+AG17*IF(ISBLANK(Design!$B$43),Constants!$C$6,Design!$B$43)/1000*(1+Constants!$C$36/100*(AR17-25)))/($B17+AH17-AG17*AS17/1000)&gt;Design!$C$36,Design!$C$37,100*(Design!$C$29+AH17+AG17*IF(ISBLANK(Design!$B$43),Constants!$C$6,Design!$B$43)/1000*(1+Constants!$C$36/100*(AR17-25)))/($B17+AH17-AG17*AS17/1000))</f>
        <v>56.863454526275738</v>
      </c>
      <c r="AJ17" s="119">
        <f ca="1">IF(($B17-AG17*IF(ISBLANK(Design!$B$43),Constants!$C$6,Design!$B$43)/1000*(1+Constants!$C$36/100*(AR17-25))-Design!$C$29)/(IF(ISBLANK(Design!$B$42),Design!$B$40,Design!$B$42)/1000000)*AI17/100/(IF(ISBLANK(Design!$B$33),Design!$B$32,Design!$B$33)*1000000)&lt;0,0,($B17-AG17*IF(ISBLANK(Design!$B$43),Constants!$C$6,Design!$B$43)/1000*(1+Constants!$C$36/100*(AR17-25))-Design!$C$29)/(IF(ISBLANK(Design!$B$42),Design!$B$40,Design!$B$42)/1000000)*AI17/100/(IF(ISBLANK(Design!$B$33),Design!$B$32,Design!$B$33)*1000000))</f>
        <v>0.34231092358156728</v>
      </c>
      <c r="AK17" s="195">
        <f>$B17*Constants!$C$21/1000+IF(ISBLANK(Design!$B$33),Design!$B$32,Design!$B$33)*1000000*Constants!$D$25/1000000000*($B17-Constants!$C$24)</f>
        <v>8.5013249999999943E-2</v>
      </c>
      <c r="AL17" s="195">
        <f>$B17*AG17*($B17/(Constants!$C$26*1000000000)*IF(ISBLANK(Design!$B$33),Design!$B$32,Design!$B$33)*1000000/2+$B17/(Constants!$C$27*1000000000)*IF(ISBLANK(Design!$B$33),Design!$B$32,Design!$B$33)*1000000/2)</f>
        <v>0.14715257309741236</v>
      </c>
      <c r="AM17" s="195">
        <f t="shared" ca="1" si="3"/>
        <v>4.712380355810615E-2</v>
      </c>
      <c r="AN17" s="195">
        <f>Constants!$D$25/1000000000*Constants!$C$24*IF(ISBLANK(Design!$B$33),Design!$B$32,Design!$B$33)*1000000</f>
        <v>6.8250000000000005E-2</v>
      </c>
      <c r="AO17" s="195">
        <f t="shared" ca="1" si="11"/>
        <v>0.34753962665551841</v>
      </c>
      <c r="AP17" s="195">
        <f t="shared" ca="1" si="9"/>
        <v>8.792580797048774E-2</v>
      </c>
      <c r="AQ17" s="196">
        <f ca="1">$A17+AP17*Design!$B$19</f>
        <v>89.396290398524386</v>
      </c>
      <c r="AR17" s="196">
        <f ca="1">AO17*Design!$C$12+$A17</f>
        <v>96.816347306287625</v>
      </c>
      <c r="AS17" s="196">
        <f ca="1">Constants!$D$22+Constants!$D$22*Constants!$C$23/100*(AR17-25)</f>
        <v>182.45307784503009</v>
      </c>
      <c r="AT17" s="195">
        <f ca="1">IF(100*(Design!$C$29+AH17+AG17*IF(ISBLANK(Design!$B$43),Constants!$C$6,Design!$B$43)/1000*(1+Constants!$C$36/100*(AR17-25)))/($B17+AH17-AG17*AS17/1000)&gt;Design!$C$36,  (1-Constants!$C$20/1000000000*IF(ISBLANK(Design!$B$33),Design!$B$32/4,Design!$B$33/4)*1000000) * ($B17+AH17-AG17*AS17/1000) - (AH17+AG17*(1+($A17-25)*Constants!$C$36/100)*IF(ISBLANK(Design!$B$43),Constants!$C$6/1000,Design!$B$43/1000)),   (1-Constants!$C$20/1000000000*IF(ISBLANK(Design!$B$33),Design!$B$32,Design!$B$33)*1000000) * ($B17+AH17-AG17*AS17/1000) - (AH17+AG17*(1+($A17-25)*Constants!$C$36/100)*IF(ISBLANK(Design!$B$43),Constants!$C$6/1000,Design!$B$43/1000)) )</f>
        <v>7.3744535173082815</v>
      </c>
      <c r="AU17" s="119">
        <f ca="1">IF(AT17&gt;Design!$C$29,Design!$C$29,AT17)</f>
        <v>4.99903317535545</v>
      </c>
    </row>
    <row r="18" spans="1:47" s="120" customFormat="1" ht="12.75" customHeight="1" x14ac:dyDescent="0.25">
      <c r="A18" s="112">
        <f>Design!$D$13</f>
        <v>85</v>
      </c>
      <c r="B18" s="113">
        <f t="shared" si="0"/>
        <v>8.9899999999999967</v>
      </c>
      <c r="C18" s="114">
        <f>Design!$D$7</f>
        <v>2</v>
      </c>
      <c r="D18" s="114">
        <f ca="1">FORECAST(C18, OFFSET(Design!$C$15:$C$17,MATCH(C18,Design!$B$15:$B$17,1)-1,0,2), OFFSET(Design!$B$15:$B$17,MATCH(C18,Design!$B$15:$B$17,1)-1,0,2))+(M18-25)*Design!$B$18/1000</f>
        <v>0.39232718243326226</v>
      </c>
      <c r="E18" s="173">
        <f ca="1">IF(100*(Design!$C$29+D18+C18*IF(ISBLANK(Design!$B$43),Constants!$C$6,Design!$B$43)/1000*(1+Constants!$C$36/100*(N18-25)))/($B18+D18-C18*O18/1000)&gt;Design!$C$36,Design!$C$37,100*(Design!$C$29+D18+C18*IF(ISBLANK(Design!$B$43),Constants!$C$6,Design!$B$43)/1000*(1+Constants!$C$36/100*(N18-25)))/($B18+D18-C18*O18/1000))</f>
        <v>61.277168142225918</v>
      </c>
      <c r="F18" s="115">
        <f ca="1">IF(($B18-C18*IF(ISBLANK(Design!$B$43),Constants!$C$6,Design!$B$43)/1000*(1+Constants!$C$36/100*(N18-25))-Design!$C$29)/(IF(ISBLANK(Design!$B$42),Design!$B$40,Design!$B$42)/1000000)*E18/100/(IF(ISBLANK(Design!$B$33),Design!$B$32,Design!$B$33)*1000000)&lt;0, 0, ($B18-C18*IF(ISBLANK(Design!$B$43),Constants!$C$6,Design!$B$43)/1000*(1+Constants!$C$36/100*(N18-25))-Design!$C$29)/(IF(ISBLANK(Design!$B$42),Design!$B$40,Design!$B$42)/1000000)*E18/100/(IF(ISBLANK(Design!$B$33),Design!$B$32,Design!$B$33)*1000000))</f>
        <v>0.3431428849679431</v>
      </c>
      <c r="G18" s="165">
        <f>B18*Constants!$C$21/1000+IF(ISBLANK(Design!$B$33),Design!$B$32,Design!$B$33)*1000000*Constants!$D$25/1000000000*(B18-Constants!$C$24)</f>
        <v>8.143349999999995E-2</v>
      </c>
      <c r="H18" s="165">
        <f>B18*C18*(B18/(Constants!$C$26*1000000000)*IF(ISBLANK(Design!$B$33),Design!$B$32,Design!$B$33)*1000000/2+B18/(Constants!$C$27*1000000000)*IF(ISBLANK(Design!$B$33),Design!$B$32,Design!$B$33)*1000000/2)</f>
        <v>0.42107641141552477</v>
      </c>
      <c r="I18" s="165">
        <f t="shared" ca="1" si="1"/>
        <v>0.49639979052345506</v>
      </c>
      <c r="J18" s="165">
        <f>Constants!$D$25/1000000000*Constants!$C$24*IF(ISBLANK(Design!$B$33),Design!$B$32,Design!$B$33)*1000000</f>
        <v>6.8250000000000005E-2</v>
      </c>
      <c r="K18" s="165">
        <f t="shared" ca="1" si="4"/>
        <v>1.0671597019389798</v>
      </c>
      <c r="L18" s="165">
        <f t="shared" ca="1" si="5"/>
        <v>0.30384039037194949</v>
      </c>
      <c r="M18" s="166">
        <f ca="1">A18+L18*Design!$B$19</f>
        <v>100.19201951859748</v>
      </c>
      <c r="N18" s="166">
        <f ca="1">K18*Design!$C$12+A18</f>
        <v>121.28342986592531</v>
      </c>
      <c r="O18" s="166">
        <f ca="1">Constants!$D$22+Constants!$D$22*Constants!$C$23/100*(N18-25)</f>
        <v>202.02674389274026</v>
      </c>
      <c r="P18" s="165">
        <f ca="1">IF(100*(Design!$C$29+D18+C18*IF(ISBLANK(Design!$B$43),Constants!$C$6,Design!$B$43)/1000*(1+Constants!$C$36/100*(N18-25)))/($B18+D18-C18*O18/1000)&gt;Design!$C$36,  (1-Constants!$C$20/1000000000*IF(ISBLANK(Design!$B$33),Design!$B$32/4,Design!$B$33/4)*1000000) * ($B18+D18-C18*O18/1000) - (D18+C18*(1+($A18-25)*Constants!$C$36/100)*IF(ISBLANK(Design!$B$43),Constants!$C$6/1000,Design!$B$43/1000)),   (1-Constants!$C$20/1000000000*IF(ISBLANK(Design!$B$33),Design!$B$32,Design!$B$33)*1000000) * ($B18+D18-C18*O18/1000) - (D18+C18*(1+($A18-25)*Constants!$C$36/100)*IF(ISBLANK(Design!$B$43),Constants!$C$6/1000,Design!$B$43/1000)) )</f>
        <v>6.8844606577198881</v>
      </c>
      <c r="Q18" s="171">
        <f ca="1">IF(P18&gt;Design!$C$29,Design!$C$29,P18)</f>
        <v>4.99903317535545</v>
      </c>
      <c r="R18" s="181">
        <f>2*Design!$D$7/3</f>
        <v>1.3333333333333333</v>
      </c>
      <c r="S18" s="116">
        <f ca="1">FORECAST(R18, OFFSET(Design!$C$15:$C$17,MATCH(R18,Design!$B$15:$B$17,1)-1,0,2), OFFSET(Design!$B$15:$B$17,MATCH(R18,Design!$B$15:$B$17,1)-1,0,2))+(AB18-25)*Design!$B$18/1000</f>
        <v>0.34939121941588425</v>
      </c>
      <c r="T18" s="182">
        <f ca="1">IF(100*(Design!$C$29+S18+R18*IF(ISBLANK(Design!$B$43),Constants!$C$6,Design!$B$43)/1000*(1+Constants!$C$36/100*(AC18-25)))/($B18+S18-R18*AD18/1000)&gt;Design!$C$36,Design!$C$37,100*(Design!$C$29+S18+R18*IF(ISBLANK(Design!$B$43),Constants!$C$6,Design!$B$43)/1000*(1+Constants!$C$36/100*(AC18-25)))/($B18+S18-R18*AD18/1000))</f>
        <v>59.641074885853428</v>
      </c>
      <c r="U18" s="117">
        <f ca="1">IF(($B18-R18*IF(ISBLANK(Design!$B$43),Constants!$C$6,Design!$B$43)/1000*(1+Constants!$C$36/100*(AC18-25))-Design!$C$29)/(Design!$B$42/1000000)*T18/100/(IF(ISBLANK(IF(ISBLANK(Design!$B$42),Design!$B$40,Design!$B$42)),Design!$B$32,Design!$B$33)*1000000)&lt;0,0,($B18-R18*IF(ISBLANK(Design!$B$43),Constants!$C$6,Design!$B$43)/1000*(1+Constants!$C$36/100*(AC18-25))-Design!$C$29)/(IF(ISBLANK(Design!$B$42),Design!$B$40,Design!$B$42)/1000000)*T18/100/(IF(ISBLANK(Design!$B$33),Design!$B$32,Design!$B$33)*1000000))</f>
        <v>0.33741058458797962</v>
      </c>
      <c r="V18" s="183">
        <f>$B18*Constants!$C$21/1000+IF(ISBLANK(Design!$B$33),Design!$B$32,Design!$B$33)*1000000*Constants!$D$25/1000000000*($B18-Constants!$C$24)</f>
        <v>8.143349999999995E-2</v>
      </c>
      <c r="W18" s="183">
        <f>$B18*R18*($B18/(Constants!$C$26*1000000000)*IF(ISBLANK(Design!$B$33),Design!$B$32,Design!$B$33)*1000000/2+$B18/(Constants!$C$27*1000000000)*IF(ISBLANK(Design!$B$33),Design!$B$32,Design!$B$33)*1000000/2)</f>
        <v>0.28071760761034981</v>
      </c>
      <c r="X18" s="183">
        <f t="shared" ca="1" si="2"/>
        <v>0.20276616282956869</v>
      </c>
      <c r="Y18" s="183">
        <f>Constants!$D$25/1000000000*Constants!$C$24*IF(ISBLANK(Design!$B$33),Design!$B$32,Design!$B$33)*1000000</f>
        <v>6.8250000000000005E-2</v>
      </c>
      <c r="Z18" s="183">
        <f t="shared" ca="1" si="10"/>
        <v>0.63316727043991849</v>
      </c>
      <c r="AA18" s="183">
        <f t="shared" ca="1" si="7"/>
        <v>0.18801405413261366</v>
      </c>
      <c r="AB18" s="184">
        <f ca="1">$A18+AA18*Design!$B$19</f>
        <v>94.400702706630682</v>
      </c>
      <c r="AC18" s="184">
        <f ca="1">Z18*Design!$C$12+$A18</f>
        <v>106.52768719495722</v>
      </c>
      <c r="AD18" s="184">
        <f ca="1">Constants!$D$22+Constants!$D$22*Constants!$C$23/100*(AC18-25)</f>
        <v>190.2221497559658</v>
      </c>
      <c r="AE18" s="183">
        <f ca="1">IF(100*(Design!$C$29+S18+R18*IF(ISBLANK(Design!$B$43),Constants!$C$6,Design!$B$43)/1000*(1+Constants!$C$36/100*(AC18-25)))/($B18+S18-R18*AD18/1000)&gt;Design!$C$36,  (1-Constants!$C$20/1000000000*IF(ISBLANK(Design!$B$33),Design!$B$32/4,Design!$B$33/4)*1000000) * ($B18+S18-R18*AD18/1000) - (S18+R18*(1+($A18-25)*Constants!$C$36/100)*IF(ISBLANK(Design!$B$43),Constants!$C$6/1000,Design!$B$43/1000)),   (1-Constants!$C$20/1000000000*IF(ISBLANK(Design!$B$33),Design!$B$32,Design!$B$33)*1000000) * ($B18+S18-R18*AD18/1000) - (S18+R18*(1+($A18-25)*Constants!$C$36/100)*IF(ISBLANK(Design!$B$43),Constants!$C$6/1000,Design!$B$43/1000)) )</f>
        <v>7.0486526726348941</v>
      </c>
      <c r="AF18" s="117">
        <f ca="1">IF(AE18&gt;Design!$C$29,Design!$C$29,AE18)</f>
        <v>4.99903317535545</v>
      </c>
      <c r="AG18" s="118">
        <f>Design!$D$7/3</f>
        <v>0.66666666666666663</v>
      </c>
      <c r="AH18" s="118">
        <f ca="1">FORECAST(AG18, OFFSET(Design!$C$15:$C$17,MATCH(AG18,Design!$B$15:$B$17,1)-1,0,2), OFFSET(Design!$B$15:$B$17,MATCH(AG18,Design!$B$15:$B$17,1)-1,0,2))+(AQ18-25)*Design!$B$18/1000</f>
        <v>0.30586768092712963</v>
      </c>
      <c r="AI18" s="194">
        <f ca="1">IF(100*(Design!$C$29+AH18+AG18*IF(ISBLANK(Design!$B$43),Constants!$C$6,Design!$B$43)/1000*(1+Constants!$C$36/100*(AR18-25)))/($B18+AH18-AG18*AS18/1000)&gt;Design!$C$36,Design!$C$37,100*(Design!$C$29+AH18+AG18*IF(ISBLANK(Design!$B$43),Constants!$C$6,Design!$B$43)/1000*(1+Constants!$C$36/100*(AR18-25)))/($B18+AH18-AG18*AS18/1000))</f>
        <v>58.1951824729504</v>
      </c>
      <c r="AJ18" s="119">
        <f ca="1">IF(($B18-AG18*IF(ISBLANK(Design!$B$43),Constants!$C$6,Design!$B$43)/1000*(1+Constants!$C$36/100*(AR18-25))-Design!$C$29)/(IF(ISBLANK(Design!$B$42),Design!$B$40,Design!$B$42)/1000000)*AI18/100/(IF(ISBLANK(Design!$B$33),Design!$B$32,Design!$B$33)*1000000)&lt;0,0,($B18-AG18*IF(ISBLANK(Design!$B$43),Constants!$C$6,Design!$B$43)/1000*(1+Constants!$C$36/100*(AR18-25))-Design!$C$29)/(IF(ISBLANK(Design!$B$42),Design!$B$40,Design!$B$42)/1000000)*AI18/100/(IF(ISBLANK(Design!$B$33),Design!$B$32,Design!$B$33)*1000000))</f>
        <v>0.33227578961241083</v>
      </c>
      <c r="AK18" s="195">
        <f>$B18*Constants!$C$21/1000+IF(ISBLANK(Design!$B$33),Design!$B$32,Design!$B$33)*1000000*Constants!$D$25/1000000000*($B18-Constants!$C$24)</f>
        <v>8.143349999999995E-2</v>
      </c>
      <c r="AL18" s="195">
        <f>$B18*AG18*($B18/(Constants!$C$26*1000000000)*IF(ISBLANK(Design!$B$33),Design!$B$32,Design!$B$33)*1000000/2+$B18/(Constants!$C$27*1000000000)*IF(ISBLANK(Design!$B$33),Design!$B$32,Design!$B$33)*1000000/2)</f>
        <v>0.1403588038051749</v>
      </c>
      <c r="AM18" s="195">
        <f t="shared" ca="1" si="3"/>
        <v>4.8100052724053398E-2</v>
      </c>
      <c r="AN18" s="195">
        <f>Constants!$D$25/1000000000*Constants!$C$24*IF(ISBLANK(Design!$B$33),Design!$B$32,Design!$B$33)*1000000</f>
        <v>6.8250000000000005E-2</v>
      </c>
      <c r="AO18" s="195">
        <f t="shared" ca="1" si="11"/>
        <v>0.33814235652922819</v>
      </c>
      <c r="AP18" s="195">
        <f t="shared" ca="1" si="9"/>
        <v>8.524495059053655E-2</v>
      </c>
      <c r="AQ18" s="196">
        <f ca="1">$A18+AP18*Design!$B$19</f>
        <v>89.262247529526832</v>
      </c>
      <c r="AR18" s="196">
        <f ca="1">AO18*Design!$C$12+$A18</f>
        <v>96.496840121993756</v>
      </c>
      <c r="AS18" s="196">
        <f ca="1">Constants!$D$22+Constants!$D$22*Constants!$C$23/100*(AR18-25)</f>
        <v>182.19747209759501</v>
      </c>
      <c r="AT18" s="195">
        <f ca="1">IF(100*(Design!$C$29+AH18+AG18*IF(ISBLANK(Design!$B$43),Constants!$C$6,Design!$B$43)/1000*(1+Constants!$C$36/100*(AR18-25)))/($B18+AH18-AG18*AS18/1000)&gt;Design!$C$36,  (1-Constants!$C$20/1000000000*IF(ISBLANK(Design!$B$33),Design!$B$32/4,Design!$B$33/4)*1000000) * ($B18+AH18-AG18*AS18/1000) - (AH18+AG18*(1+($A18-25)*Constants!$C$36/100)*IF(ISBLANK(Design!$B$43),Constants!$C$6/1000,Design!$B$43/1000)),   (1-Constants!$C$20/1000000000*IF(ISBLANK(Design!$B$33),Design!$B$32,Design!$B$33)*1000000) * ($B18+AH18-AG18*AS18/1000) - (AH18+AG18*(1+($A18-25)*Constants!$C$36/100)*IF(ISBLANK(Design!$B$43),Constants!$C$6/1000,Design!$B$43/1000)) )</f>
        <v>7.1979494700690552</v>
      </c>
      <c r="AU18" s="119">
        <f ca="1">IF(AT18&gt;Design!$C$29,Design!$C$29,AT18)</f>
        <v>4.99903317535545</v>
      </c>
    </row>
    <row r="19" spans="1:47" s="120" customFormat="1" ht="12.75" customHeight="1" x14ac:dyDescent="0.25">
      <c r="A19" s="112">
        <f>Design!$D$13</f>
        <v>85</v>
      </c>
      <c r="B19" s="113">
        <f t="shared" si="0"/>
        <v>8.7749999999999968</v>
      </c>
      <c r="C19" s="114">
        <f>Design!$D$7</f>
        <v>2</v>
      </c>
      <c r="D19" s="114">
        <f ca="1">FORECAST(C19, OFFSET(Design!$C$15:$C$17,MATCH(C19,Design!$B$15:$B$17,1)-1,0,2), OFFSET(Design!$B$15:$B$17,MATCH(C19,Design!$B$15:$B$17,1)-1,0,2))+(M19-25)*Design!$B$18/1000</f>
        <v>0.39283941442666598</v>
      </c>
      <c r="E19" s="173">
        <f ca="1">IF(100*(Design!$C$29+D19+C19*IF(ISBLANK(Design!$B$43),Constants!$C$6,Design!$B$43)/1000*(1+Constants!$C$36/100*(N19-25)))/($B19+D19-C19*O19/1000)&gt;Design!$C$36,Design!$C$37,100*(Design!$C$29+D19+C19*IF(ISBLANK(Design!$B$43),Constants!$C$6,Design!$B$43)/1000*(1+Constants!$C$36/100*(N19-25)))/($B19+D19-C19*O19/1000))</f>
        <v>62.776462029397955</v>
      </c>
      <c r="F19" s="115">
        <f ca="1">IF(($B19-C19*IF(ISBLANK(Design!$B$43),Constants!$C$6,Design!$B$43)/1000*(1+Constants!$C$36/100*(N19-25))-Design!$C$29)/(IF(ISBLANK(Design!$B$42),Design!$B$40,Design!$B$42)/1000000)*E19/100/(IF(ISBLANK(Design!$B$33),Design!$B$32,Design!$B$33)*1000000)&lt;0, 0, ($B19-C19*IF(ISBLANK(Design!$B$43),Constants!$C$6,Design!$B$43)/1000*(1+Constants!$C$36/100*(N19-25))-Design!$C$29)/(IF(ISBLANK(Design!$B$42),Design!$B$40,Design!$B$42)/1000000)*E19/100/(IF(ISBLANK(Design!$B$33),Design!$B$32,Design!$B$33)*1000000))</f>
        <v>0.33207446481694508</v>
      </c>
      <c r="G19" s="165">
        <f>B19*Constants!$C$21/1000+IF(ISBLANK(Design!$B$33),Design!$B$32,Design!$B$33)*1000000*Constants!$D$25/1000000000*(B19-Constants!$C$24)</f>
        <v>7.7853749999999944E-2</v>
      </c>
      <c r="H19" s="165">
        <f>B19*C19*(B19/(Constants!$C$26*1000000000)*IF(ISBLANK(Design!$B$33),Design!$B$32,Design!$B$33)*1000000/2+B19/(Constants!$C$27*1000000000)*IF(ISBLANK(Design!$B$33),Design!$B$32,Design!$B$33)*1000000/2)</f>
        <v>0.40117677226027371</v>
      </c>
      <c r="I19" s="165">
        <f t="shared" ca="1" si="1"/>
        <v>0.50762771640077908</v>
      </c>
      <c r="J19" s="165">
        <f>Constants!$D$25/1000000000*Constants!$C$24*IF(ISBLANK(Design!$B$33),Design!$B$32,Design!$B$33)*1000000</f>
        <v>6.8250000000000005E-2</v>
      </c>
      <c r="K19" s="165">
        <f t="shared" ca="1" si="4"/>
        <v>1.0549082386610527</v>
      </c>
      <c r="L19" s="165">
        <f t="shared" ca="1" si="5"/>
        <v>0.2924574571852015</v>
      </c>
      <c r="M19" s="166">
        <f ca="1">A19+L19*Design!$B$19</f>
        <v>99.62287285926007</v>
      </c>
      <c r="N19" s="166">
        <f ca="1">K19*Design!$C$12+A19</f>
        <v>120.86688011447579</v>
      </c>
      <c r="O19" s="166">
        <f ca="1">Constants!$D$22+Constants!$D$22*Constants!$C$23/100*(N19-25)</f>
        <v>201.69350409158062</v>
      </c>
      <c r="P19" s="165">
        <f ca="1">IF(100*(Design!$C$29+D19+C19*IF(ISBLANK(Design!$B$43),Constants!$C$6,Design!$B$43)/1000*(1+Constants!$C$36/100*(N19-25)))/($B19+D19-C19*O19/1000)&gt;Design!$C$36,  (1-Constants!$C$20/1000000000*IF(ISBLANK(Design!$B$33),Design!$B$32/4,Design!$B$33/4)*1000000) * ($B19+D19-C19*O19/1000) - (D19+C19*(1+($A19-25)*Constants!$C$36/100)*IF(ISBLANK(Design!$B$43),Constants!$C$6/1000,Design!$B$43/1000)),   (1-Constants!$C$20/1000000000*IF(ISBLANK(Design!$B$33),Design!$B$32,Design!$B$33)*1000000) * ($B19+D19-C19*O19/1000) - (D19+C19*(1+($A19-25)*Constants!$C$36/100)*IF(ISBLANK(Design!$B$43),Constants!$C$6/1000,Design!$B$43/1000)) )</f>
        <v>6.7082942373023711</v>
      </c>
      <c r="Q19" s="171">
        <f ca="1">IF(P19&gt;Design!$C$29,Design!$C$29,P19)</f>
        <v>4.99903317535545</v>
      </c>
      <c r="R19" s="181">
        <f>2*Design!$D$7/3</f>
        <v>1.3333333333333333</v>
      </c>
      <c r="S19" s="116">
        <f ca="1">FORECAST(R19, OFFSET(Design!$C$15:$C$17,MATCH(R19,Design!$B$15:$B$17,1)-1,0,2), OFFSET(Design!$B$15:$B$17,MATCH(R19,Design!$B$15:$B$17,1)-1,0,2))+(AB19-25)*Design!$B$18/1000</f>
        <v>0.34968676428689749</v>
      </c>
      <c r="T19" s="182">
        <f ca="1">IF(100*(Design!$C$29+S19+R19*IF(ISBLANK(Design!$B$43),Constants!$C$6,Design!$B$43)/1000*(1+Constants!$C$36/100*(AC19-25)))/($B19+S19-R19*AD19/1000)&gt;Design!$C$36,Design!$C$37,100*(Design!$C$29+S19+R19*IF(ISBLANK(Design!$B$43),Constants!$C$6,Design!$B$43)/1000*(1+Constants!$C$36/100*(AC19-25)))/($B19+S19-R19*AD19/1000))</f>
        <v>61.083802234622219</v>
      </c>
      <c r="U19" s="117">
        <f ca="1">IF(($B19-R19*IF(ISBLANK(Design!$B$43),Constants!$C$6,Design!$B$43)/1000*(1+Constants!$C$36/100*(AC19-25))-Design!$C$29)/(Design!$B$42/1000000)*T19/100/(IF(ISBLANK(IF(ISBLANK(Design!$B$42),Design!$B$40,Design!$B$42)),Design!$B$32,Design!$B$33)*1000000)&lt;0,0,($B19-R19*IF(ISBLANK(Design!$B$43),Constants!$C$6,Design!$B$43)/1000*(1+Constants!$C$36/100*(AC19-25))-Design!$C$29)/(IF(ISBLANK(Design!$B$42),Design!$B$40,Design!$B$42)/1000000)*T19/100/(IF(ISBLANK(Design!$B$33),Design!$B$32,Design!$B$33)*1000000))</f>
        <v>0.32662941382790217</v>
      </c>
      <c r="V19" s="183">
        <f>$B19*Constants!$C$21/1000+IF(ISBLANK(Design!$B$33),Design!$B$32,Design!$B$33)*1000000*Constants!$D$25/1000000000*($B19-Constants!$C$24)</f>
        <v>7.7853749999999944E-2</v>
      </c>
      <c r="W19" s="183">
        <f>$B19*R19*($B19/(Constants!$C$26*1000000000)*IF(ISBLANK(Design!$B$33),Design!$B$32,Design!$B$33)*1000000/2+$B19/(Constants!$C$27*1000000000)*IF(ISBLANK(Design!$B$33),Design!$B$32,Design!$B$33)*1000000/2)</f>
        <v>0.26745118150684916</v>
      </c>
      <c r="X19" s="183">
        <f t="shared" ca="1" si="2"/>
        <v>0.20723434595651663</v>
      </c>
      <c r="Y19" s="183">
        <f>Constants!$D$25/1000000000*Constants!$C$24*IF(ISBLANK(Design!$B$33),Design!$B$32,Design!$B$33)*1000000</f>
        <v>6.8250000000000005E-2</v>
      </c>
      <c r="Z19" s="183">
        <f t="shared" ca="1" si="10"/>
        <v>0.62078927746336576</v>
      </c>
      <c r="AA19" s="183">
        <f t="shared" ca="1" si="7"/>
        <v>0.18144639033231927</v>
      </c>
      <c r="AB19" s="184">
        <f ca="1">$A19+AA19*Design!$B$19</f>
        <v>94.072319516615963</v>
      </c>
      <c r="AC19" s="184">
        <f ca="1">Z19*Design!$C$12+$A19</f>
        <v>106.10683543375444</v>
      </c>
      <c r="AD19" s="184">
        <f ca="1">Constants!$D$22+Constants!$D$22*Constants!$C$23/100*(AC19-25)</f>
        <v>189.88546834700355</v>
      </c>
      <c r="AE19" s="183">
        <f ca="1">IF(100*(Design!$C$29+S19+R19*IF(ISBLANK(Design!$B$43),Constants!$C$6,Design!$B$43)/1000*(1+Constants!$C$36/100*(AC19-25)))/($B19+S19-R19*AD19/1000)&gt;Design!$C$36,  (1-Constants!$C$20/1000000000*IF(ISBLANK(Design!$B$33),Design!$B$32/4,Design!$B$33/4)*1000000) * ($B19+S19-R19*AD19/1000) - (S19+R19*(1+($A19-25)*Constants!$C$36/100)*IF(ISBLANK(Design!$B$43),Constants!$C$6/1000,Design!$B$43/1000)),   (1-Constants!$C$20/1000000000*IF(ISBLANK(Design!$B$33),Design!$B$32,Design!$B$33)*1000000) * ($B19+S19-R19*AD19/1000) - (S19+R19*(1+($A19-25)*Constants!$C$36/100)*IF(ISBLANK(Design!$B$43),Constants!$C$6/1000,Design!$B$43/1000)) )</f>
        <v>6.8723461962453669</v>
      </c>
      <c r="AF19" s="117">
        <f ca="1">IF(AE19&gt;Design!$C$29,Design!$C$29,AE19)</f>
        <v>4.99903317535545</v>
      </c>
      <c r="AG19" s="118">
        <f>Design!$D$7/3</f>
        <v>0.66666666666666663</v>
      </c>
      <c r="AH19" s="118">
        <f ca="1">FORECAST(AG19, OFFSET(Design!$C$15:$C$17,MATCH(AG19,Design!$B$15:$B$17,1)-1,0,2), OFFSET(Design!$B$15:$B$17,MATCH(AG19,Design!$B$15:$B$17,1)-1,0,2))+(AQ19-25)*Design!$B$18/1000</f>
        <v>0.30599420907714447</v>
      </c>
      <c r="AI19" s="194">
        <f ca="1">IF(100*(Design!$C$29+AH19+AG19*IF(ISBLANK(Design!$B$43),Constants!$C$6,Design!$B$43)/1000*(1+Constants!$C$36/100*(AR19-25)))/($B19+AH19-AG19*AS19/1000)&gt;Design!$C$36,Design!$C$37,100*(Design!$C$29+AH19+AG19*IF(ISBLANK(Design!$B$43),Constants!$C$6,Design!$B$43)/1000*(1+Constants!$C$36/100*(AR19-25)))/($B19+AH19-AG19*AS19/1000))</f>
        <v>59.590797074811562</v>
      </c>
      <c r="AJ19" s="119">
        <f ca="1">IF(($B19-AG19*IF(ISBLANK(Design!$B$43),Constants!$C$6,Design!$B$43)/1000*(1+Constants!$C$36/100*(AR19-25))-Design!$C$29)/(IF(ISBLANK(Design!$B$42),Design!$B$40,Design!$B$42)/1000000)*AI19/100/(IF(ISBLANK(Design!$B$33),Design!$B$32,Design!$B$33)*1000000)&lt;0,0,($B19-AG19*IF(ISBLANK(Design!$B$43),Constants!$C$6,Design!$B$43)/1000*(1+Constants!$C$36/100*(AR19-25))-Design!$C$29)/(IF(ISBLANK(Design!$B$42),Design!$B$40,Design!$B$42)/1000000)*AI19/100/(IF(ISBLANK(Design!$B$33),Design!$B$32,Design!$B$33)*1000000))</f>
        <v>0.32175935069293943</v>
      </c>
      <c r="AK19" s="195">
        <f>$B19*Constants!$C$21/1000+IF(ISBLANK(Design!$B$33),Design!$B$32,Design!$B$33)*1000000*Constants!$D$25/1000000000*($B19-Constants!$C$24)</f>
        <v>7.7853749999999944E-2</v>
      </c>
      <c r="AL19" s="195">
        <f>$B19*AG19*($B19/(Constants!$C$26*1000000000)*IF(ISBLANK(Design!$B$33),Design!$B$32,Design!$B$33)*1000000/2+$B19/(Constants!$C$27*1000000000)*IF(ISBLANK(Design!$B$33),Design!$B$32,Design!$B$33)*1000000/2)</f>
        <v>0.13372559075342458</v>
      </c>
      <c r="AM19" s="195">
        <f t="shared" ca="1" si="3"/>
        <v>4.9123855837732988E-2</v>
      </c>
      <c r="AN19" s="195">
        <f>Constants!$D$25/1000000000*Constants!$C$24*IF(ISBLANK(Design!$B$33),Design!$B$32,Design!$B$33)*1000000</f>
        <v>6.8250000000000005E-2</v>
      </c>
      <c r="AO19" s="195">
        <f t="shared" ca="1" si="11"/>
        <v>0.32895319659115752</v>
      </c>
      <c r="AP19" s="195">
        <f t="shared" ca="1" si="9"/>
        <v>8.2433213923539111E-2</v>
      </c>
      <c r="AQ19" s="196">
        <f ca="1">$A19+AP19*Design!$B$19</f>
        <v>89.12166069617696</v>
      </c>
      <c r="AR19" s="196">
        <f ca="1">AO19*Design!$C$12+$A19</f>
        <v>96.184408684099353</v>
      </c>
      <c r="AS19" s="196">
        <f ca="1">Constants!$D$22+Constants!$D$22*Constants!$C$23/100*(AR19-25)</f>
        <v>181.94752694727947</v>
      </c>
      <c r="AT19" s="195">
        <f ca="1">IF(100*(Design!$C$29+AH19+AG19*IF(ISBLANK(Design!$B$43),Constants!$C$6,Design!$B$43)/1000*(1+Constants!$C$36/100*(AR19-25)))/($B19+AH19-AG19*AS19/1000)&gt;Design!$C$36,  (1-Constants!$C$20/1000000000*IF(ISBLANK(Design!$B$33),Design!$B$32/4,Design!$B$33/4)*1000000) * ($B19+AH19-AG19*AS19/1000) - (AH19+AG19*(1+($A19-25)*Constants!$C$36/100)*IF(ISBLANK(Design!$B$43),Constants!$C$6/1000,Design!$B$43/1000)),   (1-Constants!$C$20/1000000000*IF(ISBLANK(Design!$B$33),Design!$B$32,Design!$B$33)*1000000) * ($B19+AH19-AG19*AS19/1000) - (AH19+AG19*(1+($A19-25)*Constants!$C$36/100)*IF(ISBLANK(Design!$B$43),Constants!$C$6/1000,Design!$B$43/1000)) )</f>
        <v>7.021441271421601</v>
      </c>
      <c r="AU19" s="119">
        <f ca="1">IF(AT19&gt;Design!$C$29,Design!$C$29,AT19)</f>
        <v>4.99903317535545</v>
      </c>
    </row>
    <row r="20" spans="1:47" s="120" customFormat="1" ht="12.75" customHeight="1" x14ac:dyDescent="0.25">
      <c r="A20" s="112">
        <f>Design!$D$13</f>
        <v>85</v>
      </c>
      <c r="B20" s="113">
        <f t="shared" si="0"/>
        <v>8.5599999999999969</v>
      </c>
      <c r="C20" s="114">
        <f>Design!$D$7</f>
        <v>2</v>
      </c>
      <c r="D20" s="114">
        <f ca="1">FORECAST(C20, OFFSET(Design!$C$15:$C$17,MATCH(C20,Design!$B$15:$B$17,1)-1,0,2), OFFSET(Design!$B$15:$B$17,MATCH(C20,Design!$B$15:$B$17,1)-1,0,2))+(M20-25)*Design!$B$18/1000</f>
        <v>0.39337895189108468</v>
      </c>
      <c r="E20" s="173">
        <f ca="1">IF(100*(Design!$C$29+D20+C20*IF(ISBLANK(Design!$B$43),Constants!$C$6,Design!$B$43)/1000*(1+Constants!$C$36/100*(N20-25)))/($B20+D20-C20*O20/1000)&gt;Design!$C$36,Design!$C$37,100*(Design!$C$29+D20+C20*IF(ISBLANK(Design!$B$43),Constants!$C$6,Design!$B$43)/1000*(1+Constants!$C$36/100*(N20-25)))/($B20+D20-C20*O20/1000))</f>
        <v>64.351456222379838</v>
      </c>
      <c r="F20" s="115">
        <f ca="1">IF(($B20-C20*IF(ISBLANK(Design!$B$43),Constants!$C$6,Design!$B$43)/1000*(1+Constants!$C$36/100*(N20-25))-Design!$C$29)/(IF(ISBLANK(Design!$B$42),Design!$B$40,Design!$B$42)/1000000)*E20/100/(IF(ISBLANK(Design!$B$33),Design!$B$32,Design!$B$33)*1000000)&lt;0, 0, ($B20-C20*IF(ISBLANK(Design!$B$43),Constants!$C$6,Design!$B$43)/1000*(1+Constants!$C$36/100*(N20-25))-Design!$C$29)/(IF(ISBLANK(Design!$B$42),Design!$B$40,Design!$B$42)/1000000)*E20/100/(IF(ISBLANK(Design!$B$33),Design!$B$32,Design!$B$33)*1000000))</f>
        <v>0.32045216239918561</v>
      </c>
      <c r="G20" s="165">
        <f>B20*Constants!$C$21/1000+IF(ISBLANK(Design!$B$33),Design!$B$32,Design!$B$33)*1000000*Constants!$D$25/1000000000*(B20-Constants!$C$24)</f>
        <v>7.4273999999999951E-2</v>
      </c>
      <c r="H20" s="165">
        <f>B20*C20*(B20/(Constants!$C$26*1000000000)*IF(ISBLANK(Design!$B$33),Design!$B$32,Design!$B$33)*1000000/2+B20/(Constants!$C$27*1000000000)*IF(ISBLANK(Design!$B$33),Design!$B$32,Design!$B$33)*1000000/2)</f>
        <v>0.38175880182648375</v>
      </c>
      <c r="I20" s="165">
        <f t="shared" ca="1" si="1"/>
        <v>0.51950098677991474</v>
      </c>
      <c r="J20" s="165">
        <f>Constants!$D$25/1000000000*Constants!$C$24*IF(ISBLANK(Design!$B$33),Design!$B$32,Design!$B$33)*1000000</f>
        <v>6.8250000000000005E-2</v>
      </c>
      <c r="K20" s="165">
        <f t="shared" ca="1" si="4"/>
        <v>1.0437837886063983</v>
      </c>
      <c r="L20" s="165">
        <f t="shared" ca="1" si="5"/>
        <v>0.2804677357536734</v>
      </c>
      <c r="M20" s="166">
        <f ca="1">A20+L20*Design!$B$19</f>
        <v>99.023386787683677</v>
      </c>
      <c r="N20" s="166">
        <f ca="1">K20*Design!$C$12+A20</f>
        <v>120.48864881261754</v>
      </c>
      <c r="O20" s="166">
        <f ca="1">Constants!$D$22+Constants!$D$22*Constants!$C$23/100*(N20-25)</f>
        <v>201.39091905009406</v>
      </c>
      <c r="P20" s="165">
        <f ca="1">IF(100*(Design!$C$29+D20+C20*IF(ISBLANK(Design!$B$43),Constants!$C$6,Design!$B$43)/1000*(1+Constants!$C$36/100*(N20-25)))/($B20+D20-C20*O20/1000)&gt;Design!$C$36,  (1-Constants!$C$20/1000000000*IF(ISBLANK(Design!$B$33),Design!$B$32/4,Design!$B$33/4)*1000000) * ($B20+D20-C20*O20/1000) - (D20+C20*(1+($A20-25)*Constants!$C$36/100)*IF(ISBLANK(Design!$B$43),Constants!$C$6/1000,Design!$B$43/1000)),   (1-Constants!$C$20/1000000000*IF(ISBLANK(Design!$B$33),Design!$B$32,Design!$B$33)*1000000) * ($B20+D20-C20*O20/1000) - (D20+C20*(1+($A20-25)*Constants!$C$36/100)*IF(ISBLANK(Design!$B$43),Constants!$C$6/1000,Design!$B$43/1000)) )</f>
        <v>6.5320725770881349</v>
      </c>
      <c r="Q20" s="171">
        <f ca="1">IF(P20&gt;Design!$C$29,Design!$C$29,P20)</f>
        <v>4.99903317535545</v>
      </c>
      <c r="R20" s="181">
        <f>2*Design!$D$7/3</f>
        <v>1.3333333333333333</v>
      </c>
      <c r="S20" s="116">
        <f ca="1">FORECAST(R20, OFFSET(Design!$C$15:$C$17,MATCH(R20,Design!$B$15:$B$17,1)-1,0,2), OFFSET(Design!$B$15:$B$17,MATCH(R20,Design!$B$15:$B$17,1)-1,0,2))+(AB20-25)*Design!$B$18/1000</f>
        <v>0.34999752914568028</v>
      </c>
      <c r="T20" s="182">
        <f ca="1">IF(100*(Design!$C$29+S20+R20*IF(ISBLANK(Design!$B$43),Constants!$C$6,Design!$B$43)/1000*(1+Constants!$C$36/100*(AC20-25)))/($B20+S20-R20*AD20/1000)&gt;Design!$C$36,Design!$C$37,100*(Design!$C$29+S20+R20*IF(ISBLANK(Design!$B$43),Constants!$C$6,Design!$B$43)/1000*(1+Constants!$C$36/100*(AC20-25)))/($B20+S20-R20*AD20/1000))</f>
        <v>62.598199262799405</v>
      </c>
      <c r="U20" s="117">
        <f ca="1">IF(($B20-R20*IF(ISBLANK(Design!$B$43),Constants!$C$6,Design!$B$43)/1000*(1+Constants!$C$36/100*(AC20-25))-Design!$C$29)/(Design!$B$42/1000000)*T20/100/(IF(ISBLANK(IF(ISBLANK(Design!$B$42),Design!$B$40,Design!$B$42)),Design!$B$32,Design!$B$33)*1000000)&lt;0,0,($B20-R20*IF(ISBLANK(Design!$B$43),Constants!$C$6,Design!$B$43)/1000*(1+Constants!$C$36/100*(AC20-25))-Design!$C$29)/(IF(ISBLANK(Design!$B$42),Design!$B$40,Design!$B$42)/1000000)*T20/100/(IF(ISBLANK(Design!$B$33),Design!$B$32,Design!$B$33)*1000000))</f>
        <v>0.31531406002384404</v>
      </c>
      <c r="V20" s="183">
        <f>$B20*Constants!$C$21/1000+IF(ISBLANK(Design!$B$33),Design!$B$32,Design!$B$33)*1000000*Constants!$D$25/1000000000*($B20-Constants!$C$24)</f>
        <v>7.4273999999999951E-2</v>
      </c>
      <c r="W20" s="183">
        <f>$B20*R20*($B20/(Constants!$C$26*1000000000)*IF(ISBLANK(Design!$B$33),Design!$B$32,Design!$B$33)*1000000/2+$B20/(Constants!$C$27*1000000000)*IF(ISBLANK(Design!$B$33),Design!$B$32,Design!$B$33)*1000000/2)</f>
        <v>0.2545058678843225</v>
      </c>
      <c r="X20" s="183">
        <f t="shared" ca="1" si="2"/>
        <v>0.21194075957295097</v>
      </c>
      <c r="Y20" s="183">
        <f>Constants!$D$25/1000000000*Constants!$C$24*IF(ISBLANK(Design!$B$33),Design!$B$32,Design!$B$33)*1000000</f>
        <v>6.8250000000000005E-2</v>
      </c>
      <c r="Z20" s="183">
        <f t="shared" ca="1" si="10"/>
        <v>0.60897062745727348</v>
      </c>
      <c r="AA20" s="183">
        <f t="shared" ca="1" si="7"/>
        <v>0.17454050458159057</v>
      </c>
      <c r="AB20" s="184">
        <f ca="1">$A20+AA20*Design!$B$19</f>
        <v>93.72702522907953</v>
      </c>
      <c r="AC20" s="184">
        <f ca="1">Z20*Design!$C$12+$A20</f>
        <v>105.7050013335473</v>
      </c>
      <c r="AD20" s="184">
        <f ca="1">Constants!$D$22+Constants!$D$22*Constants!$C$23/100*(AC20-25)</f>
        <v>189.56400106683785</v>
      </c>
      <c r="AE20" s="183">
        <f ca="1">IF(100*(Design!$C$29+S20+R20*IF(ISBLANK(Design!$B$43),Constants!$C$6,Design!$B$43)/1000*(1+Constants!$C$36/100*(AC20-25)))/($B20+S20-R20*AD20/1000)&gt;Design!$C$36,  (1-Constants!$C$20/1000000000*IF(ISBLANK(Design!$B$33),Design!$B$32/4,Design!$B$33/4)*1000000) * ($B20+S20-R20*AD20/1000) - (S20+R20*(1+($A20-25)*Constants!$C$36/100)*IF(ISBLANK(Design!$B$43),Constants!$C$6/1000,Design!$B$43/1000)),   (1-Constants!$C$20/1000000000*IF(ISBLANK(Design!$B$33),Design!$B$32,Design!$B$33)*1000000) * ($B20+S20-R20*AD20/1000) - (S20+R20*(1+($A20-25)*Constants!$C$36/100)*IF(ISBLANK(Design!$B$43),Constants!$C$6/1000,Design!$B$43/1000)) )</f>
        <v>6.6960203385456172</v>
      </c>
      <c r="AF20" s="117">
        <f ca="1">IF(AE20&gt;Design!$C$29,Design!$C$29,AE20)</f>
        <v>4.99903317535545</v>
      </c>
      <c r="AG20" s="118">
        <f>Design!$D$7/3</f>
        <v>0.66666666666666663</v>
      </c>
      <c r="AH20" s="118">
        <f ca="1">FORECAST(AG20, OFFSET(Design!$C$15:$C$17,MATCH(AG20,Design!$B$15:$B$17,1)-1,0,2), OFFSET(Design!$B$15:$B$17,MATCH(AG20,Design!$B$15:$B$17,1)-1,0,2))+(AQ20-25)*Design!$B$18/1000</f>
        <v>0.3061270686047286</v>
      </c>
      <c r="AI20" s="194">
        <f ca="1">IF(100*(Design!$C$29+AH20+AG20*IF(ISBLANK(Design!$B$43),Constants!$C$6,Design!$B$43)/1000*(1+Constants!$C$36/100*(AR20-25)))/($B20+AH20-AG20*AS20/1000)&gt;Design!$C$36,Design!$C$37,100*(Design!$C$29+AH20+AG20*IF(ISBLANK(Design!$B$43),Constants!$C$6,Design!$B$43)/1000*(1+Constants!$C$36/100*(AR20-25)))/($B20+AH20-AG20*AS20/1000))</f>
        <v>61.055005521326201</v>
      </c>
      <c r="AJ20" s="119">
        <f ca="1">IF(($B20-AG20*IF(ISBLANK(Design!$B$43),Constants!$C$6,Design!$B$43)/1000*(1+Constants!$C$36/100*(AR20-25))-Design!$C$29)/(IF(ISBLANK(Design!$B$42),Design!$B$40,Design!$B$42)/1000000)*AI20/100/(IF(ISBLANK(Design!$B$33),Design!$B$32,Design!$B$33)*1000000)&lt;0,0,($B20-AG20*IF(ISBLANK(Design!$B$43),Constants!$C$6,Design!$B$43)/1000*(1+Constants!$C$36/100*(AR20-25))-Design!$C$29)/(IF(ISBLANK(Design!$B$42),Design!$B$40,Design!$B$42)/1000000)*AI20/100/(IF(ISBLANK(Design!$B$33),Design!$B$32,Design!$B$33)*1000000))</f>
        <v>0.31072610487317492</v>
      </c>
      <c r="AK20" s="195">
        <f>$B20*Constants!$C$21/1000+IF(ISBLANK(Design!$B$33),Design!$B$32,Design!$B$33)*1000000*Constants!$D$25/1000000000*($B20-Constants!$C$24)</f>
        <v>7.4273999999999951E-2</v>
      </c>
      <c r="AL20" s="195">
        <f>$B20*AG20*($B20/(Constants!$C$26*1000000000)*IF(ISBLANK(Design!$B$33),Design!$B$32,Design!$B$33)*1000000/2+$B20/(Constants!$C$27*1000000000)*IF(ISBLANK(Design!$B$33),Design!$B$32,Design!$B$33)*1000000/2)</f>
        <v>0.12725293394216125</v>
      </c>
      <c r="AM20" s="195">
        <f t="shared" ca="1" si="3"/>
        <v>5.0198818522173956E-2</v>
      </c>
      <c r="AN20" s="195">
        <f>Constants!$D$25/1000000000*Constants!$C$24*IF(ISBLANK(Design!$B$33),Design!$B$32,Design!$B$33)*1000000</f>
        <v>6.8250000000000005E-2</v>
      </c>
      <c r="AO20" s="195">
        <f t="shared" ca="1" si="11"/>
        <v>0.31997575246433518</v>
      </c>
      <c r="AP20" s="195">
        <f t="shared" ca="1" si="9"/>
        <v>7.9480779977225011E-2</v>
      </c>
      <c r="AQ20" s="196">
        <f ca="1">$A20+AP20*Design!$B$19</f>
        <v>88.974038998861246</v>
      </c>
      <c r="AR20" s="196">
        <f ca="1">AO20*Design!$C$12+$A20</f>
        <v>95.879175583787401</v>
      </c>
      <c r="AS20" s="196">
        <f ca="1">Constants!$D$22+Constants!$D$22*Constants!$C$23/100*(AR20-25)</f>
        <v>181.70334046702993</v>
      </c>
      <c r="AT20" s="195">
        <f ca="1">IF(100*(Design!$C$29+AH20+AG20*IF(ISBLANK(Design!$B$43),Constants!$C$6,Design!$B$43)/1000*(1+Constants!$C$36/100*(AR20-25)))/($B20+AH20-AG20*AS20/1000)&gt;Design!$C$36,  (1-Constants!$C$20/1000000000*IF(ISBLANK(Design!$B$33),Design!$B$32/4,Design!$B$33/4)*1000000) * ($B20+AH20-AG20*AS20/1000) - (AH20+AG20*(1+($A20-25)*Constants!$C$36/100)*IF(ISBLANK(Design!$B$43),Constants!$C$6/1000,Design!$B$43/1000)),   (1-Constants!$C$20/1000000000*IF(ISBLANK(Design!$B$33),Design!$B$32,Design!$B$33)*1000000) * ($B20+AH20-AG20*AS20/1000) - (AH20+AG20*(1+($A20-25)*Constants!$C$36/100)*IF(ISBLANK(Design!$B$43),Constants!$C$6/1000,Design!$B$43/1000)) )</f>
        <v>6.8449287887916102</v>
      </c>
      <c r="AU20" s="119">
        <f ca="1">IF(AT20&gt;Design!$C$29,Design!$C$29,AT20)</f>
        <v>4.99903317535545</v>
      </c>
    </row>
    <row r="21" spans="1:47" s="120" customFormat="1" ht="12.75" customHeight="1" x14ac:dyDescent="0.25">
      <c r="A21" s="112">
        <f>Design!$D$13</f>
        <v>85</v>
      </c>
      <c r="B21" s="113">
        <f t="shared" si="0"/>
        <v>8.3449999999999971</v>
      </c>
      <c r="C21" s="114">
        <f>Design!$D$7</f>
        <v>2</v>
      </c>
      <c r="D21" s="114">
        <f ca="1">FORECAST(C21, OFFSET(Design!$C$15:$C$17,MATCH(C21,Design!$B$15:$B$17,1)-1,0,2), OFFSET(Design!$B$15:$B$17,MATCH(C21,Design!$B$15:$B$17,1)-1,0,2))+(M21-25)*Design!$B$18/1000</f>
        <v>0.39394803886141355</v>
      </c>
      <c r="E21" s="173">
        <f ca="1">IF(100*(Design!$C$29+D21+C21*IF(ISBLANK(Design!$B$43),Constants!$C$6,Design!$B$43)/1000*(1+Constants!$C$36/100*(N21-25)))/($B21+D21-C21*O21/1000)&gt;Design!$C$36,Design!$C$37,100*(Design!$C$29+D21+C21*IF(ISBLANK(Design!$B$43),Constants!$C$6,Design!$B$43)/1000*(1+Constants!$C$36/100*(N21-25)))/($B21+D21-C21*O21/1000))</f>
        <v>66.008035043236831</v>
      </c>
      <c r="F21" s="115">
        <f ca="1">IF(($B21-C21*IF(ISBLANK(Design!$B$43),Constants!$C$6,Design!$B$43)/1000*(1+Constants!$C$36/100*(N21-25))-Design!$C$29)/(IF(ISBLANK(Design!$B$42),Design!$B$40,Design!$B$42)/1000000)*E21/100/(IF(ISBLANK(Design!$B$33),Design!$B$32,Design!$B$33)*1000000)&lt;0, 0, ($B21-C21*IF(ISBLANK(Design!$B$43),Constants!$C$6,Design!$B$43)/1000*(1+Constants!$C$36/100*(N21-25))-Design!$C$29)/(IF(ISBLANK(Design!$B$42),Design!$B$40,Design!$B$42)/1000000)*E21/100/(IF(ISBLANK(Design!$B$33),Design!$B$32,Design!$B$33)*1000000))</f>
        <v>0.30823290003801151</v>
      </c>
      <c r="G21" s="165">
        <f>B21*Constants!$C$21/1000+IF(ISBLANK(Design!$B$33),Design!$B$32,Design!$B$33)*1000000*Constants!$D$25/1000000000*(B21-Constants!$C$24)</f>
        <v>7.0694249999999959E-2</v>
      </c>
      <c r="H21" s="165">
        <f>B21*C21*(B21/(Constants!$C$26*1000000000)*IF(ISBLANK(Design!$B$33),Design!$B$32,Design!$B$33)*1000000/2+B21/(Constants!$C$27*1000000000)*IF(ISBLANK(Design!$B$33),Design!$B$32,Design!$B$33)*1000000/2)</f>
        <v>0.36282250011415507</v>
      </c>
      <c r="I21" s="165">
        <f t="shared" ca="1" si="1"/>
        <v>0.53207372267732389</v>
      </c>
      <c r="J21" s="165">
        <f>Constants!$D$25/1000000000*Constants!$C$24*IF(ISBLANK(Design!$B$33),Design!$B$32,Design!$B$33)*1000000</f>
        <v>6.8250000000000005E-2</v>
      </c>
      <c r="K21" s="165">
        <f t="shared" ca="1" si="4"/>
        <v>1.0338404727914789</v>
      </c>
      <c r="L21" s="165">
        <f t="shared" ca="1" si="5"/>
        <v>0.26782135863525486</v>
      </c>
      <c r="M21" s="166">
        <f ca="1">A21+L21*Design!$B$19</f>
        <v>98.391067931762748</v>
      </c>
      <c r="N21" s="166">
        <f ca="1">K21*Design!$C$12+A21</f>
        <v>120.15057607491028</v>
      </c>
      <c r="O21" s="166">
        <f ca="1">Constants!$D$22+Constants!$D$22*Constants!$C$23/100*(N21-25)</f>
        <v>201.12046085992824</v>
      </c>
      <c r="P21" s="165">
        <f ca="1">IF(100*(Design!$C$29+D21+C21*IF(ISBLANK(Design!$B$43),Constants!$C$6,Design!$B$43)/1000*(1+Constants!$C$36/100*(N21-25)))/($B21+D21-C21*O21/1000)&gt;Design!$C$36,  (1-Constants!$C$20/1000000000*IF(ISBLANK(Design!$B$33),Design!$B$32/4,Design!$B$33/4)*1000000) * ($B21+D21-C21*O21/1000) - (D21+C21*(1+($A21-25)*Constants!$C$36/100)*IF(ISBLANK(Design!$B$43),Constants!$C$6/1000,Design!$B$43/1000)),   (1-Constants!$C$20/1000000000*IF(ISBLANK(Design!$B$33),Design!$B$32,Design!$B$33)*1000000) * ($B21+D21-C21*O21/1000) - (D21+C21*(1+($A21-25)*Constants!$C$36/100)*IF(ISBLANK(Design!$B$43),Constants!$C$6/1000,Design!$B$43/1000)) )</f>
        <v>6.3557928578703731</v>
      </c>
      <c r="Q21" s="171">
        <f ca="1">IF(P21&gt;Design!$C$29,Design!$C$29,P21)</f>
        <v>4.99903317535545</v>
      </c>
      <c r="R21" s="181">
        <f>2*Design!$D$7/3</f>
        <v>1.3333333333333333</v>
      </c>
      <c r="S21" s="116">
        <f ca="1">FORECAST(R21, OFFSET(Design!$C$15:$C$17,MATCH(R21,Design!$B$15:$B$17,1)-1,0,2), OFFSET(Design!$B$15:$B$17,MATCH(R21,Design!$B$15:$B$17,1)-1,0,2))+(AB21-25)*Design!$B$18/1000</f>
        <v>0.35032471963837281</v>
      </c>
      <c r="T21" s="182">
        <f ca="1">IF(100*(Design!$C$29+S21+R21*IF(ISBLANK(Design!$B$43),Constants!$C$6,Design!$B$43)/1000*(1+Constants!$C$36/100*(AC21-25)))/($B21+S21-R21*AD21/1000)&gt;Design!$C$36,Design!$C$37,100*(Design!$C$29+S21+R21*IF(ISBLANK(Design!$B$43),Constants!$C$6,Design!$B$43)/1000*(1+Constants!$C$36/100*(AC21-25)))/($B21+S21-R21*AD21/1000))</f>
        <v>64.189736971035359</v>
      </c>
      <c r="U21" s="117">
        <f ca="1">IF(($B21-R21*IF(ISBLANK(Design!$B$43),Constants!$C$6,Design!$B$43)/1000*(1+Constants!$C$36/100*(AC21-25))-Design!$C$29)/(Design!$B$42/1000000)*T21/100/(IF(ISBLANK(IF(ISBLANK(Design!$B$42),Design!$B$40,Design!$B$42)),Design!$B$32,Design!$B$33)*1000000)&lt;0,0,($B21-R21*IF(ISBLANK(Design!$B$43),Constants!$C$6,Design!$B$43)/1000*(1+Constants!$C$36/100*(AC21-25))-Design!$C$29)/(IF(ISBLANK(Design!$B$42),Design!$B$40,Design!$B$42)/1000000)*T21/100/(IF(ISBLANK(Design!$B$33),Design!$B$32,Design!$B$33)*1000000))</f>
        <v>0.30342366648691838</v>
      </c>
      <c r="V21" s="183">
        <f>$B21*Constants!$C$21/1000+IF(ISBLANK(Design!$B$33),Design!$B$32,Design!$B$33)*1000000*Constants!$D$25/1000000000*($B21-Constants!$C$24)</f>
        <v>7.0694249999999959E-2</v>
      </c>
      <c r="W21" s="183">
        <f>$B21*R21*($B21/(Constants!$C$26*1000000000)*IF(ISBLANK(Design!$B$33),Design!$B$32,Design!$B$33)*1000000/2+$B21/(Constants!$C$27*1000000000)*IF(ISBLANK(Design!$B$33),Design!$B$32,Design!$B$33)*1000000/2)</f>
        <v>0.24188166674277001</v>
      </c>
      <c r="X21" s="183">
        <f t="shared" ca="1" si="2"/>
        <v>0.21690427897510381</v>
      </c>
      <c r="Y21" s="183">
        <f>Constants!$D$25/1000000000*Constants!$C$24*IF(ISBLANK(Design!$B$33),Design!$B$32,Design!$B$33)*1000000</f>
        <v>6.8250000000000005E-2</v>
      </c>
      <c r="Z21" s="183">
        <f t="shared" ca="1" si="10"/>
        <v>0.59773019571787378</v>
      </c>
      <c r="AA21" s="183">
        <f t="shared" ca="1" si="7"/>
        <v>0.16726960474397898</v>
      </c>
      <c r="AB21" s="184">
        <f ca="1">$A21+AA21*Design!$B$19</f>
        <v>93.363480237198957</v>
      </c>
      <c r="AC21" s="184">
        <f ca="1">Z21*Design!$C$12+$A21</f>
        <v>105.32282665440771</v>
      </c>
      <c r="AD21" s="184">
        <f ca="1">Constants!$D$22+Constants!$D$22*Constants!$C$23/100*(AC21-25)</f>
        <v>189.25826132352617</v>
      </c>
      <c r="AE21" s="183">
        <f ca="1">IF(100*(Design!$C$29+S21+R21*IF(ISBLANK(Design!$B$43),Constants!$C$6,Design!$B$43)/1000*(1+Constants!$C$36/100*(AC21-25)))/($B21+S21-R21*AD21/1000)&gt;Design!$C$36,  (1-Constants!$C$20/1000000000*IF(ISBLANK(Design!$B$33),Design!$B$32/4,Design!$B$33/4)*1000000) * ($B21+S21-R21*AD21/1000) - (S21+R21*(1+($A21-25)*Constants!$C$36/100)*IF(ISBLANK(Design!$B$43),Constants!$C$6/1000,Design!$B$43/1000)),   (1-Constants!$C$20/1000000000*IF(ISBLANK(Design!$B$33),Design!$B$32,Design!$B$33)*1000000) * ($B21+S21-R21*AD21/1000) - (S21+R21*(1+($A21-25)*Constants!$C$36/100)*IF(ISBLANK(Design!$B$43),Constants!$C$6/1000,Design!$B$43/1000)) )</f>
        <v>6.5196743219748452</v>
      </c>
      <c r="AF21" s="117">
        <f ca="1">IF(AE21&gt;Design!$C$29,Design!$C$29,AE21)</f>
        <v>4.99903317535545</v>
      </c>
      <c r="AG21" s="118">
        <f>Design!$D$7/3</f>
        <v>0.66666666666666663</v>
      </c>
      <c r="AH21" s="118">
        <f ca="1">FORECAST(AG21, OFFSET(Design!$C$15:$C$17,MATCH(AG21,Design!$B$15:$B$17,1)-1,0,2), OFFSET(Design!$B$15:$B$17,MATCH(AG21,Design!$B$15:$B$17,1)-1,0,2))+(AQ21-25)*Design!$B$18/1000</f>
        <v>0.30626674661846964</v>
      </c>
      <c r="AI21" s="194">
        <f ca="1">IF(100*(Design!$C$29+AH21+AG21*IF(ISBLANK(Design!$B$43),Constants!$C$6,Design!$B$43)/1000*(1+Constants!$C$36/100*(AR21-25)))/($B21+AH21-AG21*AS21/1000)&gt;Design!$C$36,Design!$C$37,100*(Design!$C$29+AH21+AG21*IF(ISBLANK(Design!$B$43),Constants!$C$6,Design!$B$43)/1000*(1+Constants!$C$36/100*(AR21-25)))/($B21+AH21-AG21*AS21/1000))</f>
        <v>62.592988811420184</v>
      </c>
      <c r="AJ21" s="119">
        <f ca="1">IF(($B21-AG21*IF(ISBLANK(Design!$B$43),Constants!$C$6,Design!$B$43)/1000*(1+Constants!$C$36/100*(AR21-25))-Design!$C$29)/(IF(ISBLANK(Design!$B$42),Design!$B$40,Design!$B$42)/1000000)*AI21/100/(IF(ISBLANK(Design!$B$33),Design!$B$32,Design!$B$33)*1000000)&lt;0,0,($B21-AG21*IF(ISBLANK(Design!$B$43),Constants!$C$6,Design!$B$43)/1000*(1+Constants!$C$36/100*(AR21-25))-Design!$C$29)/(IF(ISBLANK(Design!$B$42),Design!$B$40,Design!$B$42)/1000000)*AI21/100/(IF(ISBLANK(Design!$B$33),Design!$B$32,Design!$B$33)*1000000))</f>
        <v>0.2991369732430959</v>
      </c>
      <c r="AK21" s="195">
        <f>$B21*Constants!$C$21/1000+IF(ISBLANK(Design!$B$33),Design!$B$32,Design!$B$33)*1000000*Constants!$D$25/1000000000*($B21-Constants!$C$24)</f>
        <v>7.0694249999999959E-2</v>
      </c>
      <c r="AL21" s="195">
        <f>$B21*AG21*($B21/(Constants!$C$26*1000000000)*IF(ISBLANK(Design!$B$33),Design!$B$32,Design!$B$33)*1000000/2+$B21/(Constants!$C$27*1000000000)*IF(ISBLANK(Design!$B$33),Design!$B$32,Design!$B$33)*1000000/2)</f>
        <v>0.120940833371385</v>
      </c>
      <c r="AM21" s="195">
        <f t="shared" ca="1" si="3"/>
        <v>5.132893546861822E-2</v>
      </c>
      <c r="AN21" s="195">
        <f>Constants!$D$25/1000000000*Constants!$C$24*IF(ISBLANK(Design!$B$33),Design!$B$32,Design!$B$33)*1000000</f>
        <v>6.8250000000000005E-2</v>
      </c>
      <c r="AO21" s="195">
        <f t="shared" ca="1" si="11"/>
        <v>0.31121401884000321</v>
      </c>
      <c r="AP21" s="195">
        <f t="shared" ca="1" si="9"/>
        <v>7.6376824116313552E-2</v>
      </c>
      <c r="AQ21" s="196">
        <f ca="1">$A21+AP21*Design!$B$19</f>
        <v>88.818841205815673</v>
      </c>
      <c r="AR21" s="196">
        <f ca="1">AO21*Design!$C$12+$A21</f>
        <v>95.581276640560105</v>
      </c>
      <c r="AS21" s="196">
        <f ca="1">Constants!$D$22+Constants!$D$22*Constants!$C$23/100*(AR21-25)</f>
        <v>181.46502131244807</v>
      </c>
      <c r="AT21" s="195">
        <f ca="1">IF(100*(Design!$C$29+AH21+AG21*IF(ISBLANK(Design!$B$43),Constants!$C$6,Design!$B$43)/1000*(1+Constants!$C$36/100*(AR21-25)))/($B21+AH21-AG21*AS21/1000)&gt;Design!$C$36,  (1-Constants!$C$20/1000000000*IF(ISBLANK(Design!$B$33),Design!$B$32/4,Design!$B$33/4)*1000000) * ($B21+AH21-AG21*AS21/1000) - (AH21+AG21*(1+($A21-25)*Constants!$C$36/100)*IF(ISBLANK(Design!$B$43),Constants!$C$6/1000,Design!$B$43/1000)),   (1-Constants!$C$20/1000000000*IF(ISBLANK(Design!$B$33),Design!$B$32,Design!$B$33)*1000000) * ($B21+AH21-AG21*AS21/1000) - (AH21+AG21*(1+($A21-25)*Constants!$C$36/100)*IF(ISBLANK(Design!$B$43),Constants!$C$6/1000,Design!$B$43/1000)) )</f>
        <v>6.6684118757231499</v>
      </c>
      <c r="AU21" s="119">
        <f ca="1">IF(AT21&gt;Design!$C$29,Design!$C$29,AT21)</f>
        <v>4.99903317535545</v>
      </c>
    </row>
    <row r="22" spans="1:47" s="120" customFormat="1" ht="12.75" customHeight="1" x14ac:dyDescent="0.25">
      <c r="A22" s="112">
        <f>Design!$D$13</f>
        <v>85</v>
      </c>
      <c r="B22" s="113">
        <f t="shared" si="0"/>
        <v>8.1299999999999972</v>
      </c>
      <c r="C22" s="114">
        <f>Design!$D$7</f>
        <v>2</v>
      </c>
      <c r="D22" s="114">
        <f ca="1">FORECAST(C22, OFFSET(Design!$C$15:$C$17,MATCH(C22,Design!$B$15:$B$17,1)-1,0,2), OFFSET(Design!$B$15:$B$17,MATCH(C22,Design!$B$15:$B$17,1)-1,0,2))+(M22-25)*Design!$B$18/1000</f>
        <v>0.39454917252667016</v>
      </c>
      <c r="E22" s="173">
        <f ca="1">IF(100*(Design!$C$29+D22+C22*IF(ISBLANK(Design!$B$43),Constants!$C$6,Design!$B$43)/1000*(1+Constants!$C$36/100*(N22-25)))/($B22+D22-C22*O22/1000)&gt;Design!$C$36,Design!$C$37,100*(Design!$C$29+D22+C22*IF(ISBLANK(Design!$B$43),Constants!$C$6,Design!$B$43)/1000*(1+Constants!$C$36/100*(N22-25)))/($B22+D22-C22*O22/1000))</f>
        <v>67.752709869963908</v>
      </c>
      <c r="F22" s="115">
        <f ca="1">IF(($B22-C22*IF(ISBLANK(Design!$B$43),Constants!$C$6,Design!$B$43)/1000*(1+Constants!$C$36/100*(N22-25))-Design!$C$29)/(IF(ISBLANK(Design!$B$42),Design!$B$40,Design!$B$42)/1000000)*E22/100/(IF(ISBLANK(Design!$B$33),Design!$B$32,Design!$B$33)*1000000)&lt;0, 0, ($B22-C22*IF(ISBLANK(Design!$B$43),Constants!$C$6,Design!$B$43)/1000*(1+Constants!$C$36/100*(N22-25))-Design!$C$29)/(IF(ISBLANK(Design!$B$42),Design!$B$40,Design!$B$42)/1000000)*E22/100/(IF(ISBLANK(Design!$B$33),Design!$B$32,Design!$B$33)*1000000))</f>
        <v>0.29536901434067636</v>
      </c>
      <c r="G22" s="165">
        <f>B22*Constants!$C$21/1000+IF(ISBLANK(Design!$B$33),Design!$B$32,Design!$B$33)*1000000*Constants!$D$25/1000000000*(B22-Constants!$C$24)</f>
        <v>6.7114499999999966E-2</v>
      </c>
      <c r="H22" s="165">
        <f>B22*C22*(B22/(Constants!$C$26*1000000000)*IF(ISBLANK(Design!$B$33),Design!$B$32,Design!$B$33)*1000000/2+B22/(Constants!$C$27*1000000000)*IF(ISBLANK(Design!$B$33),Design!$B$32,Design!$B$33)*1000000/2)</f>
        <v>0.34436786712328749</v>
      </c>
      <c r="I22" s="165">
        <f t="shared" ca="1" si="1"/>
        <v>0.54540630657702993</v>
      </c>
      <c r="J22" s="165">
        <f>Constants!$D$25/1000000000*Constants!$C$24*IF(ISBLANK(Design!$B$33),Design!$B$32,Design!$B$33)*1000000</f>
        <v>6.8250000000000005E-2</v>
      </c>
      <c r="K22" s="165">
        <f t="shared" ca="1" si="4"/>
        <v>1.0251386737003174</v>
      </c>
      <c r="L22" s="165">
        <f t="shared" ca="1" si="5"/>
        <v>0.25446283274066395</v>
      </c>
      <c r="M22" s="166">
        <f ca="1">A22+L22*Design!$B$19</f>
        <v>97.723141637033194</v>
      </c>
      <c r="N22" s="166">
        <f ca="1">K22*Design!$C$12+A22</f>
        <v>119.85471490581079</v>
      </c>
      <c r="O22" s="166">
        <f ca="1">Constants!$D$22+Constants!$D$22*Constants!$C$23/100*(N22-25)</f>
        <v>200.88377192464864</v>
      </c>
      <c r="P22" s="165">
        <f ca="1">IF(100*(Design!$C$29+D22+C22*IF(ISBLANK(Design!$B$43),Constants!$C$6,Design!$B$43)/1000*(1+Constants!$C$36/100*(N22-25)))/($B22+D22-C22*O22/1000)&gt;Design!$C$36,  (1-Constants!$C$20/1000000000*IF(ISBLANK(Design!$B$33),Design!$B$32/4,Design!$B$33/4)*1000000) * ($B22+D22-C22*O22/1000) - (D22+C22*(1+($A22-25)*Constants!$C$36/100)*IF(ISBLANK(Design!$B$43),Constants!$C$6/1000,Design!$B$43/1000)),   (1-Constants!$C$20/1000000000*IF(ISBLANK(Design!$B$33),Design!$B$32,Design!$B$33)*1000000) * ($B22+D22-C22*O22/1000) - (D22+C22*(1+($A22-25)*Constants!$C$36/100)*IF(ISBLANK(Design!$B$43),Constants!$C$6/1000,Design!$B$43/1000)) )</f>
        <v>6.1794519354317892</v>
      </c>
      <c r="Q22" s="171">
        <f ca="1">IF(P22&gt;Design!$C$29,Design!$C$29,P22)</f>
        <v>4.99903317535545</v>
      </c>
      <c r="R22" s="181">
        <f>2*Design!$D$7/3</f>
        <v>1.3333333333333333</v>
      </c>
      <c r="S22" s="116">
        <f ca="1">FORECAST(R22, OFFSET(Design!$C$15:$C$17,MATCH(R22,Design!$B$15:$B$17,1)-1,0,2), OFFSET(Design!$B$15:$B$17,MATCH(R22,Design!$B$15:$B$17,1)-1,0,2))+(AB22-25)*Design!$B$18/1000</f>
        <v>0.35066967212644889</v>
      </c>
      <c r="T22" s="182">
        <f ca="1">IF(100*(Design!$C$29+S22+R22*IF(ISBLANK(Design!$B$43),Constants!$C$6,Design!$B$43)/1000*(1+Constants!$C$36/100*(AC22-25)))/($B22+S22-R22*AD22/1000)&gt;Design!$C$36,Design!$C$37,100*(Design!$C$29+S22+R22*IF(ISBLANK(Design!$B$43),Constants!$C$6,Design!$B$43)/1000*(1+Constants!$C$36/100*(AC22-25)))/($B22+S22-R22*AD22/1000))</f>
        <v>65.864457368808814</v>
      </c>
      <c r="U22" s="117">
        <f ca="1">IF(($B22-R22*IF(ISBLANK(Design!$B$43),Constants!$C$6,Design!$B$43)/1000*(1+Constants!$C$36/100*(AC22-25))-Design!$C$29)/(Design!$B$42/1000000)*T22/100/(IF(ISBLANK(IF(ISBLANK(Design!$B$42),Design!$B$40,Design!$B$42)),Design!$B$32,Design!$B$33)*1000000)&lt;0,0,($B22-R22*IF(ISBLANK(Design!$B$43),Constants!$C$6,Design!$B$43)/1000*(1+Constants!$C$36/100*(AC22-25))-Design!$C$29)/(IF(ISBLANK(Design!$B$42),Design!$B$40,Design!$B$42)/1000000)*T22/100/(IF(ISBLANK(Design!$B$33),Design!$B$32,Design!$B$33)*1000000))</f>
        <v>0.29091310641040108</v>
      </c>
      <c r="V22" s="183">
        <f>$B22*Constants!$C$21/1000+IF(ISBLANK(Design!$B$33),Design!$B$32,Design!$B$33)*1000000*Constants!$D$25/1000000000*($B22-Constants!$C$24)</f>
        <v>6.7114499999999966E-2</v>
      </c>
      <c r="W22" s="183">
        <f>$B22*R22*($B22/(Constants!$C$26*1000000000)*IF(ISBLANK(Design!$B$33),Design!$B$32,Design!$B$33)*1000000/2+$B22/(Constants!$C$27*1000000000)*IF(ISBLANK(Design!$B$33),Design!$B$32,Design!$B$33)*1000000/2)</f>
        <v>0.22957857808219165</v>
      </c>
      <c r="X22" s="183">
        <f t="shared" ca="1" si="2"/>
        <v>0.22214584778324373</v>
      </c>
      <c r="Y22" s="183">
        <f>Constants!$D$25/1000000000*Constants!$C$24*IF(ISBLANK(Design!$B$33),Design!$B$32,Design!$B$33)*1000000</f>
        <v>6.8250000000000005E-2</v>
      </c>
      <c r="Z22" s="183">
        <f t="shared" ca="1" si="10"/>
        <v>0.58708892586543537</v>
      </c>
      <c r="AA22" s="183">
        <f t="shared" ca="1" si="7"/>
        <v>0.15960399389784308</v>
      </c>
      <c r="AB22" s="184">
        <f ca="1">$A22+AA22*Design!$B$19</f>
        <v>92.98019969489215</v>
      </c>
      <c r="AC22" s="184">
        <f ca="1">Z22*Design!$C$12+$A22</f>
        <v>104.9610234794248</v>
      </c>
      <c r="AD22" s="184">
        <f ca="1">Constants!$D$22+Constants!$D$22*Constants!$C$23/100*(AC22-25)</f>
        <v>188.96881878353983</v>
      </c>
      <c r="AE22" s="183">
        <f ca="1">IF(100*(Design!$C$29+S22+R22*IF(ISBLANK(Design!$B$43),Constants!$C$6,Design!$B$43)/1000*(1+Constants!$C$36/100*(AC22-25)))/($B22+S22-R22*AD22/1000)&gt;Design!$C$36,  (1-Constants!$C$20/1000000000*IF(ISBLANK(Design!$B$33),Design!$B$32/4,Design!$B$33/4)*1000000) * ($B22+S22-R22*AD22/1000) - (S22+R22*(1+($A22-25)*Constants!$C$36/100)*IF(ISBLANK(Design!$B$43),Constants!$C$6/1000,Design!$B$43/1000)),   (1-Constants!$C$20/1000000000*IF(ISBLANK(Design!$B$33),Design!$B$32,Design!$B$33)*1000000) * ($B22+S22-R22*AD22/1000) - (S22+R22*(1+($A22-25)*Constants!$C$36/100)*IF(ISBLANK(Design!$B$43),Constants!$C$6/1000,Design!$B$43/1000)) )</f>
        <v>6.3433072840178557</v>
      </c>
      <c r="AF22" s="117">
        <f ca="1">IF(AE22&gt;Design!$C$29,Design!$C$29,AE22)</f>
        <v>4.99903317535545</v>
      </c>
      <c r="AG22" s="118">
        <f>Design!$D$7/3</f>
        <v>0.66666666666666663</v>
      </c>
      <c r="AH22" s="118">
        <f ca="1">FORECAST(AG22, OFFSET(Design!$C$15:$C$17,MATCH(AG22,Design!$B$15:$B$17,1)-1,0,2), OFFSET(Design!$B$15:$B$17,MATCH(AG22,Design!$B$15:$B$17,1)-1,0,2))+(AQ22-25)*Design!$B$18/1000</f>
        <v>0.30641378148093007</v>
      </c>
      <c r="AI22" s="194">
        <f ca="1">IF(100*(Design!$C$29+AH22+AG22*IF(ISBLANK(Design!$B$43),Constants!$C$6,Design!$B$43)/1000*(1+Constants!$C$36/100*(AR22-25)))/($B22+AH22-AG22*AS22/1000)&gt;Design!$C$36,Design!$C$37,100*(Design!$C$29+AH22+AG22*IF(ISBLANK(Design!$B$43),Constants!$C$6,Design!$B$43)/1000*(1+Constants!$C$36/100*(AR22-25)))/($B22+AH22-AG22*AS22/1000))</f>
        <v>64.210462870684623</v>
      </c>
      <c r="AJ22" s="119">
        <f ca="1">IF(($B22-AG22*IF(ISBLANK(Design!$B$43),Constants!$C$6,Design!$B$43)/1000*(1+Constants!$C$36/100*(AR22-25))-Design!$C$29)/(IF(ISBLANK(Design!$B$42),Design!$B$40,Design!$B$42)/1000000)*AI22/100/(IF(ISBLANK(Design!$B$33),Design!$B$32,Design!$B$33)*1000000)&lt;0,0,($B22-AG22*IF(ISBLANK(Design!$B$43),Constants!$C$6,Design!$B$43)/1000*(1+Constants!$C$36/100*(AR22-25))-Design!$C$29)/(IF(ISBLANK(Design!$B$42),Design!$B$40,Design!$B$42)/1000000)*AI22/100/(IF(ISBLANK(Design!$B$33),Design!$B$32,Design!$B$33)*1000000))</f>
        <v>0.28694883807689892</v>
      </c>
      <c r="AK22" s="195">
        <f>$B22*Constants!$C$21/1000+IF(ISBLANK(Design!$B$33),Design!$B$32,Design!$B$33)*1000000*Constants!$D$25/1000000000*($B22-Constants!$C$24)</f>
        <v>6.7114499999999966E-2</v>
      </c>
      <c r="AL22" s="195">
        <f>$B22*AG22*($B22/(Constants!$C$26*1000000000)*IF(ISBLANK(Design!$B$33),Design!$B$32,Design!$B$33)*1000000/2+$B22/(Constants!$C$27*1000000000)*IF(ISBLANK(Design!$B$33),Design!$B$32,Design!$B$33)*1000000/2)</f>
        <v>0.11478928904109582</v>
      </c>
      <c r="AM22" s="195">
        <f t="shared" ca="1" si="3"/>
        <v>5.2518646247327577E-2</v>
      </c>
      <c r="AN22" s="195">
        <f>Constants!$D$25/1000000000*Constants!$C$24*IF(ISBLANK(Design!$B$33),Design!$B$32,Design!$B$33)*1000000</f>
        <v>6.8250000000000005E-2</v>
      </c>
      <c r="AO22" s="195">
        <f t="shared" ca="1" si="11"/>
        <v>0.30267243528842336</v>
      </c>
      <c r="AP22" s="195">
        <f t="shared" ca="1" si="9"/>
        <v>7.3109382728304487E-2</v>
      </c>
      <c r="AQ22" s="196">
        <f ca="1">$A22+AP22*Design!$B$19</f>
        <v>88.655469136415221</v>
      </c>
      <c r="AR22" s="196">
        <f ca="1">AO22*Design!$C$12+$A22</f>
        <v>95.290862799806391</v>
      </c>
      <c r="AS22" s="196">
        <f ca="1">Constants!$D$22+Constants!$D$22*Constants!$C$23/100*(AR22-25)</f>
        <v>181.23269023984511</v>
      </c>
      <c r="AT22" s="195">
        <f ca="1">IF(100*(Design!$C$29+AH22+AG22*IF(ISBLANK(Design!$B$43),Constants!$C$6,Design!$B$43)/1000*(1+Constants!$C$36/100*(AR22-25)))/($B22+AH22-AG22*AS22/1000)&gt;Design!$C$36,  (1-Constants!$C$20/1000000000*IF(ISBLANK(Design!$B$33),Design!$B$32/4,Design!$B$33/4)*1000000) * ($B22+AH22-AG22*AS22/1000) - (AH22+AG22*(1+($A22-25)*Constants!$C$36/100)*IF(ISBLANK(Design!$B$43),Constants!$C$6/1000,Design!$B$43/1000)),   (1-Constants!$C$20/1000000000*IF(ISBLANK(Design!$B$33),Design!$B$32,Design!$B$33)*1000000) * ($B22+AH22-AG22*AS22/1000) - (AH22+AG22*(1+($A22-25)*Constants!$C$36/100)*IF(ISBLANK(Design!$B$43),Constants!$C$6/1000,Design!$B$43/1000)) )</f>
        <v>6.4918903699842971</v>
      </c>
      <c r="AU22" s="119">
        <f ca="1">IF(AT22&gt;Design!$C$29,Design!$C$29,AT22)</f>
        <v>4.99903317535545</v>
      </c>
    </row>
    <row r="23" spans="1:47" s="120" customFormat="1" ht="12.75" customHeight="1" x14ac:dyDescent="0.25">
      <c r="A23" s="112">
        <f>Design!$D$13</f>
        <v>85</v>
      </c>
      <c r="B23" s="113">
        <f t="shared" si="0"/>
        <v>7.9149999999999974</v>
      </c>
      <c r="C23" s="114">
        <f>Design!$D$7</f>
        <v>2</v>
      </c>
      <c r="D23" s="114">
        <f ca="1">FORECAST(C23, OFFSET(Design!$C$15:$C$17,MATCH(C23,Design!$B$15:$B$17,1)-1,0,2), OFFSET(Design!$B$15:$B$17,MATCH(C23,Design!$B$15:$B$17,1)-1,0,2))+(M23-25)*Design!$B$18/1000</f>
        <v>0.39518514002052574</v>
      </c>
      <c r="E23" s="173">
        <f ca="1">IF(100*(Design!$C$29+D23+C23*IF(ISBLANK(Design!$B$43),Constants!$C$6,Design!$B$43)/1000*(1+Constants!$C$36/100*(N23-25)))/($B23+D23-C23*O23/1000)&gt;Design!$C$36,Design!$C$37,100*(Design!$C$29+D23+C23*IF(ISBLANK(Design!$B$43),Constants!$C$6,Design!$B$43)/1000*(1+Constants!$C$36/100*(N23-25)))/($B23+D23-C23*O23/1000))</f>
        <v>69.592705111126833</v>
      </c>
      <c r="F23" s="115">
        <f ca="1">IF(($B23-C23*IF(ISBLANK(Design!$B$43),Constants!$C$6,Design!$B$43)/1000*(1+Constants!$C$36/100*(N23-25))-Design!$C$29)/(IF(ISBLANK(Design!$B$42),Design!$B$40,Design!$B$42)/1000000)*E23/100/(IF(ISBLANK(Design!$B$33),Design!$B$32,Design!$B$33)*1000000)&lt;0, 0, ($B23-C23*IF(ISBLANK(Design!$B$43),Constants!$C$6,Design!$B$43)/1000*(1+Constants!$C$36/100*(N23-25))-Design!$C$29)/(IF(ISBLANK(Design!$B$42),Design!$B$40,Design!$B$42)/1000000)*E23/100/(IF(ISBLANK(Design!$B$33),Design!$B$32,Design!$B$33)*1000000))</f>
        <v>0.28180762829862055</v>
      </c>
      <c r="G23" s="165">
        <f>B23*Constants!$C$21/1000+IF(ISBLANK(Design!$B$33),Design!$B$32,Design!$B$33)*1000000*Constants!$D$25/1000000000*(B23-Constants!$C$24)</f>
        <v>6.3534749999999959E-2</v>
      </c>
      <c r="H23" s="165">
        <f>B23*C23*(B23/(Constants!$C$26*1000000000)*IF(ISBLANK(Design!$B$33),Design!$B$32,Design!$B$33)*1000000/2+B23/(Constants!$C$27*1000000000)*IF(ISBLANK(Design!$B$33),Design!$B$32,Design!$B$33)*1000000/2)</f>
        <v>0.32639490285388106</v>
      </c>
      <c r="I23" s="165">
        <f t="shared" ca="1" si="1"/>
        <v>0.55956631982907301</v>
      </c>
      <c r="J23" s="165">
        <f>Constants!$D$25/1000000000*Constants!$C$24*IF(ISBLANK(Design!$B$33),Design!$B$32,Design!$B$33)*1000000</f>
        <v>6.8250000000000005E-2</v>
      </c>
      <c r="K23" s="165">
        <f t="shared" ca="1" si="4"/>
        <v>1.0177459726829541</v>
      </c>
      <c r="L23" s="165">
        <f t="shared" ca="1" si="5"/>
        <v>0.24033022176609523</v>
      </c>
      <c r="M23" s="166">
        <f ca="1">A23+L23*Design!$B$19</f>
        <v>97.016511088304767</v>
      </c>
      <c r="N23" s="166">
        <f ca="1">K23*Design!$C$12+A23</f>
        <v>119.60336307122043</v>
      </c>
      <c r="O23" s="166">
        <f ca="1">Constants!$D$22+Constants!$D$22*Constants!$C$23/100*(N23-25)</f>
        <v>200.68269045697633</v>
      </c>
      <c r="P23" s="165">
        <f ca="1">IF(100*(Design!$C$29+D23+C23*IF(ISBLANK(Design!$B$43),Constants!$C$6,Design!$B$43)/1000*(1+Constants!$C$36/100*(N23-25)))/($B23+D23-C23*O23/1000)&gt;Design!$C$36,  (1-Constants!$C$20/1000000000*IF(ISBLANK(Design!$B$33),Design!$B$32/4,Design!$B$33/4)*1000000) * ($B23+D23-C23*O23/1000) - (D23+C23*(1+($A23-25)*Constants!$C$36/100)*IF(ISBLANK(Design!$B$43),Constants!$C$6/1000,Design!$B$43/1000)),   (1-Constants!$C$20/1000000000*IF(ISBLANK(Design!$B$33),Design!$B$32,Design!$B$33)*1000000) * ($B23+D23-C23*O23/1000) - (D23+C23*(1+($A23-25)*Constants!$C$36/100)*IF(ISBLANK(Design!$B$43),Constants!$C$6/1000,Design!$B$43/1000)) )</f>
        <v>6.0030462920855223</v>
      </c>
      <c r="Q23" s="171">
        <f ca="1">IF(P23&gt;Design!$C$29,Design!$C$29,P23)</f>
        <v>4.99903317535545</v>
      </c>
      <c r="R23" s="181">
        <f>2*Design!$D$7/3</f>
        <v>1.3333333333333333</v>
      </c>
      <c r="S23" s="116">
        <f ca="1">FORECAST(R23, OFFSET(Design!$C$15:$C$17,MATCH(R23,Design!$B$15:$B$17,1)-1,0,2), OFFSET(Design!$B$15:$B$17,MATCH(R23,Design!$B$15:$B$17,1)-1,0,2))+(AB23-25)*Design!$B$18/1000</f>
        <v>0.35103387188427926</v>
      </c>
      <c r="T23" s="182">
        <f ca="1">IF(100*(Design!$C$29+S23+R23*IF(ISBLANK(Design!$B$43),Constants!$C$6,Design!$B$43)/1000*(1+Constants!$C$36/100*(AC23-25)))/($B23+S23-R23*AD23/1000)&gt;Design!$C$36,Design!$C$37,100*(Design!$C$29+S23+R23*IF(ISBLANK(Design!$B$43),Constants!$C$6,Design!$B$43)/1000*(1+Constants!$C$36/100*(AC23-25)))/($B23+S23-R23*AD23/1000))</f>
        <v>67.629049912025735</v>
      </c>
      <c r="U23" s="117">
        <f ca="1">IF(($B23-R23*IF(ISBLANK(Design!$B$43),Constants!$C$6,Design!$B$43)/1000*(1+Constants!$C$36/100*(AC23-25))-Design!$C$29)/(Design!$B$42/1000000)*T23/100/(IF(ISBLANK(IF(ISBLANK(Design!$B$42),Design!$B$40,Design!$B$42)),Design!$B$32,Design!$B$33)*1000000)&lt;0,0,($B23-R23*IF(ISBLANK(Design!$B$43),Constants!$C$6,Design!$B$43)/1000*(1+Constants!$C$36/100*(AC23-25))-Design!$C$29)/(IF(ISBLANK(Design!$B$42),Design!$B$40,Design!$B$42)/1000000)*T23/100/(IF(ISBLANK(Design!$B$33),Design!$B$32,Design!$B$33)*1000000))</f>
        <v>0.27773241042877184</v>
      </c>
      <c r="V23" s="183">
        <f>$B23*Constants!$C$21/1000+IF(ISBLANK(Design!$B$33),Design!$B$32,Design!$B$33)*1000000*Constants!$D$25/1000000000*($B23-Constants!$C$24)</f>
        <v>6.3534749999999959E-2</v>
      </c>
      <c r="W23" s="183">
        <f>$B23*R23*($B23/(Constants!$C$26*1000000000)*IF(ISBLANK(Design!$B$33),Design!$B$32,Design!$B$33)*1000000/2+$B23/(Constants!$C$27*1000000000)*IF(ISBLANK(Design!$B$33),Design!$B$32,Design!$B$33)*1000000/2)</f>
        <v>0.21759660190258734</v>
      </c>
      <c r="X23" s="183">
        <f t="shared" ca="1" si="2"/>
        <v>0.22768877198475984</v>
      </c>
      <c r="Y23" s="183">
        <f>Constants!$D$25/1000000000*Constants!$C$24*IF(ISBLANK(Design!$B$33),Design!$B$32,Design!$B$33)*1000000</f>
        <v>6.8250000000000005E-2</v>
      </c>
      <c r="Z23" s="183">
        <f t="shared" ca="1" si="10"/>
        <v>0.57707012388734713</v>
      </c>
      <c r="AA23" s="183">
        <f t="shared" ca="1" si="7"/>
        <v>0.15151066594605805</v>
      </c>
      <c r="AB23" s="184">
        <f ca="1">$A23+AA23*Design!$B$19</f>
        <v>92.575533297302897</v>
      </c>
      <c r="AC23" s="184">
        <f ca="1">Z23*Design!$C$12+$A23</f>
        <v>104.6203842121698</v>
      </c>
      <c r="AD23" s="184">
        <f ca="1">Constants!$D$22+Constants!$D$22*Constants!$C$23/100*(AC23-25)</f>
        <v>188.69630736973585</v>
      </c>
      <c r="AE23" s="183">
        <f ca="1">IF(100*(Design!$C$29+S23+R23*IF(ISBLANK(Design!$B$43),Constants!$C$6,Design!$B$43)/1000*(1+Constants!$C$36/100*(AC23-25)))/($B23+S23-R23*AD23/1000)&gt;Design!$C$36,  (1-Constants!$C$20/1000000000*IF(ISBLANK(Design!$B$33),Design!$B$32/4,Design!$B$33/4)*1000000) * ($B23+S23-R23*AD23/1000) - (S23+R23*(1+($A23-25)*Constants!$C$36/100)*IF(ISBLANK(Design!$B$43),Constants!$C$6/1000,Design!$B$43/1000)),   (1-Constants!$C$20/1000000000*IF(ISBLANK(Design!$B$33),Design!$B$32,Design!$B$33)*1000000) * ($B23+S23-R23*AD23/1000) - (S23+R23*(1+($A23-25)*Constants!$C$36/100)*IF(ISBLANK(Design!$B$43),Constants!$C$6/1000,Design!$B$43/1000)) )</f>
        <v>6.1669182651963377</v>
      </c>
      <c r="AF23" s="117">
        <f ca="1">IF(AE23&gt;Design!$C$29,Design!$C$29,AE23)</f>
        <v>4.99903317535545</v>
      </c>
      <c r="AG23" s="118">
        <f>Design!$D$7/3</f>
        <v>0.66666666666666663</v>
      </c>
      <c r="AH23" s="118">
        <f ca="1">FORECAST(AG23, OFFSET(Design!$C$15:$C$17,MATCH(AG23,Design!$B$15:$B$17,1)-1,0,2), OFFSET(Design!$B$15:$B$17,MATCH(AG23,Design!$B$15:$B$17,1)-1,0,2))+(AQ23-25)*Design!$B$18/1000</f>
        <v>0.30656876972792407</v>
      </c>
      <c r="AI23" s="194">
        <f ca="1">IF(100*(Design!$C$29+AH23+AG23*IF(ISBLANK(Design!$B$43),Constants!$C$6,Design!$B$43)/1000*(1+Constants!$C$36/100*(AR23-25)))/($B23+AH23-AG23*AS23/1000)&gt;Design!$C$36,Design!$C$37,100*(Design!$C$29+AH23+AG23*IF(ISBLANK(Design!$B$43),Constants!$C$6,Design!$B$43)/1000*(1+Constants!$C$36/100*(AR23-25)))/($B23+AH23-AG23*AS23/1000))</f>
        <v>65.913749373298145</v>
      </c>
      <c r="AJ23" s="119">
        <f ca="1">IF(($B23-AG23*IF(ISBLANK(Design!$B$43),Constants!$C$6,Design!$B$43)/1000*(1+Constants!$C$36/100*(AR23-25))-Design!$C$29)/(IF(ISBLANK(Design!$B$42),Design!$B$40,Design!$B$42)/1000000)*AI23/100/(IF(ISBLANK(Design!$B$33),Design!$B$32,Design!$B$33)*1000000)&lt;0,0,($B23-AG23*IF(ISBLANK(Design!$B$43),Constants!$C$6,Design!$B$43)/1000*(1+Constants!$C$36/100*(AR23-25))-Design!$C$29)/(IF(ISBLANK(Design!$B$42),Design!$B$40,Design!$B$42)/1000000)*AI23/100/(IF(ISBLANK(Design!$B$33),Design!$B$32,Design!$B$33)*1000000))</f>
        <v>0.27411400756494886</v>
      </c>
      <c r="AK23" s="195">
        <f>$B23*Constants!$C$21/1000+IF(ISBLANK(Design!$B$33),Design!$B$32,Design!$B$33)*1000000*Constants!$D$25/1000000000*($B23-Constants!$C$24)</f>
        <v>6.3534749999999959E-2</v>
      </c>
      <c r="AL23" s="195">
        <f>$B23*AG23*($B23/(Constants!$C$26*1000000000)*IF(ISBLANK(Design!$B$33),Design!$B$32,Design!$B$33)*1000000/2+$B23/(Constants!$C$27*1000000000)*IF(ISBLANK(Design!$B$33),Design!$B$32,Design!$B$33)*1000000/2)</f>
        <v>0.10879830095129367</v>
      </c>
      <c r="AM23" s="195">
        <f t="shared" ca="1" si="3"/>
        <v>5.3772901268290943E-2</v>
      </c>
      <c r="AN23" s="195">
        <f>Constants!$D$25/1000000000*Constants!$C$24*IF(ISBLANK(Design!$B$33),Design!$B$32,Design!$B$33)*1000000</f>
        <v>6.8250000000000005E-2</v>
      </c>
      <c r="AO23" s="195">
        <f t="shared" ca="1" si="11"/>
        <v>0.29435595221958455</v>
      </c>
      <c r="AP23" s="195">
        <f t="shared" ca="1" si="9"/>
        <v>6.9665199461771118E-2</v>
      </c>
      <c r="AQ23" s="196">
        <f ca="1">$A23+AP23*Design!$B$19</f>
        <v>88.483259973088551</v>
      </c>
      <c r="AR23" s="196">
        <f ca="1">AO23*Design!$C$12+$A23</f>
        <v>95.008102375465882</v>
      </c>
      <c r="AS23" s="196">
        <f ca="1">Constants!$D$22+Constants!$D$22*Constants!$C$23/100*(AR23-25)</f>
        <v>181.00648190037271</v>
      </c>
      <c r="AT23" s="195">
        <f ca="1">IF(100*(Design!$C$29+AH23+AG23*IF(ISBLANK(Design!$B$43),Constants!$C$6,Design!$B$43)/1000*(1+Constants!$C$36/100*(AR23-25)))/($B23+AH23-AG23*AS23/1000)&gt;Design!$C$36,  (1-Constants!$C$20/1000000000*IF(ISBLANK(Design!$B$33),Design!$B$32/4,Design!$B$33/4)*1000000) * ($B23+AH23-AG23*AS23/1000) - (AH23+AG23*(1+($A23-25)*Constants!$C$36/100)*IF(ISBLANK(Design!$B$43),Constants!$C$6/1000,Design!$B$43/1000)),   (1-Constants!$C$20/1000000000*IF(ISBLANK(Design!$B$33),Design!$B$32,Design!$B$33)*1000000) * ($B23+AH23-AG23*AS23/1000) - (AH23+AG23*(1+($A23-25)*Constants!$C$36/100)*IF(ISBLANK(Design!$B$43),Constants!$C$6/1000,Design!$B$43/1000)) )</f>
        <v>6.3153640913494593</v>
      </c>
      <c r="AU23" s="119">
        <f ca="1">IF(AT23&gt;Design!$C$29,Design!$C$29,AT23)</f>
        <v>4.99903317535545</v>
      </c>
    </row>
    <row r="24" spans="1:47" s="120" customFormat="1" ht="12.75" customHeight="1" x14ac:dyDescent="0.25">
      <c r="A24" s="112">
        <f>Design!$D$13</f>
        <v>85</v>
      </c>
      <c r="B24" s="113">
        <f t="shared" si="0"/>
        <v>7.6999999999999975</v>
      </c>
      <c r="C24" s="114">
        <f>Design!$D$7</f>
        <v>2</v>
      </c>
      <c r="D24" s="114">
        <f ca="1">FORECAST(C24, OFFSET(Design!$C$15:$C$17,MATCH(C24,Design!$B$15:$B$17,1)-1,0,2), OFFSET(Design!$B$15:$B$17,MATCH(C24,Design!$B$15:$B$17,1)-1,0,2))+(M24-25)*Design!$B$18/1000</f>
        <v>0.39585906183166786</v>
      </c>
      <c r="E24" s="173">
        <f ca="1">IF(100*(Design!$C$29+D24+C24*IF(ISBLANK(Design!$B$43),Constants!$C$6,Design!$B$43)/1000*(1+Constants!$C$36/100*(N24-25)))/($B24+D24-C24*O24/1000)&gt;Design!$C$36,Design!$C$37,100*(Design!$C$29+D24+C24*IF(ISBLANK(Design!$B$43),Constants!$C$6,Design!$B$43)/1000*(1+Constants!$C$36/100*(N24-25)))/($B24+D24-C24*O24/1000))</f>
        <v>71.536058758417298</v>
      </c>
      <c r="F24" s="115">
        <f ca="1">IF(($B24-C24*IF(ISBLANK(Design!$B$43),Constants!$C$6,Design!$B$43)/1000*(1+Constants!$C$36/100*(N24-25))-Design!$C$29)/(IF(ISBLANK(Design!$B$42),Design!$B$40,Design!$B$42)/1000000)*E24/100/(IF(ISBLANK(Design!$B$33),Design!$B$32,Design!$B$33)*1000000)&lt;0, 0, ($B24-C24*IF(ISBLANK(Design!$B$43),Constants!$C$6,Design!$B$43)/1000*(1+Constants!$C$36/100*(N24-25))-Design!$C$29)/(IF(ISBLANK(Design!$B$42),Design!$B$40,Design!$B$42)/1000000)*E24/100/(IF(ISBLANK(Design!$B$33),Design!$B$32,Design!$B$33)*1000000))</f>
        <v>0.26748991710287046</v>
      </c>
      <c r="G24" s="165">
        <f>B24*Constants!$C$21/1000+IF(ISBLANK(Design!$B$33),Design!$B$32,Design!$B$33)*1000000*Constants!$D$25/1000000000*(B24-Constants!$C$24)</f>
        <v>5.9954999999999967E-2</v>
      </c>
      <c r="H24" s="165">
        <f>B24*C24*(B24/(Constants!$C$26*1000000000)*IF(ISBLANK(Design!$B$33),Design!$B$32,Design!$B$33)*1000000/2+B24/(Constants!$C$27*1000000000)*IF(ISBLANK(Design!$B$33),Design!$B$32,Design!$B$33)*1000000/2)</f>
        <v>0.30890360730593586</v>
      </c>
      <c r="I24" s="165">
        <f t="shared" ca="1" si="1"/>
        <v>0.574629654556438</v>
      </c>
      <c r="J24" s="165">
        <f>Constants!$D$25/1000000000*Constants!$C$24*IF(ISBLANK(Design!$B$33),Design!$B$32,Design!$B$33)*1000000</f>
        <v>6.8250000000000005E-2</v>
      </c>
      <c r="K24" s="165">
        <f t="shared" ca="1" si="4"/>
        <v>1.0117382618623738</v>
      </c>
      <c r="L24" s="165">
        <f t="shared" ca="1" si="5"/>
        <v>0.22535418151849296</v>
      </c>
      <c r="M24" s="166">
        <f ca="1">A24+L24*Design!$B$19</f>
        <v>96.267709075924643</v>
      </c>
      <c r="N24" s="166">
        <f ca="1">K24*Design!$C$12+A24</f>
        <v>119.39910090332071</v>
      </c>
      <c r="O24" s="166">
        <f ca="1">Constants!$D$22+Constants!$D$22*Constants!$C$23/100*(N24-25)</f>
        <v>200.51928072265656</v>
      </c>
      <c r="P24" s="165">
        <f ca="1">IF(100*(Design!$C$29+D24+C24*IF(ISBLANK(Design!$B$43),Constants!$C$6,Design!$B$43)/1000*(1+Constants!$C$36/100*(N24-25)))/($B24+D24-C24*O24/1000)&gt;Design!$C$36,  (1-Constants!$C$20/1000000000*IF(ISBLANK(Design!$B$33),Design!$B$32/4,Design!$B$33/4)*1000000) * ($B24+D24-C24*O24/1000) - (D24+C24*(1+($A24-25)*Constants!$C$36/100)*IF(ISBLANK(Design!$B$43),Constants!$C$6/1000,Design!$B$43/1000)),   (1-Constants!$C$20/1000000000*IF(ISBLANK(Design!$B$33),Design!$B$32,Design!$B$33)*1000000) * ($B24+D24-C24*O24/1000) - (D24+C24*(1+($A24-25)*Constants!$C$36/100)*IF(ISBLANK(Design!$B$43),Constants!$C$6/1000,Design!$B$43/1000)) )</f>
        <v>5.8265719792357205</v>
      </c>
      <c r="Q24" s="171">
        <f ca="1">IF(P24&gt;Design!$C$29,Design!$C$29,P24)</f>
        <v>4.99903317535545</v>
      </c>
      <c r="R24" s="181">
        <f>2*Design!$D$7/3</f>
        <v>1.3333333333333333</v>
      </c>
      <c r="S24" s="116">
        <f ca="1">FORECAST(R24, OFFSET(Design!$C$15:$C$17,MATCH(R24,Design!$B$15:$B$17,1)-1,0,2), OFFSET(Design!$B$15:$B$17,MATCH(R24,Design!$B$15:$B$17,1)-1,0,2))+(AB24-25)*Design!$B$18/1000</f>
        <v>0.3514189744219185</v>
      </c>
      <c r="T24" s="182">
        <f ca="1">IF(100*(Design!$C$29+S24+R24*IF(ISBLANK(Design!$B$43),Constants!$C$6,Design!$B$43)/1000*(1+Constants!$C$36/100*(AC24-25)))/($B24+S24-R24*AD24/1000)&gt;Design!$C$36,Design!$C$37,100*(Design!$C$29+S24+R24*IF(ISBLANK(Design!$B$43),Constants!$C$6,Design!$B$43)/1000*(1+Constants!$C$36/100*(AC24-25)))/($B24+S24-R24*AD24/1000))</f>
        <v>69.490940547934258</v>
      </c>
      <c r="U24" s="117">
        <f ca="1">IF(($B24-R24*IF(ISBLANK(Design!$B$43),Constants!$C$6,Design!$B$43)/1000*(1+Constants!$C$36/100*(AC24-25))-Design!$C$29)/(Design!$B$42/1000000)*T24/100/(IF(ISBLANK(IF(ISBLANK(Design!$B$42),Design!$B$40,Design!$B$42)),Design!$B$32,Design!$B$33)*1000000)&lt;0,0,($B24-R24*IF(ISBLANK(Design!$B$43),Constants!$C$6,Design!$B$43)/1000*(1+Constants!$C$36/100*(AC24-25))-Design!$C$29)/(IF(ISBLANK(Design!$B$42),Design!$B$40,Design!$B$42)/1000000)*T24/100/(IF(ISBLANK(Design!$B$33),Design!$B$32,Design!$B$33)*1000000))</f>
        <v>0.2638260996197716</v>
      </c>
      <c r="V24" s="183">
        <f>$B24*Constants!$C$21/1000+IF(ISBLANK(Design!$B$33),Design!$B$32,Design!$B$33)*1000000*Constants!$D$25/1000000000*($B24-Constants!$C$24)</f>
        <v>5.9954999999999967E-2</v>
      </c>
      <c r="W24" s="183">
        <f>$B24*R24*($B24/(Constants!$C$26*1000000000)*IF(ISBLANK(Design!$B$33),Design!$B$32,Design!$B$33)*1000000/2+$B24/(Constants!$C$27*1000000000)*IF(ISBLANK(Design!$B$33),Design!$B$32,Design!$B$33)*1000000/2)</f>
        <v>0.20593573820395722</v>
      </c>
      <c r="X24" s="183">
        <f t="shared" ca="1" si="2"/>
        <v>0.23355906607066226</v>
      </c>
      <c r="Y24" s="183">
        <f>Constants!$D$25/1000000000*Constants!$C$24*IF(ISBLANK(Design!$B$33),Design!$B$32,Design!$B$33)*1000000</f>
        <v>6.8250000000000005E-2</v>
      </c>
      <c r="Z24" s="183">
        <f t="shared" ca="1" si="10"/>
        <v>0.56769980427461952</v>
      </c>
      <c r="AA24" s="183">
        <f t="shared" ca="1" si="7"/>
        <v>0.14295283177629711</v>
      </c>
      <c r="AB24" s="184">
        <f ca="1">$A24+AA24*Design!$B$19</f>
        <v>92.147641588814849</v>
      </c>
      <c r="AC24" s="184">
        <f ca="1">Z24*Design!$C$12+$A24</f>
        <v>104.30179334533706</v>
      </c>
      <c r="AD24" s="184">
        <f ca="1">Constants!$D$22+Constants!$D$22*Constants!$C$23/100*(AC24-25)</f>
        <v>188.44143467626964</v>
      </c>
      <c r="AE24" s="183">
        <f ca="1">IF(100*(Design!$C$29+S24+R24*IF(ISBLANK(Design!$B$43),Constants!$C$6,Design!$B$43)/1000*(1+Constants!$C$36/100*(AC24-25)))/($B24+S24-R24*AD24/1000)&gt;Design!$C$36,  (1-Constants!$C$20/1000000000*IF(ISBLANK(Design!$B$33),Design!$B$32/4,Design!$B$33/4)*1000000) * ($B24+S24-R24*AD24/1000) - (S24+R24*(1+($A24-25)*Constants!$C$36/100)*IF(ISBLANK(Design!$B$43),Constants!$C$6/1000,Design!$B$43/1000)),   (1-Constants!$C$20/1000000000*IF(ISBLANK(Design!$B$33),Design!$B$32,Design!$B$33)*1000000) * ($B24+S24-R24*AD24/1000) - (S24+R24*(1+($A24-25)*Constants!$C$36/100)*IF(ISBLANK(Design!$B$43),Constants!$C$6/1000,Design!$B$43/1000)) )</f>
        <v>5.990506194950278</v>
      </c>
      <c r="AF24" s="117">
        <f ca="1">IF(AE24&gt;Design!$C$29,Design!$C$29,AE24)</f>
        <v>4.99903317535545</v>
      </c>
      <c r="AG24" s="118">
        <f>Design!$D$7/3</f>
        <v>0.66666666666666663</v>
      </c>
      <c r="AH24" s="118">
        <f ca="1">FORECAST(AG24, OFFSET(Design!$C$15:$C$17,MATCH(AG24,Design!$B$15:$B$17,1)-1,0,2), OFFSET(Design!$B$15:$B$17,MATCH(AG24,Design!$B$15:$B$17,1)-1,0,2))+(AQ24-25)*Design!$B$18/1000</f>
        <v>0.30673237413912435</v>
      </c>
      <c r="AI24" s="194">
        <f ca="1">IF(100*(Design!$C$29+AH24+AG24*IF(ISBLANK(Design!$B$43),Constants!$C$6,Design!$B$43)/1000*(1+Constants!$C$36/100*(AR24-25)))/($B24+AH24-AG24*AS24/1000)&gt;Design!$C$36,Design!$C$37,100*(Design!$C$29+AH24+AG24*IF(ISBLANK(Design!$B$43),Constants!$C$6,Design!$B$43)/1000*(1+Constants!$C$36/100*(AR24-25)))/($B24+AH24-AG24*AS24/1000))</f>
        <v>67.709858114165201</v>
      </c>
      <c r="AJ24" s="119">
        <f ca="1">IF(($B24-AG24*IF(ISBLANK(Design!$B$43),Constants!$C$6,Design!$B$43)/1000*(1+Constants!$C$36/100*(AR24-25))-Design!$C$29)/(IF(ISBLANK(Design!$B$42),Design!$B$40,Design!$B$42)/1000000)*AI24/100/(IF(ISBLANK(Design!$B$33),Design!$B$32,Design!$B$33)*1000000)&lt;0,0,($B24-AG24*IF(ISBLANK(Design!$B$43),Constants!$C$6,Design!$B$43)/1000*(1+Constants!$C$36/100*(AR24-25))-Design!$C$29)/(IF(ISBLANK(Design!$B$42),Design!$B$40,Design!$B$42)/1000000)*AI24/100/(IF(ISBLANK(Design!$B$33),Design!$B$32,Design!$B$33)*1000000))</f>
        <v>0.26057959315840534</v>
      </c>
      <c r="AK24" s="195">
        <f>$B24*Constants!$C$21/1000+IF(ISBLANK(Design!$B$33),Design!$B$32,Design!$B$33)*1000000*Constants!$D$25/1000000000*($B24-Constants!$C$24)</f>
        <v>5.9954999999999967E-2</v>
      </c>
      <c r="AL24" s="195">
        <f>$B24*AG24*($B24/(Constants!$C$26*1000000000)*IF(ISBLANK(Design!$B$33),Design!$B$32,Design!$B$33)*1000000/2+$B24/(Constants!$C$27*1000000000)*IF(ISBLANK(Design!$B$33),Design!$B$32,Design!$B$33)*1000000/2)</f>
        <v>0.10296786910197861</v>
      </c>
      <c r="AM24" s="195">
        <f t="shared" ca="1" si="3"/>
        <v>5.5097240149960022E-2</v>
      </c>
      <c r="AN24" s="195">
        <f>Constants!$D$25/1000000000*Constants!$C$24*IF(ISBLANK(Design!$B$33),Design!$B$32,Design!$B$33)*1000000</f>
        <v>6.8250000000000005E-2</v>
      </c>
      <c r="AO24" s="195">
        <f t="shared" ca="1" si="11"/>
        <v>0.28627010925193863</v>
      </c>
      <c r="AP24" s="195">
        <f t="shared" ca="1" si="9"/>
        <v>6.6029545879541934E-2</v>
      </c>
      <c r="AQ24" s="196">
        <f ca="1">$A24+AP24*Design!$B$19</f>
        <v>88.301477293977101</v>
      </c>
      <c r="AR24" s="196">
        <f ca="1">AO24*Design!$C$12+$A24</f>
        <v>94.733183714565911</v>
      </c>
      <c r="AS24" s="196">
        <f ca="1">Constants!$D$22+Constants!$D$22*Constants!$C$23/100*(AR24-25)</f>
        <v>180.78654697165274</v>
      </c>
      <c r="AT24" s="195">
        <f ca="1">IF(100*(Design!$C$29+AH24+AG24*IF(ISBLANK(Design!$B$43),Constants!$C$6,Design!$B$43)/1000*(1+Constants!$C$36/100*(AR24-25)))/($B24+AH24-AG24*AS24/1000)&gt;Design!$C$36,  (1-Constants!$C$20/1000000000*IF(ISBLANK(Design!$B$33),Design!$B$32/4,Design!$B$33/4)*1000000) * ($B24+AH24-AG24*AS24/1000) - (AH24+AG24*(1+($A24-25)*Constants!$C$36/100)*IF(ISBLANK(Design!$B$43),Constants!$C$6/1000,Design!$B$43/1000)),   (1-Constants!$C$20/1000000000*IF(ISBLANK(Design!$B$33),Design!$B$32,Design!$B$33)*1000000) * ($B24+AH24-AG24*AS24/1000) - (AH24+AG24*(1+($A24-25)*Constants!$C$36/100)*IF(ISBLANK(Design!$B$43),Constants!$C$6/1000,Design!$B$43/1000)) )</f>
        <v>6.1388328389913562</v>
      </c>
      <c r="AU24" s="119">
        <f ca="1">IF(AT24&gt;Design!$C$29,Design!$C$29,AT24)</f>
        <v>4.99903317535545</v>
      </c>
    </row>
    <row r="25" spans="1:47" s="120" customFormat="1" ht="12.75" customHeight="1" x14ac:dyDescent="0.25">
      <c r="A25" s="112">
        <f>Design!$D$13</f>
        <v>85</v>
      </c>
      <c r="B25" s="113">
        <f t="shared" si="0"/>
        <v>7.4849999999999977</v>
      </c>
      <c r="C25" s="114">
        <f>Design!$D$7</f>
        <v>2</v>
      </c>
      <c r="D25" s="114">
        <f ca="1">FORECAST(C25, OFFSET(Design!$C$15:$C$17,MATCH(C25,Design!$B$15:$B$17,1)-1,0,2), OFFSET(Design!$B$15:$B$17,MATCH(C25,Design!$B$15:$B$17,1)-1,0,2))+(M25-25)*Design!$B$18/1000</f>
        <v>0.39657444326956831</v>
      </c>
      <c r="E25" s="173">
        <f ca="1">IF(100*(Design!$C$29+D25+C25*IF(ISBLANK(Design!$B$43),Constants!$C$6,Design!$B$43)/1000*(1+Constants!$C$36/100*(N25-25)))/($B25+D25-C25*O25/1000)&gt;Design!$C$36,Design!$C$37,100*(Design!$C$29+D25+C25*IF(ISBLANK(Design!$B$43),Constants!$C$6,Design!$B$43)/1000*(1+Constants!$C$36/100*(N25-25)))/($B25+D25-C25*O25/1000))</f>
        <v>73.591740493292576</v>
      </c>
      <c r="F25" s="115">
        <f ca="1">IF(($B25-C25*IF(ISBLANK(Design!$B$43),Constants!$C$6,Design!$B$43)/1000*(1+Constants!$C$36/100*(N25-25))-Design!$C$29)/(IF(ISBLANK(Design!$B$42),Design!$B$40,Design!$B$42)/1000000)*E25/100/(IF(ISBLANK(Design!$B$33),Design!$B$32,Design!$B$33)*1000000)&lt;0, 0, ($B25-C25*IF(ISBLANK(Design!$B$43),Constants!$C$6,Design!$B$43)/1000*(1+Constants!$C$36/100*(N25-25))-Design!$C$29)/(IF(ISBLANK(Design!$B$42),Design!$B$40,Design!$B$42)/1000000)*E25/100/(IF(ISBLANK(Design!$B$33),Design!$B$32,Design!$B$33)*1000000))</f>
        <v>0.25235024602324058</v>
      </c>
      <c r="G25" s="165">
        <f>B25*Constants!$C$21/1000+IF(ISBLANK(Design!$B$33),Design!$B$32,Design!$B$33)*1000000*Constants!$D$25/1000000000*(B25-Constants!$C$24)</f>
        <v>5.637524999999996E-2</v>
      </c>
      <c r="H25" s="165">
        <f>B25*C25*(B25/(Constants!$C$26*1000000000)*IF(ISBLANK(Design!$B$33),Design!$B$32,Design!$B$33)*1000000/2+B25/(Constants!$C$27*1000000000)*IF(ISBLANK(Design!$B$33),Design!$B$32,Design!$B$33)*1000000/2)</f>
        <v>0.29189398047945186</v>
      </c>
      <c r="I25" s="165">
        <f t="shared" ca="1" si="1"/>
        <v>0.59068183938510987</v>
      </c>
      <c r="J25" s="165">
        <f>Constants!$D$25/1000000000*Constants!$C$24*IF(ISBLANK(Design!$B$33),Design!$B$32,Design!$B$33)*1000000</f>
        <v>6.8250000000000005E-2</v>
      </c>
      <c r="K25" s="165">
        <f t="shared" ca="1" si="4"/>
        <v>1.0072010698645617</v>
      </c>
      <c r="L25" s="165">
        <f t="shared" ca="1" si="5"/>
        <v>0.20945681623181561</v>
      </c>
      <c r="M25" s="166">
        <f ca="1">A25+L25*Design!$B$19</f>
        <v>95.472840811590785</v>
      </c>
      <c r="N25" s="166">
        <f ca="1">K25*Design!$C$12+A25</f>
        <v>119.2448363753951</v>
      </c>
      <c r="O25" s="166">
        <f ca="1">Constants!$D$22+Constants!$D$22*Constants!$C$23/100*(N25-25)</f>
        <v>200.39586910031608</v>
      </c>
      <c r="P25" s="165">
        <f ca="1">IF(100*(Design!$C$29+D25+C25*IF(ISBLANK(Design!$B$43),Constants!$C$6,Design!$B$43)/1000*(1+Constants!$C$36/100*(N25-25)))/($B25+D25-C25*O25/1000)&gt;Design!$C$36,  (1-Constants!$C$20/1000000000*IF(ISBLANK(Design!$B$33),Design!$B$32/4,Design!$B$33/4)*1000000) * ($B25+D25-C25*O25/1000) - (D25+C25*(1+($A25-25)*Constants!$C$36/100)*IF(ISBLANK(Design!$B$43),Constants!$C$6/1000,Design!$B$43/1000)),   (1-Constants!$C$20/1000000000*IF(ISBLANK(Design!$B$33),Design!$B$32,Design!$B$33)*1000000) * ($B25+D25-C25*O25/1000) - (D25+C25*(1+($A25-25)*Constants!$C$36/100)*IF(ISBLANK(Design!$B$43),Constants!$C$6/1000,Design!$B$43/1000)) )</f>
        <v>5.6500245489445602</v>
      </c>
      <c r="Q25" s="171">
        <f ca="1">IF(P25&gt;Design!$C$29,Design!$C$29,P25)</f>
        <v>4.99903317535545</v>
      </c>
      <c r="R25" s="181">
        <f>2*Design!$D$7/3</f>
        <v>1.3333333333333333</v>
      </c>
      <c r="S25" s="116">
        <f ca="1">FORECAST(R25, OFFSET(Design!$C$15:$C$17,MATCH(R25,Design!$B$15:$B$17,1)-1,0,2), OFFSET(Design!$B$15:$B$17,MATCH(R25,Design!$B$15:$B$17,1)-1,0,2))+(AB25-25)*Design!$B$18/1000</f>
        <v>0.35182683057736186</v>
      </c>
      <c r="T25" s="182">
        <f ca="1">IF(100*(Design!$C$29+S25+R25*IF(ISBLANK(Design!$B$43),Constants!$C$6,Design!$B$43)/1000*(1+Constants!$C$36/100*(AC25-25)))/($B25+S25-R25*AD25/1000)&gt;Design!$C$36,Design!$C$37,100*(Design!$C$29+S25+R25*IF(ISBLANK(Design!$B$43),Constants!$C$6,Design!$B$43)/1000*(1+Constants!$C$36/100*(AC25-25)))/($B25+S25-R25*AD25/1000))</f>
        <v>71.458395860056569</v>
      </c>
      <c r="U25" s="117">
        <f ca="1">IF(($B25-R25*IF(ISBLANK(Design!$B$43),Constants!$C$6,Design!$B$43)/1000*(1+Constants!$C$36/100*(AC25-25))-Design!$C$29)/(Design!$B$42/1000000)*T25/100/(IF(ISBLANK(IF(ISBLANK(Design!$B$42),Design!$B$40,Design!$B$42)),Design!$B$32,Design!$B$33)*1000000)&lt;0,0,($B25-R25*IF(ISBLANK(Design!$B$43),Constants!$C$6,Design!$B$43)/1000*(1+Constants!$C$36/100*(AC25-25))-Design!$C$29)/(IF(ISBLANK(Design!$B$42),Design!$B$40,Design!$B$42)/1000000)*T25/100/(IF(ISBLANK(Design!$B$33),Design!$B$32,Design!$B$33)*1000000))</f>
        <v>0.24913240522530331</v>
      </c>
      <c r="V25" s="183">
        <f>$B25*Constants!$C$21/1000+IF(ISBLANK(Design!$B$33),Design!$B$32,Design!$B$33)*1000000*Constants!$D$25/1000000000*($B25-Constants!$C$24)</f>
        <v>5.637524999999996E-2</v>
      </c>
      <c r="W25" s="183">
        <f>$B25*R25*($B25/(Constants!$C$26*1000000000)*IF(ISBLANK(Design!$B$33),Design!$B$32,Design!$B$33)*1000000/2+$B25/(Constants!$C$27*1000000000)*IF(ISBLANK(Design!$B$33),Design!$B$32,Design!$B$33)*1000000/2)</f>
        <v>0.19459598698630126</v>
      </c>
      <c r="X25" s="183">
        <f t="shared" ca="1" si="2"/>
        <v>0.23978586245077343</v>
      </c>
      <c r="Y25" s="183">
        <f>Constants!$D$25/1000000000*Constants!$C$24*IF(ISBLANK(Design!$B$33),Design!$B$32,Design!$B$33)*1000000</f>
        <v>6.8250000000000005E-2</v>
      </c>
      <c r="Z25" s="183">
        <f t="shared" ca="1" si="10"/>
        <v>0.55900709943707461</v>
      </c>
      <c r="AA25" s="183">
        <f t="shared" ca="1" si="7"/>
        <v>0.13388936165533344</v>
      </c>
      <c r="AB25" s="184">
        <f ca="1">$A25+AA25*Design!$B$19</f>
        <v>91.694468082766676</v>
      </c>
      <c r="AC25" s="184">
        <f ca="1">Z25*Design!$C$12+$A25</f>
        <v>104.00624138086053</v>
      </c>
      <c r="AD25" s="184">
        <f ca="1">Constants!$D$22+Constants!$D$22*Constants!$C$23/100*(AC25-25)</f>
        <v>188.20499310468841</v>
      </c>
      <c r="AE25" s="183">
        <f ca="1">IF(100*(Design!$C$29+S25+R25*IF(ISBLANK(Design!$B$43),Constants!$C$6,Design!$B$43)/1000*(1+Constants!$C$36/100*(AC25-25)))/($B25+S25-R25*AD25/1000)&gt;Design!$C$36,  (1-Constants!$C$20/1000000000*IF(ISBLANK(Design!$B$33),Design!$B$32/4,Design!$B$33/4)*1000000) * ($B25+S25-R25*AD25/1000) - (S25+R25*(1+($A25-25)*Constants!$C$36/100)*IF(ISBLANK(Design!$B$43),Constants!$C$6/1000,Design!$B$43/1000)),   (1-Constants!$C$20/1000000000*IF(ISBLANK(Design!$B$33),Design!$B$32,Design!$B$33)*1000000) * ($B25+S25-R25*AD25/1000) - (S25+R25*(1+($A25-25)*Constants!$C$36/100)*IF(ISBLANK(Design!$B$43),Constants!$C$6/1000,Design!$B$43/1000)) )</f>
        <v>5.8140698749612696</v>
      </c>
      <c r="AF25" s="117">
        <f ca="1">IF(AE25&gt;Design!$C$29,Design!$C$29,AE25)</f>
        <v>4.99903317535545</v>
      </c>
      <c r="AG25" s="118">
        <f>Design!$D$7/3</f>
        <v>0.66666666666666663</v>
      </c>
      <c r="AH25" s="118">
        <f ca="1">FORECAST(AG25, OFFSET(Design!$C$15:$C$17,MATCH(AG25,Design!$B$15:$B$17,1)-1,0,2), OFFSET(Design!$B$15:$B$17,MATCH(AG25,Design!$B$15:$B$17,1)-1,0,2))+(AQ25-25)*Design!$B$18/1000</f>
        <v>0.30690533318973728</v>
      </c>
      <c r="AI25" s="194">
        <f ca="1">IF(100*(Design!$C$29+AH25+AG25*IF(ISBLANK(Design!$B$43),Constants!$C$6,Design!$B$43)/1000*(1+Constants!$C$36/100*(AR25-25)))/($B25+AH25-AG25*AS25/1000)&gt;Design!$C$36,Design!$C$37,100*(Design!$C$29+AH25+AG25*IF(ISBLANK(Design!$B$43),Constants!$C$6,Design!$B$43)/1000*(1+Constants!$C$36/100*(AR25-25)))/($B25+AH25-AG25*AS25/1000))</f>
        <v>69.606583188781372</v>
      </c>
      <c r="AJ25" s="119">
        <f ca="1">IF(($B25-AG25*IF(ISBLANK(Design!$B$43),Constants!$C$6,Design!$B$43)/1000*(1+Constants!$C$36/100*(AR25-25))-Design!$C$29)/(IF(ISBLANK(Design!$B$42),Design!$B$40,Design!$B$42)/1000000)*AI25/100/(IF(ISBLANK(Design!$B$33),Design!$B$32,Design!$B$33)*1000000)&lt;0,0,($B25-AG25*IF(ISBLANK(Design!$B$43),Constants!$C$6,Design!$B$43)/1000*(1+Constants!$C$36/100*(AR25-25))-Design!$C$29)/(IF(ISBLANK(Design!$B$42),Design!$B$40,Design!$B$42)/1000000)*AI25/100/(IF(ISBLANK(Design!$B$33),Design!$B$32,Design!$B$33)*1000000))</f>
        <v>0.24628678242831128</v>
      </c>
      <c r="AK25" s="195">
        <f>$B25*Constants!$C$21/1000+IF(ISBLANK(Design!$B$33),Design!$B$32,Design!$B$33)*1000000*Constants!$D$25/1000000000*($B25-Constants!$C$24)</f>
        <v>5.637524999999996E-2</v>
      </c>
      <c r="AL25" s="195">
        <f>$B25*AG25*($B25/(Constants!$C$26*1000000000)*IF(ISBLANK(Design!$B$33),Design!$B$32,Design!$B$33)*1000000/2+$B25/(Constants!$C$27*1000000000)*IF(ISBLANK(Design!$B$33),Design!$B$32,Design!$B$33)*1000000/2)</f>
        <v>9.7297993493150631E-2</v>
      </c>
      <c r="AM25" s="195">
        <f t="shared" ca="1" si="3"/>
        <v>5.6497885352095142E-2</v>
      </c>
      <c r="AN25" s="195">
        <f>Constants!$D$25/1000000000*Constants!$C$24*IF(ISBLANK(Design!$B$33),Design!$B$32,Design!$B$33)*1000000</f>
        <v>6.8250000000000005E-2</v>
      </c>
      <c r="AO25" s="195">
        <f t="shared" ca="1" si="11"/>
        <v>0.27842112884524572</v>
      </c>
      <c r="AP25" s="195">
        <f t="shared" ca="1" si="9"/>
        <v>6.2186011421477443E-2</v>
      </c>
      <c r="AQ25" s="196">
        <f ca="1">$A25+AP25*Design!$B$19</f>
        <v>88.109300571073874</v>
      </c>
      <c r="AR25" s="196">
        <f ca="1">AO25*Design!$C$12+$A25</f>
        <v>94.466318380738358</v>
      </c>
      <c r="AS25" s="196">
        <f ca="1">Constants!$D$22+Constants!$D$22*Constants!$C$23/100*(AR25-25)</f>
        <v>180.57305470459067</v>
      </c>
      <c r="AT25" s="195">
        <f ca="1">IF(100*(Design!$C$29+AH25+AG25*IF(ISBLANK(Design!$B$43),Constants!$C$6,Design!$B$43)/1000*(1+Constants!$C$36/100*(AR25-25)))/($B25+AH25-AG25*AS25/1000)&gt;Design!$C$36,  (1-Constants!$C$20/1000000000*IF(ISBLANK(Design!$B$33),Design!$B$32/4,Design!$B$33/4)*1000000) * ($B25+AH25-AG25*AS25/1000) - (AH25+AG25*(1+($A25-25)*Constants!$C$36/100)*IF(ISBLANK(Design!$B$43),Constants!$C$6/1000,Design!$B$43/1000)),   (1-Constants!$C$20/1000000000*IF(ISBLANK(Design!$B$33),Design!$B$32,Design!$B$33)*1000000) * ($B25+AH25-AG25*AS25/1000) - (AH25+AG25*(1+($A25-25)*Constants!$C$36/100)*IF(ISBLANK(Design!$B$43),Constants!$C$6/1000,Design!$B$43/1000)) )</f>
        <v>5.9622963883990829</v>
      </c>
      <c r="AU25" s="119">
        <f ca="1">IF(AT25&gt;Design!$C$29,Design!$C$29,AT25)</f>
        <v>4.99903317535545</v>
      </c>
    </row>
    <row r="26" spans="1:47" s="120" customFormat="1" ht="12.75" customHeight="1" x14ac:dyDescent="0.25">
      <c r="A26" s="112">
        <f>Design!$D$13</f>
        <v>85</v>
      </c>
      <c r="B26" s="113">
        <f t="shared" si="0"/>
        <v>7.2699999999999978</v>
      </c>
      <c r="C26" s="114">
        <f>Design!$D$7</f>
        <v>2</v>
      </c>
      <c r="D26" s="114">
        <f ca="1">FORECAST(C26, OFFSET(Design!$C$15:$C$17,MATCH(C26,Design!$B$15:$B$17,1)-1,0,2), OFFSET(Design!$B$15:$B$17,MATCH(C26,Design!$B$15:$B$17,1)-1,0,2))+(M26-25)*Design!$B$18/1000</f>
        <v>0.39733523578928664</v>
      </c>
      <c r="E26" s="173">
        <f ca="1">IF(100*(Design!$C$29+D26+C26*IF(ISBLANK(Design!$B$43),Constants!$C$6,Design!$B$43)/1000*(1+Constants!$C$36/100*(N26-25)))/($B26+D26-C26*O26/1000)&gt;Design!$C$36,Design!$C$37,100*(Design!$C$29+D26+C26*IF(ISBLANK(Design!$B$43),Constants!$C$6,Design!$B$43)/1000*(1+Constants!$C$36/100*(N26-25)))/($B26+D26-C26*O26/1000))</f>
        <v>75.769791041670572</v>
      </c>
      <c r="F26" s="115">
        <f ca="1">IF(($B26-C26*IF(ISBLANK(Design!$B$43),Constants!$C$6,Design!$B$43)/1000*(1+Constants!$C$36/100*(N26-25))-Design!$C$29)/(IF(ISBLANK(Design!$B$42),Design!$B$40,Design!$B$42)/1000000)*E26/100/(IF(ISBLANK(Design!$B$33),Design!$B$32,Design!$B$33)*1000000)&lt;0, 0, ($B26-C26*IF(ISBLANK(Design!$B$43),Constants!$C$6,Design!$B$43)/1000*(1+Constants!$C$36/100*(N26-25))-Design!$C$29)/(IF(ISBLANK(Design!$B$42),Design!$B$40,Design!$B$42)/1000000)*E26/100/(IF(ISBLANK(Design!$B$33),Design!$B$32,Design!$B$33)*1000000))</f>
        <v>0.23631515349258617</v>
      </c>
      <c r="G26" s="165">
        <f>B26*Constants!$C$21/1000+IF(ISBLANK(Design!$B$33),Design!$B$32,Design!$B$33)*1000000*Constants!$D$25/1000000000*(B26-Constants!$C$24)</f>
        <v>5.2795499999999967E-2</v>
      </c>
      <c r="H26" s="165">
        <f>B26*C26*(B26/(Constants!$C$26*1000000000)*IF(ISBLANK(Design!$B$33),Design!$B$32,Design!$B$33)*1000000/2+B26/(Constants!$C$27*1000000000)*IF(ISBLANK(Design!$B$33),Design!$B$32,Design!$B$33)*1000000/2)</f>
        <v>0.27536602237442909</v>
      </c>
      <c r="I26" s="165">
        <f t="shared" ca="1" si="1"/>
        <v>0.60781962882289065</v>
      </c>
      <c r="J26" s="165">
        <f>Constants!$D$25/1000000000*Constants!$C$24*IF(ISBLANK(Design!$B$33),Design!$B$32,Design!$B$33)*1000000</f>
        <v>6.8250000000000005E-2</v>
      </c>
      <c r="K26" s="165">
        <f t="shared" ca="1" si="4"/>
        <v>1.0042311511973196</v>
      </c>
      <c r="L26" s="165">
        <f t="shared" ca="1" si="5"/>
        <v>0.19255031579363016</v>
      </c>
      <c r="M26" s="166">
        <f ca="1">A26+L26*Design!$B$19</f>
        <v>94.62751578968151</v>
      </c>
      <c r="N26" s="166">
        <f ca="1">K26*Design!$C$12+A26</f>
        <v>119.14385914070887</v>
      </c>
      <c r="O26" s="166">
        <f ca="1">Constants!$D$22+Constants!$D$22*Constants!$C$23/100*(N26-25)</f>
        <v>200.3150873125671</v>
      </c>
      <c r="P26" s="165">
        <f ca="1">IF(100*(Design!$C$29+D26+C26*IF(ISBLANK(Design!$B$43),Constants!$C$6,Design!$B$43)/1000*(1+Constants!$C$36/100*(N26-25)))/($B26+D26-C26*O26/1000)&gt;Design!$C$36,  (1-Constants!$C$20/1000000000*IF(ISBLANK(Design!$B$33),Design!$B$32/4,Design!$B$33/4)*1000000) * ($B26+D26-C26*O26/1000) - (D26+C26*(1+($A26-25)*Constants!$C$36/100)*IF(ISBLANK(Design!$B$43),Constants!$C$6/1000,Design!$B$43/1000)),   (1-Constants!$C$20/1000000000*IF(ISBLANK(Design!$B$33),Design!$B$32,Design!$B$33)*1000000) * ($B26+D26-C26*O26/1000) - (D26+C26*(1+($A26-25)*Constants!$C$36/100)*IF(ISBLANK(Design!$B$43),Constants!$C$6/1000,Design!$B$43/1000)) )</f>
        <v>5.4733989719570628</v>
      </c>
      <c r="Q26" s="171">
        <f ca="1">IF(P26&gt;Design!$C$29,Design!$C$29,P26)</f>
        <v>4.99903317535545</v>
      </c>
      <c r="R26" s="181">
        <f>2*Design!$D$7/3</f>
        <v>1.3333333333333333</v>
      </c>
      <c r="S26" s="116">
        <f ca="1">FORECAST(R26, OFFSET(Design!$C$15:$C$17,MATCH(R26,Design!$B$15:$B$17,1)-1,0,2), OFFSET(Design!$B$15:$B$17,MATCH(R26,Design!$B$15:$B$17,1)-1,0,2))+(AB26-25)*Design!$B$18/1000</f>
        <v>0.35225951617881252</v>
      </c>
      <c r="T26" s="182">
        <f ca="1">IF(100*(Design!$C$29+S26+R26*IF(ISBLANK(Design!$B$43),Constants!$C$6,Design!$B$43)/1000*(1+Constants!$C$36/100*(AC26-25)))/($B26+S26-R26*AD26/1000)&gt;Design!$C$36,Design!$C$37,100*(Design!$C$29+S26+R26*IF(ISBLANK(Design!$B$43),Constants!$C$6,Design!$B$43)/1000*(1+Constants!$C$36/100*(AC26-25)))/($B26+S26-R26*AD26/1000))</f>
        <v>73.540645385051093</v>
      </c>
      <c r="U26" s="117">
        <f ca="1">IF(($B26-R26*IF(ISBLANK(Design!$B$43),Constants!$C$6,Design!$B$43)/1000*(1+Constants!$C$36/100*(AC26-25))-Design!$C$29)/(Design!$B$42/1000000)*T26/100/(IF(ISBLANK(IF(ISBLANK(Design!$B$42),Design!$B$40,Design!$B$42)),Design!$B$32,Design!$B$33)*1000000)&lt;0,0,($B26-R26*IF(ISBLANK(Design!$B$43),Constants!$C$6,Design!$B$43)/1000*(1+Constants!$C$36/100*(AC26-25))-Design!$C$29)/(IF(ISBLANK(Design!$B$42),Design!$B$40,Design!$B$42)/1000000)*T26/100/(IF(ISBLANK(Design!$B$33),Design!$B$32,Design!$B$33)*1000000))</f>
        <v>0.23358235200952501</v>
      </c>
      <c r="V26" s="183">
        <f>$B26*Constants!$C$21/1000+IF(ISBLANK(Design!$B$33),Design!$B$32,Design!$B$33)*1000000*Constants!$D$25/1000000000*($B26-Constants!$C$24)</f>
        <v>5.2795499999999967E-2</v>
      </c>
      <c r="W26" s="183">
        <f>$B26*R26*($B26/(Constants!$C$26*1000000000)*IF(ISBLANK(Design!$B$33),Design!$B$32,Design!$B$33)*1000000/2+$B26/(Constants!$C$27*1000000000)*IF(ISBLANK(Design!$B$33),Design!$B$32,Design!$B$33)*1000000/2)</f>
        <v>0.18357734824961935</v>
      </c>
      <c r="X26" s="183">
        <f t="shared" ca="1" si="2"/>
        <v>0.24640189818475852</v>
      </c>
      <c r="Y26" s="183">
        <f>Constants!$D$25/1000000000*Constants!$C$24*IF(ISBLANK(Design!$B$33),Design!$B$32,Design!$B$33)*1000000</f>
        <v>6.8250000000000005E-2</v>
      </c>
      <c r="Z26" s="183">
        <f t="shared" ca="1" si="10"/>
        <v>0.55102474643437782</v>
      </c>
      <c r="AA26" s="183">
        <f t="shared" ca="1" si="7"/>
        <v>0.12427412606754042</v>
      </c>
      <c r="AB26" s="184">
        <f ca="1">$A26+AA26*Design!$B$19</f>
        <v>91.213706303377023</v>
      </c>
      <c r="AC26" s="184">
        <f ca="1">Z26*Design!$C$12+$A26</f>
        <v>103.73484137876885</v>
      </c>
      <c r="AD26" s="184">
        <f ca="1">Constants!$D$22+Constants!$D$22*Constants!$C$23/100*(AC26-25)</f>
        <v>187.98787310301509</v>
      </c>
      <c r="AE26" s="183">
        <f ca="1">IF(100*(Design!$C$29+S26+R26*IF(ISBLANK(Design!$B$43),Constants!$C$6,Design!$B$43)/1000*(1+Constants!$C$36/100*(AC26-25)))/($B26+S26-R26*AD26/1000)&gt;Design!$C$36,  (1-Constants!$C$20/1000000000*IF(ISBLANK(Design!$B$33),Design!$B$32/4,Design!$B$33/4)*1000000) * ($B26+S26-R26*AD26/1000) - (S26+R26*(1+($A26-25)*Constants!$C$36/100)*IF(ISBLANK(Design!$B$43),Constants!$C$6/1000,Design!$B$43/1000)),   (1-Constants!$C$20/1000000000*IF(ISBLANK(Design!$B$33),Design!$B$32,Design!$B$33)*1000000) * ($B26+S26-R26*AD26/1000) - (S26+R26*(1+($A26-25)*Constants!$C$36/100)*IF(ISBLANK(Design!$B$43),Constants!$C$6/1000,Design!$B$43/1000)) )</f>
        <v>5.6376079593565782</v>
      </c>
      <c r="AF26" s="117">
        <f ca="1">IF(AE26&gt;Design!$C$29,Design!$C$29,AE26)</f>
        <v>4.99903317535545</v>
      </c>
      <c r="AG26" s="118">
        <f>Design!$D$7/3</f>
        <v>0.66666666666666663</v>
      </c>
      <c r="AH26" s="118">
        <f ca="1">FORECAST(AG26, OFFSET(Design!$C$15:$C$17,MATCH(AG26,Design!$B$15:$B$17,1)-1,0,2), OFFSET(Design!$B$15:$B$17,MATCH(AG26,Design!$B$15:$B$17,1)-1,0,2))+(AQ26-25)*Design!$B$18/1000</f>
        <v>0.30708847216687912</v>
      </c>
      <c r="AI26" s="194">
        <f ca="1">IF(100*(Design!$C$29+AH26+AG26*IF(ISBLANK(Design!$B$43),Constants!$C$6,Design!$B$43)/1000*(1+Constants!$C$36/100*(AR26-25)))/($B26+AH26-AG26*AS26/1000)&gt;Design!$C$36,Design!$C$37,100*(Design!$C$29+AH26+AG26*IF(ISBLANK(Design!$B$43),Constants!$C$6,Design!$B$43)/1000*(1+Constants!$C$36/100*(AR26-25)))/($B26+AH26-AG26*AS26/1000))</f>
        <v>71.612615756722761</v>
      </c>
      <c r="AJ26" s="119">
        <f ca="1">IF(($B26-AG26*IF(ISBLANK(Design!$B$43),Constants!$C$6,Design!$B$43)/1000*(1+Constants!$C$36/100*(AR26-25))-Design!$C$29)/(IF(ISBLANK(Design!$B$42),Design!$B$40,Design!$B$42)/1000000)*AI26/100/(IF(ISBLANK(Design!$B$33),Design!$B$32,Design!$B$33)*1000000)&lt;0,0,($B26-AG26*IF(ISBLANK(Design!$B$43),Constants!$C$6,Design!$B$43)/1000*(1+Constants!$C$36/100*(AR26-25))-Design!$C$29)/(IF(ISBLANK(Design!$B$42),Design!$B$40,Design!$B$42)/1000000)*AI26/100/(IF(ISBLANK(Design!$B$33),Design!$B$32,Design!$B$33)*1000000))</f>
        <v>0.23116998641044931</v>
      </c>
      <c r="AK26" s="195">
        <f>$B26*Constants!$C$21/1000+IF(ISBLANK(Design!$B$33),Design!$B$32,Design!$B$33)*1000000*Constants!$D$25/1000000000*($B26-Constants!$C$24)</f>
        <v>5.2795499999999967E-2</v>
      </c>
      <c r="AL26" s="195">
        <f>$B26*AG26*($B26/(Constants!$C$26*1000000000)*IF(ISBLANK(Design!$B$33),Design!$B$32,Design!$B$33)*1000000/2+$B26/(Constants!$C$27*1000000000)*IF(ISBLANK(Design!$B$33),Design!$B$32,Design!$B$33)*1000000/2)</f>
        <v>9.1788674124809677E-2</v>
      </c>
      <c r="AM26" s="195">
        <f t="shared" ca="1" si="3"/>
        <v>5.7981854711300629E-2</v>
      </c>
      <c r="AN26" s="195">
        <f>Constants!$D$25/1000000000*Constants!$C$24*IF(ISBLANK(Design!$B$33),Design!$B$32,Design!$B$33)*1000000</f>
        <v>6.8250000000000005E-2</v>
      </c>
      <c r="AO26" s="195">
        <f t="shared" ca="1" si="11"/>
        <v>0.27081602883611028</v>
      </c>
      <c r="AP26" s="195">
        <f t="shared" ca="1" si="9"/>
        <v>5.8116256373880959E-2</v>
      </c>
      <c r="AQ26" s="196">
        <f ca="1">$A26+AP26*Design!$B$19</f>
        <v>87.905812818694045</v>
      </c>
      <c r="AR26" s="196">
        <f ca="1">AO26*Design!$C$12+$A26</f>
        <v>94.207744980427748</v>
      </c>
      <c r="AS26" s="196">
        <f ca="1">Constants!$D$22+Constants!$D$22*Constants!$C$23/100*(AR26-25)</f>
        <v>180.3661959843422</v>
      </c>
      <c r="AT26" s="195">
        <f ca="1">IF(100*(Design!$C$29+AH26+AG26*IF(ISBLANK(Design!$B$43),Constants!$C$6,Design!$B$43)/1000*(1+Constants!$C$36/100*(AR26-25)))/($B26+AH26-AG26*AS26/1000)&gt;Design!$C$36,  (1-Constants!$C$20/1000000000*IF(ISBLANK(Design!$B$33),Design!$B$32/4,Design!$B$33/4)*1000000) * ($B26+AH26-AG26*AS26/1000) - (AH26+AG26*(1+($A26-25)*Constants!$C$36/100)*IF(ISBLANK(Design!$B$43),Constants!$C$6/1000,Design!$B$43/1000)),   (1-Constants!$C$20/1000000000*IF(ISBLANK(Design!$B$33),Design!$B$32,Design!$B$33)*1000000) * ($B26+AH26-AG26*AS26/1000) - (AH26+AG26*(1+($A26-25)*Constants!$C$36/100)*IF(ISBLANK(Design!$B$43),Constants!$C$6/1000,Design!$B$43/1000)) )</f>
        <v>5.785754487717452</v>
      </c>
      <c r="AU26" s="119">
        <f ca="1">IF(AT26&gt;Design!$C$29,Design!$C$29,AT26)</f>
        <v>4.99903317535545</v>
      </c>
    </row>
    <row r="27" spans="1:47" s="120" customFormat="1" ht="12.75" customHeight="1" x14ac:dyDescent="0.25">
      <c r="A27" s="112">
        <f>Design!$D$13</f>
        <v>85</v>
      </c>
      <c r="B27" s="113">
        <f t="shared" si="0"/>
        <v>7.0549999999999979</v>
      </c>
      <c r="C27" s="114">
        <f>Design!$D$7</f>
        <v>2</v>
      </c>
      <c r="D27" s="114">
        <f ca="1">FORECAST(C27, OFFSET(Design!$C$15:$C$17,MATCH(C27,Design!$B$15:$B$17,1)-1,0,2), OFFSET(Design!$B$15:$B$17,MATCH(C27,Design!$B$15:$B$17,1)-1,0,2))+(M27-25)*Design!$B$18/1000</f>
        <v>0.39814591045698</v>
      </c>
      <c r="E27" s="173">
        <f ca="1">IF(100*(Design!$C$29+D27+C27*IF(ISBLANK(Design!$B$43),Constants!$C$6,Design!$B$43)/1000*(1+Constants!$C$36/100*(N27-25)))/($B27+D27-C27*O27/1000)&gt;Design!$C$36,Design!$C$37,100*(Design!$C$29+D27+C27*IF(ISBLANK(Design!$B$43),Constants!$C$6,Design!$B$43)/1000*(1+Constants!$C$36/100*(N27-25)))/($B27+D27-C27*O27/1000))</f>
        <v>78.081487390150883</v>
      </c>
      <c r="F27" s="115">
        <f ca="1">IF(($B27-C27*IF(ISBLANK(Design!$B$43),Constants!$C$6,Design!$B$43)/1000*(1+Constants!$C$36/100*(N27-25))-Design!$C$29)/(IF(ISBLANK(Design!$B$42),Design!$B$40,Design!$B$42)/1000000)*E27/100/(IF(ISBLANK(Design!$B$33),Design!$B$32,Design!$B$33)*1000000)&lt;0, 0, ($B27-C27*IF(ISBLANK(Design!$B$43),Constants!$C$6,Design!$B$43)/1000*(1+Constants!$C$36/100*(N27-25))-Design!$C$29)/(IF(ISBLANK(Design!$B$42),Design!$B$40,Design!$B$42)/1000000)*E27/100/(IF(ISBLANK(Design!$B$33),Design!$B$32,Design!$B$33)*1000000))</f>
        <v>0.21930214587176031</v>
      </c>
      <c r="G27" s="165">
        <f>B27*Constants!$C$21/1000+IF(ISBLANK(Design!$B$33),Design!$B$32,Design!$B$33)*1000000*Constants!$D$25/1000000000*(B27-Constants!$C$24)</f>
        <v>4.9215749999999961E-2</v>
      </c>
      <c r="H27" s="165">
        <f>B27*C27*(B27/(Constants!$C$26*1000000000)*IF(ISBLANK(Design!$B$33),Design!$B$32,Design!$B$33)*1000000/2+B27/(Constants!$C$27*1000000000)*IF(ISBLANK(Design!$B$33),Design!$B$32,Design!$B$33)*1000000/2)</f>
        <v>0.25931973299086741</v>
      </c>
      <c r="I27" s="165">
        <f t="shared" ca="1" si="1"/>
        <v>0.62615291991008892</v>
      </c>
      <c r="J27" s="165">
        <f>Constants!$D$25/1000000000*Constants!$C$24*IF(ISBLANK(Design!$B$33),Design!$B$32,Design!$B$33)*1000000</f>
        <v>6.8250000000000005E-2</v>
      </c>
      <c r="K27" s="165">
        <f t="shared" ca="1" si="4"/>
        <v>1.0029384029009563</v>
      </c>
      <c r="L27" s="165">
        <f t="shared" ca="1" si="5"/>
        <v>0.17453532317822346</v>
      </c>
      <c r="M27" s="166">
        <f ca="1">A27+L27*Design!$B$19</f>
        <v>93.726766158911175</v>
      </c>
      <c r="N27" s="166">
        <f ca="1">K27*Design!$C$12+A27</f>
        <v>119.09990569863251</v>
      </c>
      <c r="O27" s="166">
        <f ca="1">Constants!$D$22+Constants!$D$22*Constants!$C$23/100*(N27-25)</f>
        <v>200.27992455890603</v>
      </c>
      <c r="P27" s="165">
        <f ca="1">IF(100*(Design!$C$29+D27+C27*IF(ISBLANK(Design!$B$43),Constants!$C$6,Design!$B$43)/1000*(1+Constants!$C$36/100*(N27-25)))/($B27+D27-C27*O27/1000)&gt;Design!$C$36,  (1-Constants!$C$20/1000000000*IF(ISBLANK(Design!$B$33),Design!$B$32/4,Design!$B$33/4)*1000000) * ($B27+D27-C27*O27/1000) - (D27+C27*(1+($A27-25)*Constants!$C$36/100)*IF(ISBLANK(Design!$B$43),Constants!$C$6/1000,Design!$B$43/1000)),   (1-Constants!$C$20/1000000000*IF(ISBLANK(Design!$B$33),Design!$B$32,Design!$B$33)*1000000) * ($B27+D27-C27*O27/1000) - (D27+C27*(1+($A27-25)*Constants!$C$36/100)*IF(ISBLANK(Design!$B$43),Constants!$C$6/1000,Design!$B$43/1000)) )</f>
        <v>5.296689538933145</v>
      </c>
      <c r="Q27" s="171">
        <f ca="1">IF(P27&gt;Design!$C$29,Design!$C$29,P27)</f>
        <v>4.99903317535545</v>
      </c>
      <c r="R27" s="181">
        <f>2*Design!$D$7/3</f>
        <v>1.3333333333333333</v>
      </c>
      <c r="S27" s="116">
        <f ca="1">FORECAST(R27, OFFSET(Design!$C$15:$C$17,MATCH(R27,Design!$B$15:$B$17,1)-1,0,2), OFFSET(Design!$B$15:$B$17,MATCH(R27,Design!$B$15:$B$17,1)-1,0,2))+(AB27-25)*Design!$B$18/1000</f>
        <v>0.35271936727776976</v>
      </c>
      <c r="T27" s="182">
        <f ca="1">IF(100*(Design!$C$29+S27+R27*IF(ISBLANK(Design!$B$43),Constants!$C$6,Design!$B$43)/1000*(1+Constants!$C$36/100*(AC27-25)))/($B27+S27-R27*AD27/1000)&gt;Design!$C$36,Design!$C$37,100*(Design!$C$29+S27+R27*IF(ISBLANK(Design!$B$43),Constants!$C$6,Design!$B$43)/1000*(1+Constants!$C$36/100*(AC27-25)))/($B27+S27-R27*AD27/1000))</f>
        <v>75.748025908463788</v>
      </c>
      <c r="U27" s="117">
        <f ca="1">IF(($B27-R27*IF(ISBLANK(Design!$B$43),Constants!$C$6,Design!$B$43)/1000*(1+Constants!$C$36/100*(AC27-25))-Design!$C$29)/(Design!$B$42/1000000)*T27/100/(IF(ISBLANK(IF(ISBLANK(Design!$B$42),Design!$B$40,Design!$B$42)),Design!$B$32,Design!$B$33)*1000000)&lt;0,0,($B27-R27*IF(ISBLANK(Design!$B$43),Constants!$C$6,Design!$B$43)/1000*(1+Constants!$C$36/100*(AC27-25))-Design!$C$29)/(IF(ISBLANK(Design!$B$42),Design!$B$40,Design!$B$42)/1000000)*T27/100/(IF(ISBLANK(Design!$B$33),Design!$B$32,Design!$B$33)*1000000))</f>
        <v>0.21709867664086016</v>
      </c>
      <c r="V27" s="183">
        <f>$B27*Constants!$C$21/1000+IF(ISBLANK(Design!$B$33),Design!$B$32,Design!$B$33)*1000000*Constants!$D$25/1000000000*($B27-Constants!$C$24)</f>
        <v>4.9215749999999961E-2</v>
      </c>
      <c r="W27" s="183">
        <f>$B27*R27*($B27/(Constants!$C$26*1000000000)*IF(ISBLANK(Design!$B$33),Design!$B$32,Design!$B$33)*1000000/2+$B27/(Constants!$C$27*1000000000)*IF(ISBLANK(Design!$B$33),Design!$B$32,Design!$B$33)*1000000/2)</f>
        <v>0.17287982199391161</v>
      </c>
      <c r="X27" s="183">
        <f t="shared" ca="1" si="2"/>
        <v>0.25344409676805957</v>
      </c>
      <c r="Y27" s="183">
        <f>Constants!$D$25/1000000000*Constants!$C$24*IF(ISBLANK(Design!$B$33),Design!$B$32,Design!$B$33)*1000000</f>
        <v>6.8250000000000005E-2</v>
      </c>
      <c r="Z27" s="183">
        <f t="shared" ca="1" si="10"/>
        <v>0.5437896687619711</v>
      </c>
      <c r="AA27" s="183">
        <f t="shared" ca="1" si="7"/>
        <v>0.11405521275738022</v>
      </c>
      <c r="AB27" s="184">
        <f ca="1">$A27+AA27*Design!$B$19</f>
        <v>90.702760637869005</v>
      </c>
      <c r="AC27" s="184">
        <f ca="1">Z27*Design!$C$12+$A27</f>
        <v>103.48884873790702</v>
      </c>
      <c r="AD27" s="184">
        <f ca="1">Constants!$D$22+Constants!$D$22*Constants!$C$23/100*(AC27-25)</f>
        <v>187.79107899032562</v>
      </c>
      <c r="AE27" s="183">
        <f ca="1">IF(100*(Design!$C$29+S27+R27*IF(ISBLANK(Design!$B$43),Constants!$C$6,Design!$B$43)/1000*(1+Constants!$C$36/100*(AC27-25)))/($B27+S27-R27*AD27/1000)&gt;Design!$C$36,  (1-Constants!$C$20/1000000000*IF(ISBLANK(Design!$B$33),Design!$B$32/4,Design!$B$33/4)*1000000) * ($B27+S27-R27*AD27/1000) - (S27+R27*(1+($A27-25)*Constants!$C$36/100)*IF(ISBLANK(Design!$B$43),Constants!$C$6/1000,Design!$B$43/1000)),   (1-Constants!$C$20/1000000000*IF(ISBLANK(Design!$B$33),Design!$B$32,Design!$B$33)*1000000) * ($B27+S27-R27*AD27/1000) - (S27+R27*(1+($A27-25)*Constants!$C$36/100)*IF(ISBLANK(Design!$B$43),Constants!$C$6/1000,Design!$B$43/1000)) )</f>
        <v>5.4611189310868458</v>
      </c>
      <c r="AF27" s="117">
        <f ca="1">IF(AE27&gt;Design!$C$29,Design!$C$29,AE27)</f>
        <v>4.99903317535545</v>
      </c>
      <c r="AG27" s="118">
        <f>Design!$D$7/3</f>
        <v>0.66666666666666663</v>
      </c>
      <c r="AH27" s="118">
        <f ca="1">FORECAST(AG27, OFFSET(Design!$C$15:$C$17,MATCH(AG27,Design!$B$15:$B$17,1)-1,0,2), OFFSET(Design!$B$15:$B$17,MATCH(AG27,Design!$B$15:$B$17,1)-1,0,2))+(AQ27-25)*Design!$B$18/1000</f>
        <v>0.30728271630282744</v>
      </c>
      <c r="AI27" s="194">
        <f ca="1">IF(100*(Design!$C$29+AH27+AG27*IF(ISBLANK(Design!$B$43),Constants!$C$6,Design!$B$43)/1000*(1+Constants!$C$36/100*(AR27-25)))/($B27+AH27-AG27*AS27/1000)&gt;Design!$C$36,Design!$C$37,100*(Design!$C$29+AH27+AG27*IF(ISBLANK(Design!$B$43),Constants!$C$6,Design!$B$43)/1000*(1+Constants!$C$36/100*(AR27-25)))/($B27+AH27-AG27*AS27/1000))</f>
        <v>73.737676820820056</v>
      </c>
      <c r="AJ27" s="119">
        <f ca="1">IF(($B27-AG27*IF(ISBLANK(Design!$B$43),Constants!$C$6,Design!$B$43)/1000*(1+Constants!$C$36/100*(AR27-25))-Design!$C$29)/(IF(ISBLANK(Design!$B$42),Design!$B$40,Design!$B$42)/1000000)*AI27/100/(IF(ISBLANK(Design!$B$33),Design!$B$32,Design!$B$33)*1000000)&lt;0,0,($B27-AG27*IF(ISBLANK(Design!$B$43),Constants!$C$6,Design!$B$43)/1000*(1+Constants!$C$36/100*(AR27-25))-Design!$C$29)/(IF(ISBLANK(Design!$B$42),Design!$B$40,Design!$B$42)/1000000)*AI27/100/(IF(ISBLANK(Design!$B$33),Design!$B$32,Design!$B$33)*1000000))</f>
        <v>0.21515583543107114</v>
      </c>
      <c r="AK27" s="195">
        <f>$B27*Constants!$C$21/1000+IF(ISBLANK(Design!$B$33),Design!$B$32,Design!$B$33)*1000000*Constants!$D$25/1000000000*($B27-Constants!$C$24)</f>
        <v>4.9215749999999961E-2</v>
      </c>
      <c r="AL27" s="195">
        <f>$B27*AG27*($B27/(Constants!$C$26*1000000000)*IF(ISBLANK(Design!$B$33),Design!$B$32,Design!$B$33)*1000000/2+$B27/(Constants!$C$27*1000000000)*IF(ISBLANK(Design!$B$33),Design!$B$32,Design!$B$33)*1000000/2)</f>
        <v>8.6439910996955804E-2</v>
      </c>
      <c r="AM27" s="195">
        <f t="shared" ca="1" si="3"/>
        <v>5.9557097550202803E-2</v>
      </c>
      <c r="AN27" s="195">
        <f>Constants!$D$25/1000000000*Constants!$C$24*IF(ISBLANK(Design!$B$33),Design!$B$32,Design!$B$33)*1000000</f>
        <v>6.8250000000000005E-2</v>
      </c>
      <c r="AO27" s="195">
        <f t="shared" ca="1" si="11"/>
        <v>0.26346275854715856</v>
      </c>
      <c r="AP27" s="195">
        <f t="shared" ca="1" si="9"/>
        <v>5.3799720019474133E-2</v>
      </c>
      <c r="AQ27" s="196">
        <f ca="1">$A27+AP27*Design!$B$19</f>
        <v>87.689986000973704</v>
      </c>
      <c r="AR27" s="196">
        <f ca="1">AO27*Design!$C$12+$A27</f>
        <v>93.957733790603385</v>
      </c>
      <c r="AS27" s="196">
        <f ca="1">Constants!$D$22+Constants!$D$22*Constants!$C$23/100*(AR27-25)</f>
        <v>180.1661870324827</v>
      </c>
      <c r="AT27" s="195">
        <f ca="1">IF(100*(Design!$C$29+AH27+AG27*IF(ISBLANK(Design!$B$43),Constants!$C$6,Design!$B$43)/1000*(1+Constants!$C$36/100*(AR27-25)))/($B27+AH27-AG27*AS27/1000)&gt;Design!$C$36,  (1-Constants!$C$20/1000000000*IF(ISBLANK(Design!$B$33),Design!$B$32/4,Design!$B$33/4)*1000000) * ($B27+AH27-AG27*AS27/1000) - (AH27+AG27*(1+($A27-25)*Constants!$C$36/100)*IF(ISBLANK(Design!$B$43),Constants!$C$6/1000,Design!$B$43/1000)),   (1-Constants!$C$20/1000000000*IF(ISBLANK(Design!$B$33),Design!$B$32,Design!$B$33)*1000000) * ($B27+AH27-AG27*AS27/1000) - (AH27+AG27*(1+($A27-25)*Constants!$C$36/100)*IF(ISBLANK(Design!$B$43),Constants!$C$6/1000,Design!$B$43/1000)) )</f>
        <v>5.609206853375154</v>
      </c>
      <c r="AU27" s="119">
        <f ca="1">IF(AT27&gt;Design!$C$29,Design!$C$29,AT27)</f>
        <v>4.99903317535545</v>
      </c>
    </row>
    <row r="28" spans="1:47" s="120" customFormat="1" ht="12.75" customHeight="1" x14ac:dyDescent="0.25">
      <c r="A28" s="112">
        <f>Design!$D$13</f>
        <v>85</v>
      </c>
      <c r="B28" s="113">
        <f t="shared" si="0"/>
        <v>6.8399999999999981</v>
      </c>
      <c r="C28" s="114">
        <f>Design!$D$7</f>
        <v>2</v>
      </c>
      <c r="D28" s="114">
        <f ca="1">FORECAST(C28, OFFSET(Design!$C$15:$C$17,MATCH(C28,Design!$B$15:$B$17,1)-1,0,2), OFFSET(Design!$B$15:$B$17,MATCH(C28,Design!$B$15:$B$17,1)-1,0,2))+(M28-25)*Design!$B$18/1000</f>
        <v>0.39901154646371711</v>
      </c>
      <c r="E28" s="173">
        <f ca="1">IF(100*(Design!$C$29+D28+C28*IF(ISBLANK(Design!$B$43),Constants!$C$6,Design!$B$43)/1000*(1+Constants!$C$36/100*(N28-25)))/($B28+D28-C28*O28/1000)&gt;Design!$C$36,Design!$C$37,100*(Design!$C$29+D28+C28*IF(ISBLANK(Design!$B$43),Constants!$C$6,Design!$B$43)/1000*(1+Constants!$C$36/100*(N28-25)))/($B28+D28-C28*O28/1000))</f>
        <v>80.539539663788261</v>
      </c>
      <c r="F28" s="115">
        <f ca="1">IF(($B28-C28*IF(ISBLANK(Design!$B$43),Constants!$C$6,Design!$B$43)/1000*(1+Constants!$C$36/100*(N28-25))-Design!$C$29)/(IF(ISBLANK(Design!$B$42),Design!$B$40,Design!$B$42)/1000000)*E28/100/(IF(ISBLANK(Design!$B$33),Design!$B$32,Design!$B$33)*1000000)&lt;0, 0, ($B28-C28*IF(ISBLANK(Design!$B$43),Constants!$C$6,Design!$B$43)/1000*(1+Constants!$C$36/100*(N28-25))-Design!$C$29)/(IF(ISBLANK(Design!$B$42),Design!$B$40,Design!$B$42)/1000000)*E28/100/(IF(ISBLANK(Design!$B$33),Design!$B$32,Design!$B$33)*1000000))</f>
        <v>0.20121826177676325</v>
      </c>
      <c r="G28" s="165">
        <f>B28*Constants!$C$21/1000+IF(ISBLANK(Design!$B$33),Design!$B$32,Design!$B$33)*1000000*Constants!$D$25/1000000000*(B28-Constants!$C$24)</f>
        <v>4.5635999999999968E-2</v>
      </c>
      <c r="H28" s="165">
        <f>B28*C28*(B28/(Constants!$C$26*1000000000)*IF(ISBLANK(Design!$B$33),Design!$B$32,Design!$B$33)*1000000/2+B28/(Constants!$C$27*1000000000)*IF(ISBLANK(Design!$B$33),Design!$B$32,Design!$B$33)*1000000/2)</f>
        <v>0.24375511232876701</v>
      </c>
      <c r="I28" s="165">
        <f t="shared" ca="1" si="1"/>
        <v>0.64580707803759618</v>
      </c>
      <c r="J28" s="165">
        <f>Constants!$D$25/1000000000*Constants!$C$24*IF(ISBLANK(Design!$B$33),Design!$B$32,Design!$B$33)*1000000</f>
        <v>6.8250000000000005E-2</v>
      </c>
      <c r="K28" s="165">
        <f t="shared" ca="1" si="4"/>
        <v>1.003448190366363</v>
      </c>
      <c r="L28" s="165">
        <f t="shared" ca="1" si="5"/>
        <v>0.15529896747295346</v>
      </c>
      <c r="M28" s="166">
        <f ca="1">A28+L28*Design!$B$19</f>
        <v>92.76494837364767</v>
      </c>
      <c r="N28" s="166">
        <f ca="1">K28*Design!$C$12+A28</f>
        <v>119.11723847245634</v>
      </c>
      <c r="O28" s="166">
        <f ca="1">Constants!$D$22+Constants!$D$22*Constants!$C$23/100*(N28-25)</f>
        <v>200.29379077796506</v>
      </c>
      <c r="P28" s="165">
        <f ca="1">IF(100*(Design!$C$29+D28+C28*IF(ISBLANK(Design!$B$43),Constants!$C$6,Design!$B$43)/1000*(1+Constants!$C$36/100*(N28-25)))/($B28+D28-C28*O28/1000)&gt;Design!$C$36,  (1-Constants!$C$20/1000000000*IF(ISBLANK(Design!$B$33),Design!$B$32/4,Design!$B$33/4)*1000000) * ($B28+D28-C28*O28/1000) - (D28+C28*(1+($A28-25)*Constants!$C$36/100)*IF(ISBLANK(Design!$B$43),Constants!$C$6/1000,Design!$B$43/1000)),   (1-Constants!$C$20/1000000000*IF(ISBLANK(Design!$B$33),Design!$B$32,Design!$B$33)*1000000) * ($B28+D28-C28*O28/1000) - (D28+C28*(1+($A28-25)*Constants!$C$36/100)*IF(ISBLANK(Design!$B$43),Constants!$C$6/1000,Design!$B$43/1000)) )</f>
        <v>5.1198897407080279</v>
      </c>
      <c r="Q28" s="171">
        <f ca="1">IF(P28&gt;Design!$C$29,Design!$C$29,P28)</f>
        <v>4.99903317535545</v>
      </c>
      <c r="R28" s="181">
        <f>2*Design!$D$7/3</f>
        <v>1.3333333333333333</v>
      </c>
      <c r="S28" s="116">
        <f ca="1">FORECAST(R28, OFFSET(Design!$C$15:$C$17,MATCH(R28,Design!$B$15:$B$17,1)-1,0,2), OFFSET(Design!$B$15:$B$17,MATCH(R28,Design!$B$15:$B$17,1)-1,0,2))+(AB28-25)*Design!$B$18/1000</f>
        <v>0.35320902221216571</v>
      </c>
      <c r="T28" s="182">
        <f ca="1">IF(100*(Design!$C$29+S28+R28*IF(ISBLANK(Design!$B$43),Constants!$C$6,Design!$B$43)/1000*(1+Constants!$C$36/100*(AC28-25)))/($B28+S28-R28*AD28/1000)&gt;Design!$C$36,Design!$C$37,100*(Design!$C$29+S28+R28*IF(ISBLANK(Design!$B$43),Constants!$C$6,Design!$B$43)/1000*(1+Constants!$C$36/100*(AC28-25)))/($B28+S28-R28*AD28/1000))</f>
        <v>78.092152485196664</v>
      </c>
      <c r="U28" s="117">
        <f ca="1">IF(($B28-R28*IF(ISBLANK(Design!$B$43),Constants!$C$6,Design!$B$43)/1000*(1+Constants!$C$36/100*(AC28-25))-Design!$C$29)/(Design!$B$42/1000000)*T28/100/(IF(ISBLANK(IF(ISBLANK(Design!$B$42),Design!$B$40,Design!$B$42)),Design!$B$32,Design!$B$33)*1000000)&lt;0,0,($B28-R28*IF(ISBLANK(Design!$B$43),Constants!$C$6,Design!$B$43)/1000*(1+Constants!$C$36/100*(AC28-25))-Design!$C$29)/(IF(ISBLANK(Design!$B$42),Design!$B$40,Design!$B$42)/1000000)*T28/100/(IF(ISBLANK(Design!$B$33),Design!$B$32,Design!$B$33)*1000000))</f>
        <v>0.19959454541676699</v>
      </c>
      <c r="V28" s="183">
        <f>$B28*Constants!$C$21/1000+IF(ISBLANK(Design!$B$33),Design!$B$32,Design!$B$33)*1000000*Constants!$D$25/1000000000*($B28-Constants!$C$24)</f>
        <v>4.5635999999999968E-2</v>
      </c>
      <c r="W28" s="183">
        <f>$B28*R28*($B28/(Constants!$C$26*1000000000)*IF(ISBLANK(Design!$B$33),Design!$B$32,Design!$B$33)*1000000/2+$B28/(Constants!$C$27*1000000000)*IF(ISBLANK(Design!$B$33),Design!$B$32,Design!$B$33)*1000000/2)</f>
        <v>0.16250340821917802</v>
      </c>
      <c r="X28" s="183">
        <f t="shared" ca="1" si="2"/>
        <v>0.26095426755632606</v>
      </c>
      <c r="Y28" s="183">
        <f>Constants!$D$25/1000000000*Constants!$C$24*IF(ISBLANK(Design!$B$33),Design!$B$32,Design!$B$33)*1000000</f>
        <v>6.8250000000000005E-2</v>
      </c>
      <c r="Z28" s="183">
        <f t="shared" ca="1" si="10"/>
        <v>0.53734367577550401</v>
      </c>
      <c r="AA28" s="183">
        <f t="shared" ca="1" si="7"/>
        <v>0.10317399199302547</v>
      </c>
      <c r="AB28" s="184">
        <f ca="1">$A28+AA28*Design!$B$19</f>
        <v>90.158699599651271</v>
      </c>
      <c r="AC28" s="184">
        <f ca="1">Z28*Design!$C$12+$A28</f>
        <v>103.26968497636713</v>
      </c>
      <c r="AD28" s="184">
        <f ca="1">Constants!$D$22+Constants!$D$22*Constants!$C$23/100*(AC28-25)</f>
        <v>187.6157479810937</v>
      </c>
      <c r="AE28" s="183">
        <f ca="1">IF(100*(Design!$C$29+S28+R28*IF(ISBLANK(Design!$B$43),Constants!$C$6,Design!$B$43)/1000*(1+Constants!$C$36/100*(AC28-25)))/($B28+S28-R28*AD28/1000)&gt;Design!$C$36,  (1-Constants!$C$20/1000000000*IF(ISBLANK(Design!$B$33),Design!$B$32/4,Design!$B$33/4)*1000000) * ($B28+S28-R28*AD28/1000) - (S28+R28*(1+($A28-25)*Constants!$C$36/100)*IF(ISBLANK(Design!$B$43),Constants!$C$6/1000,Design!$B$43/1000)),   (1-Constants!$C$20/1000000000*IF(ISBLANK(Design!$B$33),Design!$B$32,Design!$B$33)*1000000) * ($B28+S28-R28*AD28/1000) - (S28+R28*(1+($A28-25)*Constants!$C$36/100)*IF(ISBLANK(Design!$B$43),Constants!$C$6/1000,Design!$B$43/1000)) )</f>
        <v>5.2846010735798359</v>
      </c>
      <c r="AF28" s="117">
        <f ca="1">IF(AE28&gt;Design!$C$29,Design!$C$29,AE28)</f>
        <v>4.99903317535545</v>
      </c>
      <c r="AG28" s="118">
        <f>Design!$D$7/3</f>
        <v>0.66666666666666663</v>
      </c>
      <c r="AH28" s="118">
        <f ca="1">FORECAST(AG28, OFFSET(Design!$C$15:$C$17,MATCH(AG28,Design!$B$15:$B$17,1)-1,0,2), OFFSET(Design!$B$15:$B$17,MATCH(AG28,Design!$B$15:$B$17,1)-1,0,2))+(AQ28-25)*Design!$B$18/1000</f>
        <v>0.30748910636506044</v>
      </c>
      <c r="AI28" s="194">
        <f ca="1">IF(100*(Design!$C$29+AH28+AG28*IF(ISBLANK(Design!$B$43),Constants!$C$6,Design!$B$43)/1000*(1+Constants!$C$36/100*(AR28-25)))/($B28+AH28-AG28*AS28/1000)&gt;Design!$C$36,Design!$C$37,100*(Design!$C$29+AH28+AG28*IF(ISBLANK(Design!$B$43),Constants!$C$6,Design!$B$43)/1000*(1+Constants!$C$36/100*(AR28-25)))/($B28+AH28-AG28*AS28/1000))</f>
        <v>75.992674289907967</v>
      </c>
      <c r="AJ28" s="119">
        <f ca="1">IF(($B28-AG28*IF(ISBLANK(Design!$B$43),Constants!$C$6,Design!$B$43)/1000*(1+Constants!$C$36/100*(AR28-25))-Design!$C$29)/(IF(ISBLANK(Design!$B$42),Design!$B$40,Design!$B$42)/1000000)*AI28/100/(IF(ISBLANK(Design!$B$33),Design!$B$32,Design!$B$33)*1000000)&lt;0,0,($B28-AG28*IF(ISBLANK(Design!$B$43),Constants!$C$6,Design!$B$43)/1000*(1+Constants!$C$36/100*(AR28-25))-Design!$C$29)/(IF(ISBLANK(Design!$B$42),Design!$B$40,Design!$B$42)/1000000)*AI28/100/(IF(ISBLANK(Design!$B$33),Design!$B$32,Design!$B$33)*1000000))</f>
        <v>0.19816199106831037</v>
      </c>
      <c r="AK28" s="195">
        <f>$B28*Constants!$C$21/1000+IF(ISBLANK(Design!$B$33),Design!$B$32,Design!$B$33)*1000000*Constants!$D$25/1000000000*($B28-Constants!$C$24)</f>
        <v>4.5635999999999968E-2</v>
      </c>
      <c r="AL28" s="195">
        <f>$B28*AG28*($B28/(Constants!$C$26*1000000000)*IF(ISBLANK(Design!$B$33),Design!$B$32,Design!$B$33)*1000000/2+$B28/(Constants!$C$27*1000000000)*IF(ISBLANK(Design!$B$33),Design!$B$32,Design!$B$33)*1000000/2)</f>
        <v>8.1251704109589012E-2</v>
      </c>
      <c r="AM28" s="195">
        <f t="shared" ca="1" si="3"/>
        <v>6.1232660405012525E-2</v>
      </c>
      <c r="AN28" s="195">
        <f>Constants!$D$25/1000000000*Constants!$C$24*IF(ISBLANK(Design!$B$33),Design!$B$32,Design!$B$33)*1000000</f>
        <v>6.8250000000000005E-2</v>
      </c>
      <c r="AO28" s="195">
        <f t="shared" ca="1" si="11"/>
        <v>0.25637036451460149</v>
      </c>
      <c r="AP28" s="195">
        <f t="shared" ca="1" si="9"/>
        <v>4.9213274192074254E-2</v>
      </c>
      <c r="AQ28" s="196">
        <f ca="1">$A28+AP28*Design!$B$19</f>
        <v>87.460663709603708</v>
      </c>
      <c r="AR28" s="196">
        <f ca="1">AO28*Design!$C$12+$A28</f>
        <v>93.716592393496455</v>
      </c>
      <c r="AS28" s="196">
        <f ca="1">Constants!$D$22+Constants!$D$22*Constants!$C$23/100*(AR28-25)</f>
        <v>179.97327391479718</v>
      </c>
      <c r="AT28" s="195">
        <f ca="1">IF(100*(Design!$C$29+AH28+AG28*IF(ISBLANK(Design!$B$43),Constants!$C$6,Design!$B$43)/1000*(1+Constants!$C$36/100*(AR28-25)))/($B28+AH28-AG28*AS28/1000)&gt;Design!$C$36,  (1-Constants!$C$20/1000000000*IF(ISBLANK(Design!$B$33),Design!$B$32/4,Design!$B$33/4)*1000000) * ($B28+AH28-AG28*AS28/1000) - (AH28+AG28*(1+($A28-25)*Constants!$C$36/100)*IF(ISBLANK(Design!$B$43),Constants!$C$6/1000,Design!$B$43/1000)),   (1-Constants!$C$20/1000000000*IF(ISBLANK(Design!$B$33),Design!$B$32,Design!$B$33)*1000000) * ($B28+AH28-AG28*AS28/1000) - (AH28+AG28*(1+($A28-25)*Constants!$C$36/100)*IF(ISBLANK(Design!$B$43),Constants!$C$6/1000,Design!$B$43/1000)) )</f>
        <v>5.4326531648331651</v>
      </c>
      <c r="AU28" s="119">
        <f ca="1">IF(AT28&gt;Design!$C$29,Design!$C$29,AT28)</f>
        <v>4.99903317535545</v>
      </c>
    </row>
    <row r="29" spans="1:47" s="120" customFormat="1" ht="12.75" customHeight="1" x14ac:dyDescent="0.25">
      <c r="A29" s="112">
        <f>Design!$D$13</f>
        <v>85</v>
      </c>
      <c r="B29" s="113">
        <f t="shared" si="0"/>
        <v>6.6249999999999982</v>
      </c>
      <c r="C29" s="114">
        <f>Design!$D$7</f>
        <v>2</v>
      </c>
      <c r="D29" s="114">
        <f ca="1">FORECAST(C29, OFFSET(Design!$C$15:$C$17,MATCH(C29,Design!$B$15:$B$17,1)-1,0,2), OFFSET(Design!$B$15:$B$17,MATCH(C29,Design!$B$15:$B$17,1)-1,0,2))+(M29-25)*Design!$B$18/1000</f>
        <v>0.40437592519045384</v>
      </c>
      <c r="E29" s="173">
        <f ca="1">IF(100*(Design!$C$29+D29+C29*IF(ISBLANK(Design!$B$43),Constants!$C$6,Design!$B$43)/1000*(1+Constants!$C$36/100*(N29-25)))/($B29+D29-C29*O29/1000)&gt;Design!$C$36,Design!$C$37,100*(Design!$C$29+D29+C29*IF(ISBLANK(Design!$B$43),Constants!$C$6,Design!$B$43)/1000*(1+Constants!$C$36/100*(N29-25)))/($B29+D29-C29*O29/1000))</f>
        <v>95.537499999999994</v>
      </c>
      <c r="F29" s="115">
        <f ca="1">IF(($B29-C29*IF(ISBLANK(Design!$B$43),Constants!$C$6,Design!$B$43)/1000*(1+Constants!$C$36/100*(N29-25))-Design!$C$29)/(IF(ISBLANK(Design!$B$42),Design!$B$40,Design!$B$42)/1000000)*E29/100/(IF(ISBLANK(Design!$B$33),Design!$B$32,Design!$B$33)*1000000)&lt;0, 0, ($B29-C29*IF(ISBLANK(Design!$B$43),Constants!$C$6,Design!$B$43)/1000*(1+Constants!$C$36/100*(N29-25))-Design!$C$29)/(IF(ISBLANK(Design!$B$42),Design!$B$40,Design!$B$42)/1000000)*E29/100/(IF(ISBLANK(Design!$B$33),Design!$B$32,Design!$B$33)*1000000))</f>
        <v>0.20888159169279988</v>
      </c>
      <c r="G29" s="165">
        <f>B29*Constants!$C$21/1000+IF(ISBLANK(Design!$B$33),Design!$B$32,Design!$B$33)*1000000*Constants!$D$25/1000000000*(B29-Constants!$C$24)</f>
        <v>4.2056249999999969E-2</v>
      </c>
      <c r="H29" s="165">
        <f>B29*C29*(B29/(Constants!$C$26*1000000000)*IF(ISBLANK(Design!$B$33),Design!$B$32,Design!$B$33)*1000000/2+B29/(Constants!$C$27*1000000000)*IF(ISBLANK(Design!$B$33),Design!$B$32,Design!$B$33)*1000000/2)</f>
        <v>0.22867216038812771</v>
      </c>
      <c r="I29" s="165">
        <f t="shared" ca="1" si="1"/>
        <v>0.77792196749322839</v>
      </c>
      <c r="J29" s="165">
        <f>Constants!$D$25/1000000000*Constants!$C$24*IF(ISBLANK(Design!$B$33),Design!$B$32,Design!$B$33)*1000000</f>
        <v>6.8250000000000005E-2</v>
      </c>
      <c r="K29" s="165">
        <f t="shared" ca="1" si="4"/>
        <v>1.116900377881356</v>
      </c>
      <c r="L29" s="165">
        <f t="shared" ca="1" si="5"/>
        <v>3.6090551323248024E-2</v>
      </c>
      <c r="M29" s="166">
        <f ca="1">A29+L29*Design!$B$19</f>
        <v>86.804527566162406</v>
      </c>
      <c r="N29" s="166">
        <f ca="1">K29*Design!$C$12+A29</f>
        <v>122.97461284796611</v>
      </c>
      <c r="O29" s="166">
        <f ca="1">Constants!$D$22+Constants!$D$22*Constants!$C$23/100*(N29-25)</f>
        <v>203.37969027837289</v>
      </c>
      <c r="P29" s="165">
        <f ca="1">IF(100*(Design!$C$29+D29+C29*IF(ISBLANK(Design!$B$43),Constants!$C$6,Design!$B$43)/1000*(1+Constants!$C$36/100*(N29-25)))/($B29+D29-C29*O29/1000)&gt;Design!$C$36,  (1-Constants!$C$20/1000000000*IF(ISBLANK(Design!$B$33),Design!$B$32/4,Design!$B$33/4)*1000000) * ($B29+D29-C29*O29/1000) - (D29+C29*(1+($A29-25)*Constants!$C$36/100)*IF(ISBLANK(Design!$B$43),Constants!$C$6/1000,Design!$B$43/1000)),   (1-Constants!$C$20/1000000000*IF(ISBLANK(Design!$B$33),Design!$B$32,Design!$B$33)*1000000) * ($B29+D29-C29*O29/1000) - (D29+C29*(1+($A29-25)*Constants!$C$36/100)*IF(ISBLANK(Design!$B$43),Constants!$C$6/1000,Design!$B$43/1000)) )</f>
        <v>5.8238423561389725</v>
      </c>
      <c r="Q29" s="171">
        <f ca="1">IF(P29&gt;Design!$C$29,Design!$C$29,P29)</f>
        <v>4.99903317535545</v>
      </c>
      <c r="R29" s="181">
        <f>2*Design!$D$7/3</f>
        <v>1.3333333333333333</v>
      </c>
      <c r="S29" s="116">
        <f ca="1">FORECAST(R29, OFFSET(Design!$C$15:$C$17,MATCH(R29,Design!$B$15:$B$17,1)-1,0,2), OFFSET(Design!$B$15:$B$17,MATCH(R29,Design!$B$15:$B$17,1)-1,0,2))+(AB29-25)*Design!$B$18/1000</f>
        <v>0.35373147209473083</v>
      </c>
      <c r="T29" s="182">
        <f ca="1">IF(100*(Design!$C$29+S29+R29*IF(ISBLANK(Design!$B$43),Constants!$C$6,Design!$B$43)/1000*(1+Constants!$C$36/100*(AC29-25)))/($B29+S29-R29*AD29/1000)&gt;Design!$C$36,Design!$C$37,100*(Design!$C$29+S29+R29*IF(ISBLANK(Design!$B$43),Constants!$C$6,Design!$B$43)/1000*(1+Constants!$C$36/100*(AC29-25)))/($B29+S29-R29*AD29/1000))</f>
        <v>80.586122137974044</v>
      </c>
      <c r="U29" s="117">
        <f ca="1">IF(($B29-R29*IF(ISBLANK(Design!$B$43),Constants!$C$6,Design!$B$43)/1000*(1+Constants!$C$36/100*(AC29-25))-Design!$C$29)/(Design!$B$42/1000000)*T29/100/(IF(ISBLANK(IF(ISBLANK(Design!$B$42),Design!$B$40,Design!$B$42)),Design!$B$32,Design!$B$33)*1000000)&lt;0,0,($B29-R29*IF(ISBLANK(Design!$B$43),Constants!$C$6,Design!$B$43)/1000*(1+Constants!$C$36/100*(AC29-25))-Design!$C$29)/(IF(ISBLANK(Design!$B$42),Design!$B$40,Design!$B$42)/1000000)*T29/100/(IF(ISBLANK(Design!$B$33),Design!$B$32,Design!$B$33)*1000000))</f>
        <v>0.1809720265571659</v>
      </c>
      <c r="V29" s="183">
        <f>$B29*Constants!$C$21/1000+IF(ISBLANK(Design!$B$33),Design!$B$32,Design!$B$33)*1000000*Constants!$D$25/1000000000*($B29-Constants!$C$24)</f>
        <v>4.2056249999999969E-2</v>
      </c>
      <c r="W29" s="183">
        <f>$B29*R29*($B29/(Constants!$C$26*1000000000)*IF(ISBLANK(Design!$B$33),Design!$B$32,Design!$B$33)*1000000/2+$B29/(Constants!$C$27*1000000000)*IF(ISBLANK(Design!$B$33),Design!$B$32,Design!$B$33)*1000000/2)</f>
        <v>0.15244810692541846</v>
      </c>
      <c r="X29" s="183">
        <f t="shared" ca="1" si="2"/>
        <v>0.26897995180677592</v>
      </c>
      <c r="Y29" s="183">
        <f>Constants!$D$25/1000000000*Constants!$C$24*IF(ISBLANK(Design!$B$33),Design!$B$32,Design!$B$33)*1000000</f>
        <v>6.8250000000000005E-2</v>
      </c>
      <c r="Z29" s="183">
        <f t="shared" ca="1" si="10"/>
        <v>0.53173430873219441</v>
      </c>
      <c r="AA29" s="183">
        <f t="shared" ca="1" si="7"/>
        <v>9.1563994602689935E-2</v>
      </c>
      <c r="AB29" s="184">
        <f ca="1">$A29+AA29*Design!$B$19</f>
        <v>89.5781997301345</v>
      </c>
      <c r="AC29" s="184">
        <f ca="1">Z29*Design!$C$12+$A29</f>
        <v>103.07896649689461</v>
      </c>
      <c r="AD29" s="184">
        <f ca="1">Constants!$D$22+Constants!$D$22*Constants!$C$23/100*(AC29-25)</f>
        <v>187.46317319751569</v>
      </c>
      <c r="AE29" s="183">
        <f ca="1">IF(100*(Design!$C$29+S29+R29*IF(ISBLANK(Design!$B$43),Constants!$C$6,Design!$B$43)/1000*(1+Constants!$C$36/100*(AC29-25)))/($B29+S29-R29*AD29/1000)&gt;Design!$C$36,  (1-Constants!$C$20/1000000000*IF(ISBLANK(Design!$B$33),Design!$B$32/4,Design!$B$33/4)*1000000) * ($B29+S29-R29*AD29/1000) - (S29+R29*(1+($A29-25)*Constants!$C$36/100)*IF(ISBLANK(Design!$B$43),Constants!$C$6/1000,Design!$B$43/1000)),   (1-Constants!$C$20/1000000000*IF(ISBLANK(Design!$B$33),Design!$B$32,Design!$B$33)*1000000) * ($B29+S29-R29*AD29/1000) - (S29+R29*(1+($A29-25)*Constants!$C$36/100)*IF(ISBLANK(Design!$B$43),Constants!$C$6/1000,Design!$B$43/1000)) )</f>
        <v>5.108052436522077</v>
      </c>
      <c r="AF29" s="117">
        <f ca="1">IF(AE29&gt;Design!$C$29,Design!$C$29,AE29)</f>
        <v>4.99903317535545</v>
      </c>
      <c r="AG29" s="118">
        <f>Design!$D$7/3</f>
        <v>0.66666666666666663</v>
      </c>
      <c r="AH29" s="118">
        <f ca="1">FORECAST(AG29, OFFSET(Design!$C$15:$C$17,MATCH(AG29,Design!$B$15:$B$17,1)-1,0,2), OFFSET(Design!$B$15:$B$17,MATCH(AG29,Design!$B$15:$B$17,1)-1,0,2))+(AQ29-25)*Design!$B$18/1000</f>
        <v>0.30770881725610538</v>
      </c>
      <c r="AI29" s="194">
        <f ca="1">IF(100*(Design!$C$29+AH29+AG29*IF(ISBLANK(Design!$B$43),Constants!$C$6,Design!$B$43)/1000*(1+Constants!$C$36/100*(AR29-25)))/($B29+AH29-AG29*AS29/1000)&gt;Design!$C$36,Design!$C$37,100*(Design!$C$29+AH29+AG29*IF(ISBLANK(Design!$B$43),Constants!$C$6,Design!$B$43)/1000*(1+Constants!$C$36/100*(AR29-25)))/($B29+AH29-AG29*AS29/1000))</f>
        <v>78.389889664877487</v>
      </c>
      <c r="AJ29" s="119">
        <f ca="1">IF(($B29-AG29*IF(ISBLANK(Design!$B$43),Constants!$C$6,Design!$B$43)/1000*(1+Constants!$C$36/100*(AR29-25))-Design!$C$29)/(IF(ISBLANK(Design!$B$42),Design!$B$40,Design!$B$42)/1000000)*AI29/100/(IF(ISBLANK(Design!$B$33),Design!$B$32,Design!$B$33)*1000000)&lt;0,0,($B29-AG29*IF(ISBLANK(Design!$B$43),Constants!$C$6,Design!$B$43)/1000*(1+Constants!$C$36/100*(AR29-25))-Design!$C$29)/(IF(ISBLANK(Design!$B$42),Design!$B$40,Design!$B$42)/1000000)*AI29/100/(IF(ISBLANK(Design!$B$33),Design!$B$32,Design!$B$33)*1000000))</f>
        <v>0.18009573377153523</v>
      </c>
      <c r="AK29" s="195">
        <f>$B29*Constants!$C$21/1000+IF(ISBLANK(Design!$B$33),Design!$B$32,Design!$B$33)*1000000*Constants!$D$25/1000000000*($B29-Constants!$C$24)</f>
        <v>4.2056249999999969E-2</v>
      </c>
      <c r="AL29" s="195">
        <f>$B29*AG29*($B29/(Constants!$C$26*1000000000)*IF(ISBLANK(Design!$B$33),Design!$B$32,Design!$B$33)*1000000/2+$B29/(Constants!$C$27*1000000000)*IF(ISBLANK(Design!$B$33),Design!$B$32,Design!$B$33)*1000000/2)</f>
        <v>7.6224053462709232E-2</v>
      </c>
      <c r="AM29" s="195">
        <f t="shared" ca="1" si="3"/>
        <v>6.3018890260976415E-2</v>
      </c>
      <c r="AN29" s="195">
        <f>Constants!$D$25/1000000000*Constants!$C$24*IF(ISBLANK(Design!$B$33),Design!$B$32,Design!$B$33)*1000000</f>
        <v>6.8250000000000005E-2</v>
      </c>
      <c r="AO29" s="195">
        <f t="shared" ca="1" si="11"/>
        <v>0.24954919372368564</v>
      </c>
      <c r="AP29" s="195">
        <f t="shared" ca="1" si="9"/>
        <v>4.4330809946629912E-2</v>
      </c>
      <c r="AQ29" s="196">
        <f ca="1">$A29+AP29*Design!$B$19</f>
        <v>87.216540497331493</v>
      </c>
      <c r="AR29" s="196">
        <f ca="1">AO29*Design!$C$12+$A29</f>
        <v>93.484672586605313</v>
      </c>
      <c r="AS29" s="196">
        <f ca="1">Constants!$D$22+Constants!$D$22*Constants!$C$23/100*(AR29-25)</f>
        <v>179.78773806928425</v>
      </c>
      <c r="AT29" s="195">
        <f ca="1">IF(100*(Design!$C$29+AH29+AG29*IF(ISBLANK(Design!$B$43),Constants!$C$6,Design!$B$43)/1000*(1+Constants!$C$36/100*(AR29-25)))/($B29+AH29-AG29*AS29/1000)&gt;Design!$C$36,  (1-Constants!$C$20/1000000000*IF(ISBLANK(Design!$B$33),Design!$B$32/4,Design!$B$33/4)*1000000) * ($B29+AH29-AG29*AS29/1000) - (AH29+AG29*(1+($A29-25)*Constants!$C$36/100)*IF(ISBLANK(Design!$B$43),Constants!$C$6/1000,Design!$B$43/1000)),   (1-Constants!$C$20/1000000000*IF(ISBLANK(Design!$B$33),Design!$B$32,Design!$B$33)*1000000) * ($B29+AH29-AG29*AS29/1000) - (AH29+AG29*(1+($A29-25)*Constants!$C$36/100)*IF(ISBLANK(Design!$B$43),Constants!$C$6/1000,Design!$B$43/1000)) )</f>
        <v>5.2560930582371723</v>
      </c>
      <c r="AU29" s="119">
        <f ca="1">IF(AT29&gt;Design!$C$29,Design!$C$29,AT29)</f>
        <v>4.99903317535545</v>
      </c>
    </row>
    <row r="30" spans="1:47" s="120" customFormat="1" ht="12.75" customHeight="1" x14ac:dyDescent="0.25">
      <c r="A30" s="112">
        <f>Design!$D$13</f>
        <v>85</v>
      </c>
      <c r="B30" s="113">
        <f t="shared" si="0"/>
        <v>6.4099999999999984</v>
      </c>
      <c r="C30" s="114">
        <f>Design!$D$7</f>
        <v>2</v>
      </c>
      <c r="D30" s="114">
        <f ca="1">FORECAST(C30, OFFSET(Design!$C$15:$C$17,MATCH(C30,Design!$B$15:$B$17,1)-1,0,2), OFFSET(Design!$B$15:$B$17,MATCH(C30,Design!$B$15:$B$17,1)-1,0,2))+(M30-25)*Design!$B$18/1000</f>
        <v>0.40437592519045384</v>
      </c>
      <c r="E30" s="173">
        <f ca="1">IF(100*(Design!$C$29+D30+C30*IF(ISBLANK(Design!$B$43),Constants!$C$6,Design!$B$43)/1000*(1+Constants!$C$36/100*(N30-25)))/($B30+D30-C30*O30/1000)&gt;Design!$C$36,Design!$C$37,100*(Design!$C$29+D30+C30*IF(ISBLANK(Design!$B$43),Constants!$C$6,Design!$B$43)/1000*(1+Constants!$C$36/100*(N30-25)))/($B30+D30-C30*O30/1000))</f>
        <v>95.537499999999994</v>
      </c>
      <c r="F30" s="115">
        <f ca="1">IF(($B30-C30*IF(ISBLANK(Design!$B$43),Constants!$C$6,Design!$B$43)/1000*(1+Constants!$C$36/100*(N30-25))-Design!$C$29)/(IF(ISBLANK(Design!$B$42),Design!$B$40,Design!$B$42)/1000000)*E30/100/(IF(ISBLANK(Design!$B$33),Design!$B$32,Design!$B$33)*1000000)&lt;0, 0, ($B30-C30*IF(ISBLANK(Design!$B$43),Constants!$C$6,Design!$B$43)/1000*(1+Constants!$C$36/100*(N30-25))-Design!$C$29)/(IF(ISBLANK(Design!$B$42),Design!$B$40,Design!$B$42)/1000000)*E30/100/(IF(ISBLANK(Design!$B$33),Design!$B$32,Design!$B$33)*1000000))</f>
        <v>0.17927173978401845</v>
      </c>
      <c r="G30" s="165">
        <f>B30*Constants!$C$21/1000+IF(ISBLANK(Design!$B$33),Design!$B$32,Design!$B$33)*1000000*Constants!$D$25/1000000000*(B30-Constants!$C$24)</f>
        <v>3.8476499999999976E-2</v>
      </c>
      <c r="H30" s="165">
        <f>B30*C30*(B30/(Constants!$C$26*1000000000)*IF(ISBLANK(Design!$B$33),Design!$B$32,Design!$B$33)*1000000/2+B30/(Constants!$C$27*1000000000)*IF(ISBLANK(Design!$B$33),Design!$B$32,Design!$B$33)*1000000/2)</f>
        <v>0.21407087716894962</v>
      </c>
      <c r="I30" s="165">
        <f t="shared" ca="1" si="1"/>
        <v>0.77560364189787201</v>
      </c>
      <c r="J30" s="165">
        <f>Constants!$D$25/1000000000*Constants!$C$24*IF(ISBLANK(Design!$B$33),Design!$B$32,Design!$B$33)*1000000</f>
        <v>6.8250000000000005E-2</v>
      </c>
      <c r="K30" s="165">
        <f t="shared" ca="1" si="4"/>
        <v>1.0964010190668216</v>
      </c>
      <c r="L30" s="165">
        <f t="shared" ca="1" si="5"/>
        <v>3.6090551323248024E-2</v>
      </c>
      <c r="M30" s="166">
        <f ca="1">A30+L30*Design!$B$19</f>
        <v>86.804527566162406</v>
      </c>
      <c r="N30" s="166">
        <f ca="1">K30*Design!$C$12+A30</f>
        <v>122.27763464827194</v>
      </c>
      <c r="O30" s="166">
        <f ca="1">Constants!$D$22+Constants!$D$22*Constants!$C$23/100*(N30-25)</f>
        <v>202.82210771861756</v>
      </c>
      <c r="P30" s="165">
        <f ca="1">IF(100*(Design!$C$29+D30+C30*IF(ISBLANK(Design!$B$43),Constants!$C$6,Design!$B$43)/1000*(1+Constants!$C$36/100*(N30-25)))/($B30+D30-C30*O30/1000)&gt;Design!$C$36,  (1-Constants!$C$20/1000000000*IF(ISBLANK(Design!$B$33),Design!$B$32/4,Design!$B$33/4)*1000000) * ($B30+D30-C30*O30/1000) - (D30+C30*(1+($A30-25)*Constants!$C$36/100)*IF(ISBLANK(Design!$B$43),Constants!$C$6/1000,Design!$B$43/1000)),   (1-Constants!$C$20/1000000000*IF(ISBLANK(Design!$B$33),Design!$B$32,Design!$B$33)*1000000) * ($B30+D30-C30*O30/1000) - (D30+C30*(1+($A30-25)*Constants!$C$36/100)*IF(ISBLANK(Design!$B$43),Constants!$C$6/1000,Design!$B$43/1000)) )</f>
        <v>5.6195021320150262</v>
      </c>
      <c r="Q30" s="171">
        <f ca="1">IF(P30&gt;Design!$C$29,Design!$C$29,P30)</f>
        <v>4.99903317535545</v>
      </c>
      <c r="R30" s="181">
        <f>2*Design!$D$7/3</f>
        <v>1.3333333333333333</v>
      </c>
      <c r="S30" s="116">
        <f ca="1">FORECAST(R30, OFFSET(Design!$C$15:$C$17,MATCH(R30,Design!$B$15:$B$17,1)-1,0,2), OFFSET(Design!$B$15:$B$17,MATCH(R30,Design!$B$15:$B$17,1)-1,0,2))+(AB30-25)*Design!$B$18/1000</f>
        <v>0.35689626211005221</v>
      </c>
      <c r="T30" s="182">
        <f ca="1">IF(100*(Design!$C$29+S30+R30*IF(ISBLANK(Design!$B$43),Constants!$C$6,Design!$B$43)/1000*(1+Constants!$C$36/100*(AC30-25)))/($B30+S30-R30*AD30/1000)&gt;Design!$C$36,Design!$C$37,100*(Design!$C$29+S30+R30*IF(ISBLANK(Design!$B$43),Constants!$C$6,Design!$B$43)/1000*(1+Constants!$C$36/100*(AC30-25)))/($B30+S30-R30*AD30/1000))</f>
        <v>95.537499999999994</v>
      </c>
      <c r="U30" s="117">
        <f ca="1">IF(($B30-R30*IF(ISBLANK(Design!$B$43),Constants!$C$6,Design!$B$43)/1000*(1+Constants!$C$36/100*(AC30-25))-Design!$C$29)/(Design!$B$42/1000000)*T30/100/(IF(ISBLANK(IF(ISBLANK(Design!$B$42),Design!$B$40,Design!$B$42)),Design!$B$32,Design!$B$33)*1000000)&lt;0,0,($B30-R30*IF(ISBLANK(Design!$B$43),Constants!$C$6,Design!$B$43)/1000*(1+Constants!$C$36/100*(AC30-25))-Design!$C$29)/(IF(ISBLANK(Design!$B$42),Design!$B$40,Design!$B$42)/1000000)*T30/100/(IF(ISBLANK(Design!$B$33),Design!$B$32,Design!$B$33)*1000000))</f>
        <v>0.18487051761606835</v>
      </c>
      <c r="V30" s="183">
        <f>$B30*Constants!$C$21/1000+IF(ISBLANK(Design!$B$33),Design!$B$32,Design!$B$33)*1000000*Constants!$D$25/1000000000*($B30-Constants!$C$24)</f>
        <v>3.8476499999999976E-2</v>
      </c>
      <c r="W30" s="183">
        <f>$B30*R30*($B30/(Constants!$C$26*1000000000)*IF(ISBLANK(Design!$B$33),Design!$B$32,Design!$B$33)*1000000/2+$B30/(Constants!$C$27*1000000000)*IF(ISBLANK(Design!$B$33),Design!$B$32,Design!$B$33)*1000000/2)</f>
        <v>0.14271391811263306</v>
      </c>
      <c r="X30" s="183">
        <f t="shared" ca="1" si="2"/>
        <v>0.32068216223081603</v>
      </c>
      <c r="Y30" s="183">
        <f>Constants!$D$25/1000000000*Constants!$C$24*IF(ISBLANK(Design!$B$33),Design!$B$32,Design!$B$33)*1000000</f>
        <v>6.8250000000000005E-2</v>
      </c>
      <c r="Z30" s="183">
        <f t="shared" ca="1" si="10"/>
        <v>0.57012258034344909</v>
      </c>
      <c r="AA30" s="183">
        <f t="shared" ca="1" si="7"/>
        <v>2.1235327595548116E-2</v>
      </c>
      <c r="AB30" s="184">
        <f ca="1">$A30+AA30*Design!$B$19</f>
        <v>86.06176637977741</v>
      </c>
      <c r="AC30" s="184">
        <f ca="1">Z30*Design!$C$12+$A30</f>
        <v>104.38416773167727</v>
      </c>
      <c r="AD30" s="184">
        <f ca="1">Constants!$D$22+Constants!$D$22*Constants!$C$23/100*(AC30-25)</f>
        <v>188.50733418534182</v>
      </c>
      <c r="AE30" s="183">
        <f ca="1">IF(100*(Design!$C$29+S30+R30*IF(ISBLANK(Design!$B$43),Constants!$C$6,Design!$B$43)/1000*(1+Constants!$C$36/100*(AC30-25)))/($B30+S30-R30*AD30/1000)&gt;Design!$C$36,  (1-Constants!$C$20/1000000000*IF(ISBLANK(Design!$B$33),Design!$B$32/4,Design!$B$33/4)*1000000) * ($B30+S30-R30*AD30/1000) - (S30+R30*(1+($A30-25)*Constants!$C$36/100)*IF(ISBLANK(Design!$B$43),Constants!$C$6/1000,Design!$B$43/1000)),   (1-Constants!$C$20/1000000000*IF(ISBLANK(Design!$B$33),Design!$B$32,Design!$B$33)*1000000) * ($B30+S30-R30*AD30/1000) - (S30+R30*(1+($A30-25)*Constants!$C$36/100)*IF(ISBLANK(Design!$B$43),Constants!$C$6/1000,Design!$B$43/1000)) )</f>
        <v>5.8019909951069089</v>
      </c>
      <c r="AF30" s="117">
        <f ca="1">IF(AE30&gt;Design!$C$29,Design!$C$29,AE30)</f>
        <v>4.99903317535545</v>
      </c>
      <c r="AG30" s="118">
        <f>Design!$D$7/3</f>
        <v>0.66666666666666663</v>
      </c>
      <c r="AH30" s="118">
        <f ca="1">FORECAST(AG30, OFFSET(Design!$C$15:$C$17,MATCH(AG30,Design!$B$15:$B$17,1)-1,0,2), OFFSET(Design!$B$15:$B$17,MATCH(AG30,Design!$B$15:$B$17,1)-1,0,2))+(AQ30-25)*Design!$B$18/1000</f>
        <v>0.30794318032310219</v>
      </c>
      <c r="AI30" s="194">
        <f ca="1">IF(100*(Design!$C$29+AH30+AG30*IF(ISBLANK(Design!$B$43),Constants!$C$6,Design!$B$43)/1000*(1+Constants!$C$36/100*(AR30-25)))/($B30+AH30-AG30*AS30/1000)&gt;Design!$C$36,Design!$C$37,100*(Design!$C$29+AH30+AG30*IF(ISBLANK(Design!$B$43),Constants!$C$6,Design!$B$43)/1000*(1+Constants!$C$36/100*(AR30-25)))/($B30+AH30-AG30*AS30/1000))</f>
        <v>80.943201071981775</v>
      </c>
      <c r="AJ30" s="119">
        <f ca="1">IF(($B30-AG30*IF(ISBLANK(Design!$B$43),Constants!$C$6,Design!$B$43)/1000*(1+Constants!$C$36/100*(AR30-25))-Design!$C$29)/(IF(ISBLANK(Design!$B$42),Design!$B$40,Design!$B$42)/1000000)*AI30/100/(IF(ISBLANK(Design!$B$33),Design!$B$32,Design!$B$33)*1000000)&lt;0,0,($B30-AG30*IF(ISBLANK(Design!$B$43),Constants!$C$6,Design!$B$43)/1000*(1+Constants!$C$36/100*(AR30-25))-Design!$C$29)/(IF(ISBLANK(Design!$B$42),Design!$B$40,Design!$B$42)/1000000)*AI30/100/(IF(ISBLANK(Design!$B$33),Design!$B$32,Design!$B$33)*1000000))</f>
        <v>0.16085227515539904</v>
      </c>
      <c r="AK30" s="195">
        <f>$B30*Constants!$C$21/1000+IF(ISBLANK(Design!$B$33),Design!$B$32,Design!$B$33)*1000000*Constants!$D$25/1000000000*($B30-Constants!$C$24)</f>
        <v>3.8476499999999976E-2</v>
      </c>
      <c r="AL30" s="195">
        <f>$B30*AG30*($B30/(Constants!$C$26*1000000000)*IF(ISBLANK(Design!$B$33),Design!$B$32,Design!$B$33)*1000000/2+$B30/(Constants!$C$27*1000000000)*IF(ISBLANK(Design!$B$33),Design!$B$32,Design!$B$33)*1000000/2)</f>
        <v>7.1356959056316532E-2</v>
      </c>
      <c r="AM30" s="195">
        <f t="shared" ca="1" si="3"/>
        <v>6.4927685686275008E-2</v>
      </c>
      <c r="AN30" s="195">
        <f>Constants!$D$25/1000000000*Constants!$C$24*IF(ISBLANK(Design!$B$33),Design!$B$32,Design!$B$33)*1000000</f>
        <v>6.8250000000000005E-2</v>
      </c>
      <c r="AO30" s="195">
        <f t="shared" ca="1" si="11"/>
        <v>0.24301114474259153</v>
      </c>
      <c r="AP30" s="195">
        <f t="shared" ca="1" si="9"/>
        <v>3.912274179114545E-2</v>
      </c>
      <c r="AQ30" s="196">
        <f ca="1">$A30+AP30*Design!$B$19</f>
        <v>86.956137089557274</v>
      </c>
      <c r="AR30" s="196">
        <f ca="1">AO30*Design!$C$12+$A30</f>
        <v>93.262378921248114</v>
      </c>
      <c r="AS30" s="196">
        <f ca="1">Constants!$D$22+Constants!$D$22*Constants!$C$23/100*(AR30-25)</f>
        <v>179.6099031369985</v>
      </c>
      <c r="AT30" s="195">
        <f ca="1">IF(100*(Design!$C$29+AH30+AG30*IF(ISBLANK(Design!$B$43),Constants!$C$6,Design!$B$43)/1000*(1+Constants!$C$36/100*(AR30-25)))/($B30+AH30-AG30*AS30/1000)&gt;Design!$C$36,  (1-Constants!$C$20/1000000000*IF(ISBLANK(Design!$B$33),Design!$B$32/4,Design!$B$33/4)*1000000) * ($B30+AH30-AG30*AS30/1000) - (AH30+AG30*(1+($A30-25)*Constants!$C$36/100)*IF(ISBLANK(Design!$B$43),Constants!$C$6/1000,Design!$B$43/1000)),   (1-Constants!$C$20/1000000000*IF(ISBLANK(Design!$B$33),Design!$B$32,Design!$B$33)*1000000) * ($B30+AH30-AG30*AS30/1000) - (AH30+AG30*(1+($A30-25)*Constants!$C$36/100)*IF(ISBLANK(Design!$B$43),Constants!$C$6/1000,Design!$B$43/1000)) )</f>
        <v>5.0795261186942948</v>
      </c>
      <c r="AU30" s="119">
        <f ca="1">IF(AT30&gt;Design!$C$29,Design!$C$29,AT30)</f>
        <v>4.99903317535545</v>
      </c>
    </row>
    <row r="31" spans="1:47" s="120" customFormat="1" ht="12.75" customHeight="1" x14ac:dyDescent="0.25">
      <c r="A31" s="112">
        <f>Design!$D$13</f>
        <v>85</v>
      </c>
      <c r="B31" s="113">
        <f t="shared" si="0"/>
        <v>6.1949999999999985</v>
      </c>
      <c r="C31" s="114">
        <f>Design!$D$7</f>
        <v>2</v>
      </c>
      <c r="D31" s="114">
        <f ca="1">FORECAST(C31, OFFSET(Design!$C$15:$C$17,MATCH(C31,Design!$B$15:$B$17,1)-1,0,2), OFFSET(Design!$B$15:$B$17,MATCH(C31,Design!$B$15:$B$17,1)-1,0,2))+(M31-25)*Design!$B$18/1000</f>
        <v>0.40437592519045384</v>
      </c>
      <c r="E31" s="173">
        <f ca="1">IF(100*(Design!$C$29+D31+C31*IF(ISBLANK(Design!$B$43),Constants!$C$6,Design!$B$43)/1000*(1+Constants!$C$36/100*(N31-25)))/($B31+D31-C31*O31/1000)&gt;Design!$C$36,Design!$C$37,100*(Design!$C$29+D31+C31*IF(ISBLANK(Design!$B$43),Constants!$C$6,Design!$B$43)/1000*(1+Constants!$C$36/100*(N31-25)))/($B31+D31-C31*O31/1000))</f>
        <v>95.537499999999994</v>
      </c>
      <c r="F31" s="115">
        <f ca="1">IF(($B31-C31*IF(ISBLANK(Design!$B$43),Constants!$C$6,Design!$B$43)/1000*(1+Constants!$C$36/100*(N31-25))-Design!$C$29)/(IF(ISBLANK(Design!$B$42),Design!$B$40,Design!$B$42)/1000000)*E31/100/(IF(ISBLANK(Design!$B$33),Design!$B$32,Design!$B$33)*1000000)&lt;0, 0, ($B31-C31*IF(ISBLANK(Design!$B$43),Constants!$C$6,Design!$B$43)/1000*(1+Constants!$C$36/100*(N31-25))-Design!$C$29)/(IF(ISBLANK(Design!$B$42),Design!$B$40,Design!$B$42)/1000000)*E31/100/(IF(ISBLANK(Design!$B$33),Design!$B$32,Design!$B$33)*1000000))</f>
        <v>0.14966104755408349</v>
      </c>
      <c r="G31" s="165">
        <f>B31*Constants!$C$21/1000+IF(ISBLANK(Design!$B$33),Design!$B$32,Design!$B$33)*1000000*Constants!$D$25/1000000000*(B31-Constants!$C$24)</f>
        <v>3.4896749999999976E-2</v>
      </c>
      <c r="H31" s="165">
        <f>B31*C31*(B31/(Constants!$C$26*1000000000)*IF(ISBLANK(Design!$B$33),Design!$B$32,Design!$B$33)*1000000/2+B31/(Constants!$C$27*1000000000)*IF(ISBLANK(Design!$B$33),Design!$B$32,Design!$B$33)*1000000/2)</f>
        <v>0.19995126267123278</v>
      </c>
      <c r="I31" s="165">
        <f t="shared" ca="1" si="1"/>
        <v>0.7733738685763808</v>
      </c>
      <c r="J31" s="165">
        <f>Constants!$D$25/1000000000*Constants!$C$24*IF(ISBLANK(Design!$B$33),Design!$B$32,Design!$B$33)*1000000</f>
        <v>6.8250000000000005E-2</v>
      </c>
      <c r="K31" s="165">
        <f t="shared" ca="1" si="4"/>
        <v>1.0764718812476135</v>
      </c>
      <c r="L31" s="165">
        <f t="shared" ca="1" si="5"/>
        <v>3.6090551323248024E-2</v>
      </c>
      <c r="M31" s="166">
        <f ca="1">A31+L31*Design!$B$19</f>
        <v>86.804527566162406</v>
      </c>
      <c r="N31" s="166">
        <f ca="1">K31*Design!$C$12+A31</f>
        <v>121.60004396241885</v>
      </c>
      <c r="O31" s="166">
        <f ca="1">Constants!$D$22+Constants!$D$22*Constants!$C$23/100*(N31-25)</f>
        <v>202.2800351699351</v>
      </c>
      <c r="P31" s="165">
        <f ca="1">IF(100*(Design!$C$29+D31+C31*IF(ISBLANK(Design!$B$43),Constants!$C$6,Design!$B$43)/1000*(1+Constants!$C$36/100*(N31-25)))/($B31+D31-C31*O31/1000)&gt;Design!$C$36,  (1-Constants!$C$20/1000000000*IF(ISBLANK(Design!$B$33),Design!$B$32/4,Design!$B$33/4)*1000000) * ($B31+D31-C31*O31/1000) - (D31+C31*(1+($A31-25)*Constants!$C$36/100)*IF(ISBLANK(Design!$B$43),Constants!$C$6/1000,Design!$B$43/1000)),   (1-Constants!$C$20/1000000000*IF(ISBLANK(Design!$B$33),Design!$B$32,Design!$B$33)*1000000) * ($B31+D31-C31*O31/1000) - (D31+C31*(1+($A31-25)*Constants!$C$36/100)*IF(ISBLANK(Design!$B$43),Constants!$C$6/1000,Design!$B$43/1000)) )</f>
        <v>5.4151322721374209</v>
      </c>
      <c r="Q31" s="171">
        <f ca="1">IF(P31&gt;Design!$C$29,Design!$C$29,P31)</f>
        <v>4.99903317535545</v>
      </c>
      <c r="R31" s="181">
        <f>2*Design!$D$7/3</f>
        <v>1.3333333333333333</v>
      </c>
      <c r="S31" s="116">
        <f ca="1">FORECAST(R31, OFFSET(Design!$C$15:$C$17,MATCH(R31,Design!$B$15:$B$17,1)-1,0,2), OFFSET(Design!$B$15:$B$17,MATCH(R31,Design!$B$15:$B$17,1)-1,0,2))+(AB31-25)*Design!$B$18/1000</f>
        <v>0.35689626211005221</v>
      </c>
      <c r="T31" s="182">
        <f ca="1">IF(100*(Design!$C$29+S31+R31*IF(ISBLANK(Design!$B$43),Constants!$C$6,Design!$B$43)/1000*(1+Constants!$C$36/100*(AC31-25)))/($B31+S31-R31*AD31/1000)&gt;Design!$C$36,Design!$C$37,100*(Design!$C$29+S31+R31*IF(ISBLANK(Design!$B$43),Constants!$C$6,Design!$B$43)/1000*(1+Constants!$C$36/100*(AC31-25)))/($B31+S31-R31*AD31/1000))</f>
        <v>95.537499999999994</v>
      </c>
      <c r="U31" s="117">
        <f ca="1">IF(($B31-R31*IF(ISBLANK(Design!$B$43),Constants!$C$6,Design!$B$43)/1000*(1+Constants!$C$36/100*(AC31-25))-Design!$C$29)/(Design!$B$42/1000000)*T31/100/(IF(ISBLANK(IF(ISBLANK(Design!$B$42),Design!$B$40,Design!$B$42)),Design!$B$32,Design!$B$33)*1000000)&lt;0,0,($B31-R31*IF(ISBLANK(Design!$B$43),Constants!$C$6,Design!$B$43)/1000*(1+Constants!$C$36/100*(AC31-25))-Design!$C$29)/(IF(ISBLANK(Design!$B$42),Design!$B$40,Design!$B$42)/1000000)*T31/100/(IF(ISBLANK(Design!$B$33),Design!$B$32,Design!$B$33)*1000000))</f>
        <v>0.15524399587839338</v>
      </c>
      <c r="V31" s="183">
        <f>$B31*Constants!$C$21/1000+IF(ISBLANK(Design!$B$33),Design!$B$32,Design!$B$33)*1000000*Constants!$D$25/1000000000*($B31-Constants!$C$24)</f>
        <v>3.4896749999999976E-2</v>
      </c>
      <c r="W31" s="183">
        <f>$B31*R31*($B31/(Constants!$C$26*1000000000)*IF(ISBLANK(Design!$B$33),Design!$B$32,Design!$B$33)*1000000/2+$B31/(Constants!$C$27*1000000000)*IF(ISBLANK(Design!$B$33),Design!$B$32,Design!$B$33)*1000000/2)</f>
        <v>0.13330084178082185</v>
      </c>
      <c r="X31" s="183">
        <f t="shared" ca="1" si="2"/>
        <v>0.31989354609411697</v>
      </c>
      <c r="Y31" s="183">
        <f>Constants!$D$25/1000000000*Constants!$C$24*IF(ISBLANK(Design!$B$33),Design!$B$32,Design!$B$33)*1000000</f>
        <v>6.8250000000000005E-2</v>
      </c>
      <c r="Z31" s="183">
        <f t="shared" ca="1" si="10"/>
        <v>0.55634113787493877</v>
      </c>
      <c r="AA31" s="183">
        <f t="shared" ca="1" si="7"/>
        <v>2.1235327595548116E-2</v>
      </c>
      <c r="AB31" s="184">
        <f ca="1">$A31+AA31*Design!$B$19</f>
        <v>86.06176637977741</v>
      </c>
      <c r="AC31" s="184">
        <f ca="1">Z31*Design!$C$12+$A31</f>
        <v>103.91559868774792</v>
      </c>
      <c r="AD31" s="184">
        <f ca="1">Constants!$D$22+Constants!$D$22*Constants!$C$23/100*(AC31-25)</f>
        <v>188.13247895019833</v>
      </c>
      <c r="AE31" s="183">
        <f ca="1">IF(100*(Design!$C$29+S31+R31*IF(ISBLANK(Design!$B$43),Constants!$C$6,Design!$B$43)/1000*(1+Constants!$C$36/100*(AC31-25)))/($B31+S31-R31*AD31/1000)&gt;Design!$C$36,  (1-Constants!$C$20/1000000000*IF(ISBLANK(Design!$B$33),Design!$B$32/4,Design!$B$33/4)*1000000) * ($B31+S31-R31*AD31/1000) - (S31+R31*(1+($A31-25)*Constants!$C$36/100)*IF(ISBLANK(Design!$B$43),Constants!$C$6/1000,Design!$B$43/1000)),   (1-Constants!$C$20/1000000000*IF(ISBLANK(Design!$B$33),Design!$B$32,Design!$B$33)*1000000) * ($B31+S31-R31*AD31/1000) - (S31+R31*(1+($A31-25)*Constants!$C$36/100)*IF(ISBLANK(Design!$B$43),Constants!$C$6/1000,Design!$B$43/1000)) )</f>
        <v>5.5970628732006089</v>
      </c>
      <c r="AF31" s="117">
        <f ca="1">IF(AE31&gt;Design!$C$29,Design!$C$29,AE31)</f>
        <v>4.99903317535545</v>
      </c>
      <c r="AG31" s="118">
        <f>Design!$D$7/3</f>
        <v>0.66666666666666663</v>
      </c>
      <c r="AH31" s="118">
        <f ca="1">FORECAST(AG31, OFFSET(Design!$C$15:$C$17,MATCH(AG31,Design!$B$15:$B$17,1)-1,0,2), OFFSET(Design!$B$15:$B$17,MATCH(AG31,Design!$B$15:$B$17,1)-1,0,2))+(AQ31-25)*Design!$B$18/1000</f>
        <v>0.30928964219521493</v>
      </c>
      <c r="AI31" s="194">
        <f ca="1">IF(100*(Design!$C$29+AH31+AG31*IF(ISBLANK(Design!$B$43),Constants!$C$6,Design!$B$43)/1000*(1+Constants!$C$36/100*(AR31-25)))/($B31+AH31-AG31*AS31/1000)&gt;Design!$C$36,Design!$C$37,100*(Design!$C$29+AH31+AG31*IF(ISBLANK(Design!$B$43),Constants!$C$6,Design!$B$43)/1000*(1+Constants!$C$36/100*(AR31-25)))/($B31+AH31-AG31*AS31/1000))</f>
        <v>95.537499999999994</v>
      </c>
      <c r="AJ31" s="119">
        <f ca="1">IF(($B31-AG31*IF(ISBLANK(Design!$B$43),Constants!$C$6,Design!$B$43)/1000*(1+Constants!$C$36/100*(AR31-25))-Design!$C$29)/(IF(ISBLANK(Design!$B$42),Design!$B$40,Design!$B$42)/1000000)*AI31/100/(IF(ISBLANK(Design!$B$33),Design!$B$32,Design!$B$33)*1000000)&lt;0,0,($B31-AG31*IF(ISBLANK(Design!$B$43),Constants!$C$6,Design!$B$43)/1000*(1+Constants!$C$36/100*(AR31-25))-Design!$C$29)/(IF(ISBLANK(Design!$B$42),Design!$B$40,Design!$B$42)/1000000)*AI31/100/(IF(ISBLANK(Design!$B$33),Design!$B$32,Design!$B$33)*1000000))</f>
        <v>0.16021265708590421</v>
      </c>
      <c r="AK31" s="195">
        <f>$B31*Constants!$C$21/1000+IF(ISBLANK(Design!$B$33),Design!$B$32,Design!$B$33)*1000000*Constants!$D$25/1000000000*($B31-Constants!$C$24)</f>
        <v>3.4896749999999976E-2</v>
      </c>
      <c r="AL31" s="195">
        <f>$B31*AG31*($B31/(Constants!$C$26*1000000000)*IF(ISBLANK(Design!$B$33),Design!$B$32,Design!$B$33)*1000000/2+$B31/(Constants!$C$27*1000000000)*IF(ISBLANK(Design!$B$33),Design!$B$32,Design!$B$33)*1000000/2)</f>
        <v>6.6650420890410927E-2</v>
      </c>
      <c r="AM31" s="195">
        <f t="shared" ca="1" si="3"/>
        <v>7.6671528145680914E-2</v>
      </c>
      <c r="AN31" s="195">
        <f>Constants!$D$25/1000000000*Constants!$C$24*IF(ISBLANK(Design!$B$33),Design!$B$32,Design!$B$33)*1000000</f>
        <v>6.8250000000000005E-2</v>
      </c>
      <c r="AO31" s="195">
        <f t="shared" ca="1" si="11"/>
        <v>0.24646869903609184</v>
      </c>
      <c r="AP31" s="195">
        <f t="shared" ca="1" si="9"/>
        <v>9.2013668553076484E-3</v>
      </c>
      <c r="AQ31" s="196">
        <f ca="1">$A31+AP31*Design!$B$19</f>
        <v>85.460068342765382</v>
      </c>
      <c r="AR31" s="196">
        <f ca="1">AO31*Design!$C$12+$A31</f>
        <v>93.379935767227124</v>
      </c>
      <c r="AS31" s="196">
        <f ca="1">Constants!$D$22+Constants!$D$22*Constants!$C$23/100*(AR31-25)</f>
        <v>179.70394861378171</v>
      </c>
      <c r="AT31" s="195">
        <f ca="1">IF(100*(Design!$C$29+AH31+AG31*IF(ISBLANK(Design!$B$43),Constants!$C$6,Design!$B$43)/1000*(1+Constants!$C$36/100*(AR31-25)))/($B31+AH31-AG31*AS31/1000)&gt;Design!$C$36,  (1-Constants!$C$20/1000000000*IF(ISBLANK(Design!$B$33),Design!$B$32/4,Design!$B$33/4)*1000000) * ($B31+AH31-AG31*AS31/1000) - (AH31+AG31*(1+($A31-25)*Constants!$C$36/100)*IF(ISBLANK(Design!$B$43),Constants!$C$6/1000,Design!$B$43/1000)),   (1-Constants!$C$20/1000000000*IF(ISBLANK(Design!$B$33),Design!$B$32,Design!$B$33)*1000000) * ($B31+AH31-AG31*AS31/1000) - (AH31+AG31*(1+($A31-25)*Constants!$C$36/100)*IF(ISBLANK(Design!$B$43),Constants!$C$6/1000,Design!$B$43/1000)) )</f>
        <v>5.7573349681124419</v>
      </c>
      <c r="AU31" s="119">
        <f ca="1">IF(AT31&gt;Design!$C$29,Design!$C$29,AT31)</f>
        <v>4.99903317535545</v>
      </c>
    </row>
    <row r="32" spans="1:47" s="120" customFormat="1" ht="12.75" customHeight="1" x14ac:dyDescent="0.25">
      <c r="A32" s="112">
        <f>Design!$D$13</f>
        <v>85</v>
      </c>
      <c r="B32" s="113">
        <f t="shared" si="0"/>
        <v>5.9799999999999986</v>
      </c>
      <c r="C32" s="114">
        <f>Design!$D$7</f>
        <v>2</v>
      </c>
      <c r="D32" s="114">
        <f ca="1">FORECAST(C32, OFFSET(Design!$C$15:$C$17,MATCH(C32,Design!$B$15:$B$17,1)-1,0,2), OFFSET(Design!$B$15:$B$17,MATCH(C32,Design!$B$15:$B$17,1)-1,0,2))+(M32-25)*Design!$B$18/1000</f>
        <v>0.40437592519045384</v>
      </c>
      <c r="E32" s="173">
        <f ca="1">IF(100*(Design!$C$29+D32+C32*IF(ISBLANK(Design!$B$43),Constants!$C$6,Design!$B$43)/1000*(1+Constants!$C$36/100*(N32-25)))/($B32+D32-C32*O32/1000)&gt;Design!$C$36,Design!$C$37,100*(Design!$C$29+D32+C32*IF(ISBLANK(Design!$B$43),Constants!$C$6,Design!$B$43)/1000*(1+Constants!$C$36/100*(N32-25)))/($B32+D32-C32*O32/1000))</f>
        <v>95.537499999999994</v>
      </c>
      <c r="F32" s="115">
        <f ca="1">IF(($B32-C32*IF(ISBLANK(Design!$B$43),Constants!$C$6,Design!$B$43)/1000*(1+Constants!$C$36/100*(N32-25))-Design!$C$29)/(IF(ISBLANK(Design!$B$42),Design!$B$40,Design!$B$42)/1000000)*E32/100/(IF(ISBLANK(Design!$B$33),Design!$B$32,Design!$B$33)*1000000)&lt;0, 0, ($B32-C32*IF(ISBLANK(Design!$B$43),Constants!$C$6,Design!$B$43)/1000*(1+Constants!$C$36/100*(N32-25))-Design!$C$29)/(IF(ISBLANK(Design!$B$42),Design!$B$40,Design!$B$42)/1000000)*E32/100/(IF(ISBLANK(Design!$B$33),Design!$B$32,Design!$B$33)*1000000))</f>
        <v>0.12004951543172139</v>
      </c>
      <c r="G32" s="165">
        <f>B32*Constants!$C$21/1000+IF(ISBLANK(Design!$B$33),Design!$B$32,Design!$B$33)*1000000*Constants!$D$25/1000000000*(B32-Constants!$C$24)</f>
        <v>3.1316999999999984E-2</v>
      </c>
      <c r="H32" s="165">
        <f>B32*C32*(B32/(Constants!$C$26*1000000000)*IF(ISBLANK(Design!$B$33),Design!$B$32,Design!$B$33)*1000000/2+B32/(Constants!$C$27*1000000000)*IF(ISBLANK(Design!$B$33),Design!$B$32,Design!$B$33)*1000000/2)</f>
        <v>0.1863133168949771</v>
      </c>
      <c r="I32" s="165">
        <f t="shared" ca="1" si="1"/>
        <v>0.77123235660570644</v>
      </c>
      <c r="J32" s="165">
        <f>Constants!$D$25/1000000000*Constants!$C$24*IF(ISBLANK(Design!$B$33),Design!$B$32,Design!$B$33)*1000000</f>
        <v>6.8250000000000005E-2</v>
      </c>
      <c r="K32" s="165">
        <f t="shared" ca="1" si="4"/>
        <v>1.0571126735006835</v>
      </c>
      <c r="L32" s="165">
        <f t="shared" ca="1" si="5"/>
        <v>3.6090551323248024E-2</v>
      </c>
      <c r="M32" s="166">
        <f ca="1">A32+L32*Design!$B$19</f>
        <v>86.804527566162406</v>
      </c>
      <c r="N32" s="166">
        <f ca="1">K32*Design!$C$12+A32</f>
        <v>120.94183089902324</v>
      </c>
      <c r="O32" s="166">
        <f ca="1">Constants!$D$22+Constants!$D$22*Constants!$C$23/100*(N32-25)</f>
        <v>201.75346471921858</v>
      </c>
      <c r="P32" s="165">
        <f ca="1">IF(100*(Design!$C$29+D32+C32*IF(ISBLANK(Design!$B$43),Constants!$C$6,Design!$B$43)/1000*(1+Constants!$C$36/100*(N32-25)))/($B32+D32-C32*O32/1000)&gt;Design!$C$36,  (1-Constants!$C$20/1000000000*IF(ISBLANK(Design!$B$33),Design!$B$32/4,Design!$B$33/4)*1000000) * ($B32+D32-C32*O32/1000) - (D32+C32*(1+($A32-25)*Constants!$C$36/100)*IF(ISBLANK(Design!$B$43),Constants!$C$6/1000,Design!$B$43/1000)),   (1-Constants!$C$20/1000000000*IF(ISBLANK(Design!$B$33),Design!$B$32,Design!$B$33)*1000000) * ($B32+D32-C32*O32/1000) - (D32+C32*(1+($A32-25)*Constants!$C$36/100)*IF(ISBLANK(Design!$B$43),Constants!$C$6/1000,Design!$B$43/1000)) )</f>
        <v>5.2107327916261275</v>
      </c>
      <c r="Q32" s="171">
        <f ca="1">IF(P32&gt;Design!$C$29,Design!$C$29,P32)</f>
        <v>4.99903317535545</v>
      </c>
      <c r="R32" s="181">
        <f>2*Design!$D$7/3</f>
        <v>1.3333333333333333</v>
      </c>
      <c r="S32" s="116">
        <f ca="1">FORECAST(R32, OFFSET(Design!$C$15:$C$17,MATCH(R32,Design!$B$15:$B$17,1)-1,0,2), OFFSET(Design!$B$15:$B$17,MATCH(R32,Design!$B$15:$B$17,1)-1,0,2))+(AB32-25)*Design!$B$18/1000</f>
        <v>0.35689626211005221</v>
      </c>
      <c r="T32" s="182">
        <f ca="1">IF(100*(Design!$C$29+S32+R32*IF(ISBLANK(Design!$B$43),Constants!$C$6,Design!$B$43)/1000*(1+Constants!$C$36/100*(AC32-25)))/($B32+S32-R32*AD32/1000)&gt;Design!$C$36,Design!$C$37,100*(Design!$C$29+S32+R32*IF(ISBLANK(Design!$B$43),Constants!$C$6,Design!$B$43)/1000*(1+Constants!$C$36/100*(AC32-25)))/($B32+S32-R32*AD32/1000))</f>
        <v>95.537499999999994</v>
      </c>
      <c r="U32" s="117">
        <f ca="1">IF(($B32-R32*IF(ISBLANK(Design!$B$43),Constants!$C$6,Design!$B$43)/1000*(1+Constants!$C$36/100*(AC32-25))-Design!$C$29)/(Design!$B$42/1000000)*T32/100/(IF(ISBLANK(IF(ISBLANK(Design!$B$42),Design!$B$40,Design!$B$42)),Design!$B$32,Design!$B$33)*1000000)&lt;0,0,($B32-R32*IF(ISBLANK(Design!$B$43),Constants!$C$6,Design!$B$43)/1000*(1+Constants!$C$36/100*(AC32-25))-Design!$C$29)/(IF(ISBLANK(Design!$B$42),Design!$B$40,Design!$B$42)/1000000)*T32/100/(IF(ISBLANK(Design!$B$33),Design!$B$32,Design!$B$33)*1000000))</f>
        <v>0.12561711572304876</v>
      </c>
      <c r="V32" s="183">
        <f>$B32*Constants!$C$21/1000+IF(ISBLANK(Design!$B$33),Design!$B$32,Design!$B$33)*1000000*Constants!$D$25/1000000000*($B32-Constants!$C$24)</f>
        <v>3.1316999999999984E-2</v>
      </c>
      <c r="W32" s="183">
        <f>$B32*R32*($B32/(Constants!$C$26*1000000000)*IF(ISBLANK(Design!$B$33),Design!$B$32,Design!$B$33)*1000000/2+$B32/(Constants!$C$27*1000000000)*IF(ISBLANK(Design!$B$33),Design!$B$32,Design!$B$33)*1000000/2)</f>
        <v>0.12420887792998471</v>
      </c>
      <c r="X32" s="183">
        <f t="shared" ca="1" si="2"/>
        <v>0.31914863742556815</v>
      </c>
      <c r="Y32" s="183">
        <f>Constants!$D$25/1000000000*Constants!$C$24*IF(ISBLANK(Design!$B$33),Design!$B$32,Design!$B$33)*1000000</f>
        <v>6.8250000000000005E-2</v>
      </c>
      <c r="Z32" s="183">
        <f t="shared" ca="1" si="10"/>
        <v>0.54292451535555286</v>
      </c>
      <c r="AA32" s="183">
        <f t="shared" ca="1" si="7"/>
        <v>2.1235327595548116E-2</v>
      </c>
      <c r="AB32" s="184">
        <f ca="1">$A32+AA32*Design!$B$19</f>
        <v>86.06176637977741</v>
      </c>
      <c r="AC32" s="184">
        <f ca="1">Z32*Design!$C$12+$A32</f>
        <v>103.4594335220888</v>
      </c>
      <c r="AD32" s="184">
        <f ca="1">Constants!$D$22+Constants!$D$22*Constants!$C$23/100*(AC32-25)</f>
        <v>187.76754681767105</v>
      </c>
      <c r="AE32" s="183">
        <f ca="1">IF(100*(Design!$C$29+S32+R32*IF(ISBLANK(Design!$B$43),Constants!$C$6,Design!$B$43)/1000*(1+Constants!$C$36/100*(AC32-25)))/($B32+S32-R32*AD32/1000)&gt;Design!$C$36,  (1-Constants!$C$20/1000000000*IF(ISBLANK(Design!$B$33),Design!$B$32/4,Design!$B$33/4)*1000000) * ($B32+S32-R32*AD32/1000) - (S32+R32*(1+($A32-25)*Constants!$C$36/100)*IF(ISBLANK(Design!$B$43),Constants!$C$6/1000,Design!$B$43/1000)),   (1-Constants!$C$20/1000000000*IF(ISBLANK(Design!$B$33),Design!$B$32,Design!$B$33)*1000000) * ($B32+S32-R32*AD32/1000) - (S32+R32*(1+($A32-25)*Constants!$C$36/100)*IF(ISBLANK(Design!$B$43),Constants!$C$6/1000,Design!$B$43/1000)) )</f>
        <v>5.3921221109154267</v>
      </c>
      <c r="AF32" s="117">
        <f ca="1">IF(AE32&gt;Design!$C$29,Design!$C$29,AE32)</f>
        <v>4.99903317535545</v>
      </c>
      <c r="AG32" s="118">
        <f>Design!$D$7/3</f>
        <v>0.66666666666666663</v>
      </c>
      <c r="AH32" s="118">
        <f ca="1">FORECAST(AG32, OFFSET(Design!$C$15:$C$17,MATCH(AG32,Design!$B$15:$B$17,1)-1,0,2), OFFSET(Design!$B$15:$B$17,MATCH(AG32,Design!$B$15:$B$17,1)-1,0,2))+(AQ32-25)*Design!$B$18/1000</f>
        <v>0.30928964219521493</v>
      </c>
      <c r="AI32" s="194">
        <f ca="1">IF(100*(Design!$C$29+AH32+AG32*IF(ISBLANK(Design!$B$43),Constants!$C$6,Design!$B$43)/1000*(1+Constants!$C$36/100*(AR32-25)))/($B32+AH32-AG32*AS32/1000)&gt;Design!$C$36,Design!$C$37,100*(Design!$C$29+AH32+AG32*IF(ISBLANK(Design!$B$43),Constants!$C$6,Design!$B$43)/1000*(1+Constants!$C$36/100*(AR32-25)))/($B32+AH32-AG32*AS32/1000))</f>
        <v>95.537499999999994</v>
      </c>
      <c r="AJ32" s="119">
        <f ca="1">IF(($B32-AG32*IF(ISBLANK(Design!$B$43),Constants!$C$6,Design!$B$43)/1000*(1+Constants!$C$36/100*(AR32-25))-Design!$C$29)/(IF(ISBLANK(Design!$B$42),Design!$B$40,Design!$B$42)/1000000)*AI32/100/(IF(ISBLANK(Design!$B$33),Design!$B$32,Design!$B$33)*1000000)&lt;0,0,($B32-AG32*IF(ISBLANK(Design!$B$43),Constants!$C$6,Design!$B$43)/1000*(1+Constants!$C$36/100*(AR32-25))-Design!$C$29)/(IF(ISBLANK(Design!$B$42),Design!$B$40,Design!$B$42)/1000000)*AI32/100/(IF(ISBLANK(Design!$B$33),Design!$B$32,Design!$B$33)*1000000))</f>
        <v>0.1305766953901758</v>
      </c>
      <c r="AK32" s="195">
        <f>$B32*Constants!$C$21/1000+IF(ISBLANK(Design!$B$33),Design!$B$32,Design!$B$33)*1000000*Constants!$D$25/1000000000*($B32-Constants!$C$24)</f>
        <v>3.1316999999999984E-2</v>
      </c>
      <c r="AL32" s="195">
        <f>$B32*AG32*($B32/(Constants!$C$26*1000000000)*IF(ISBLANK(Design!$B$33),Design!$B$32,Design!$B$33)*1000000/2+$B32/(Constants!$C$27*1000000000)*IF(ISBLANK(Design!$B$33),Design!$B$32,Design!$B$33)*1000000/2)</f>
        <v>6.2104438964992355E-2</v>
      </c>
      <c r="AM32" s="195">
        <f t="shared" ca="1" si="3"/>
        <v>7.6451536054139541E-2</v>
      </c>
      <c r="AN32" s="195">
        <f>Constants!$D$25/1000000000*Constants!$C$24*IF(ISBLANK(Design!$B$33),Design!$B$32,Design!$B$33)*1000000</f>
        <v>6.8250000000000005E-2</v>
      </c>
      <c r="AO32" s="195">
        <f t="shared" ca="1" si="11"/>
        <v>0.23812297501913188</v>
      </c>
      <c r="AP32" s="195">
        <f t="shared" ca="1" si="9"/>
        <v>9.2013668553076484E-3</v>
      </c>
      <c r="AQ32" s="196">
        <f ca="1">$A32+AP32*Design!$B$19</f>
        <v>85.460068342765382</v>
      </c>
      <c r="AR32" s="196">
        <f ca="1">AO32*Design!$C$12+$A32</f>
        <v>93.09618115065048</v>
      </c>
      <c r="AS32" s="196">
        <f ca="1">Constants!$D$22+Constants!$D$22*Constants!$C$23/100*(AR32-25)</f>
        <v>179.4769449205204</v>
      </c>
      <c r="AT32" s="195">
        <f ca="1">IF(100*(Design!$C$29+AH32+AG32*IF(ISBLANK(Design!$B$43),Constants!$C$6,Design!$B$43)/1000*(1+Constants!$C$36/100*(AR32-25)))/($B32+AH32-AG32*AS32/1000)&gt;Design!$C$36,  (1-Constants!$C$20/1000000000*IF(ISBLANK(Design!$B$33),Design!$B$32/4,Design!$B$33/4)*1000000) * ($B32+AH32-AG32*AS32/1000) - (AH32+AG32*(1+($A32-25)*Constants!$C$36/100)*IF(ISBLANK(Design!$B$43),Constants!$C$6/1000,Design!$B$43/1000)),   (1-Constants!$C$20/1000000000*IF(ISBLANK(Design!$B$33),Design!$B$32,Design!$B$33)*1000000) * ($B32+AH32-AG32*AS32/1000) - (AH32+AG32*(1+($A32-25)*Constants!$C$36/100)*IF(ISBLANK(Design!$B$43),Constants!$C$6/1000,Design!$B$43/1000)) )</f>
        <v>5.5520739255480756</v>
      </c>
      <c r="AU32" s="119">
        <f ca="1">IF(AT32&gt;Design!$C$29,Design!$C$29,AT32)</f>
        <v>4.99903317535545</v>
      </c>
    </row>
    <row r="33" spans="1:47" s="120" customFormat="1" ht="12.75" customHeight="1" x14ac:dyDescent="0.25">
      <c r="A33" s="112">
        <f>Design!$D$13</f>
        <v>85</v>
      </c>
      <c r="B33" s="113">
        <f t="shared" si="0"/>
        <v>5.7649999999999988</v>
      </c>
      <c r="C33" s="114">
        <f>Design!$D$7</f>
        <v>2</v>
      </c>
      <c r="D33" s="114">
        <f ca="1">FORECAST(C33, OFFSET(Design!$C$15:$C$17,MATCH(C33,Design!$B$15:$B$17,1)-1,0,2), OFFSET(Design!$B$15:$B$17,MATCH(C33,Design!$B$15:$B$17,1)-1,0,2))+(M33-25)*Design!$B$18/1000</f>
        <v>0.40437592519045384</v>
      </c>
      <c r="E33" s="173">
        <f ca="1">IF(100*(Design!$C$29+D33+C33*IF(ISBLANK(Design!$B$43),Constants!$C$6,Design!$B$43)/1000*(1+Constants!$C$36/100*(N33-25)))/($B33+D33-C33*O33/1000)&gt;Design!$C$36,Design!$C$37,100*(Design!$C$29+D33+C33*IF(ISBLANK(Design!$B$43),Constants!$C$6,Design!$B$43)/1000*(1+Constants!$C$36/100*(N33-25)))/($B33+D33-C33*O33/1000))</f>
        <v>95.537499999999994</v>
      </c>
      <c r="F33" s="115">
        <f ca="1">IF(($B33-C33*IF(ISBLANK(Design!$B$43),Constants!$C$6,Design!$B$43)/1000*(1+Constants!$C$36/100*(N33-25))-Design!$C$29)/(IF(ISBLANK(Design!$B$42),Design!$B$40,Design!$B$42)/1000000)*E33/100/(IF(ISBLANK(Design!$B$33),Design!$B$32,Design!$B$33)*1000000)&lt;0, 0, ($B33-C33*IF(ISBLANK(Design!$B$43),Constants!$C$6,Design!$B$43)/1000*(1+Constants!$C$36/100*(N33-25))-Design!$C$29)/(IF(ISBLANK(Design!$B$42),Design!$B$40,Design!$B$42)/1000000)*E33/100/(IF(ISBLANK(Design!$B$33),Design!$B$32,Design!$B$33)*1000000))</f>
        <v>9.0437143824312019E-2</v>
      </c>
      <c r="G33" s="165">
        <f>B33*Constants!$C$21/1000+IF(ISBLANK(Design!$B$33),Design!$B$32,Design!$B$33)*1000000*Constants!$D$25/1000000000*(B33-Constants!$C$24)</f>
        <v>2.7737249999999977E-2</v>
      </c>
      <c r="H33" s="165">
        <f>B33*C33*(B33/(Constants!$C$26*1000000000)*IF(ISBLANK(Design!$B$33),Design!$B$32,Design!$B$33)*1000000/2+B33/(Constants!$C$27*1000000000)*IF(ISBLANK(Design!$B$33),Design!$B$32,Design!$B$33)*1000000/2)</f>
        <v>0.1731570398401826</v>
      </c>
      <c r="I33" s="165">
        <f t="shared" ca="1" si="1"/>
        <v>0.76917882954811334</v>
      </c>
      <c r="J33" s="165">
        <f>Constants!$D$25/1000000000*Constants!$C$24*IF(ISBLANK(Design!$B$33),Design!$B$32,Design!$B$33)*1000000</f>
        <v>6.8250000000000005E-2</v>
      </c>
      <c r="K33" s="165">
        <f t="shared" ca="1" si="4"/>
        <v>1.0383231193882958</v>
      </c>
      <c r="L33" s="165">
        <f t="shared" ca="1" si="5"/>
        <v>3.6090551323248024E-2</v>
      </c>
      <c r="M33" s="166">
        <f ca="1">A33+L33*Design!$B$19</f>
        <v>86.804527566162406</v>
      </c>
      <c r="N33" s="166">
        <f ca="1">K33*Design!$C$12+A33</f>
        <v>120.30298605920206</v>
      </c>
      <c r="O33" s="166">
        <f ca="1">Constants!$D$22+Constants!$D$22*Constants!$C$23/100*(N33-25)</f>
        <v>201.24238884736167</v>
      </c>
      <c r="P33" s="165">
        <f ca="1">IF(100*(Design!$C$29+D33+C33*IF(ISBLANK(Design!$B$43),Constants!$C$6,Design!$B$43)/1000*(1+Constants!$C$36/100*(N33-25)))/($B33+D33-C33*O33/1000)&gt;Design!$C$36,  (1-Constants!$C$20/1000000000*IF(ISBLANK(Design!$B$33),Design!$B$32/4,Design!$B$33/4)*1000000) * ($B33+D33-C33*O33/1000) - (D33+C33*(1+($A33-25)*Constants!$C$36/100)*IF(ISBLANK(Design!$B$43),Constants!$C$6/1000,Design!$B$43/1000)),   (1-Constants!$C$20/1000000000*IF(ISBLANK(Design!$B$33),Design!$B$32,Design!$B$33)*1000000) * ($B33+D33-C33*O33/1000) - (D33+C33*(1+($A33-25)*Constants!$C$36/100)*IF(ISBLANK(Design!$B$43),Constants!$C$6/1000,Design!$B$43/1000)) )</f>
        <v>5.0063037048482784</v>
      </c>
      <c r="Q33" s="171">
        <f ca="1">IF(P33&gt;Design!$C$29,Design!$C$29,P33)</f>
        <v>4.99903317535545</v>
      </c>
      <c r="R33" s="181">
        <f>2*Design!$D$7/3</f>
        <v>1.3333333333333333</v>
      </c>
      <c r="S33" s="116">
        <f ca="1">FORECAST(R33, OFFSET(Design!$C$15:$C$17,MATCH(R33,Design!$B$15:$B$17,1)-1,0,2), OFFSET(Design!$B$15:$B$17,MATCH(R33,Design!$B$15:$B$17,1)-1,0,2))+(AB33-25)*Design!$B$18/1000</f>
        <v>0.35689626211005221</v>
      </c>
      <c r="T33" s="182">
        <f ca="1">IF(100*(Design!$C$29+S33+R33*IF(ISBLANK(Design!$B$43),Constants!$C$6,Design!$B$43)/1000*(1+Constants!$C$36/100*(AC33-25)))/($B33+S33-R33*AD33/1000)&gt;Design!$C$36,Design!$C$37,100*(Design!$C$29+S33+R33*IF(ISBLANK(Design!$B$43),Constants!$C$6,Design!$B$43)/1000*(1+Constants!$C$36/100*(AC33-25)))/($B33+S33-R33*AD33/1000))</f>
        <v>95.537499999999994</v>
      </c>
      <c r="U33" s="117">
        <f ca="1">IF(($B33-R33*IF(ISBLANK(Design!$B$43),Constants!$C$6,Design!$B$43)/1000*(1+Constants!$C$36/100*(AC33-25))-Design!$C$29)/(Design!$B$42/1000000)*T33/100/(IF(ISBLANK(IF(ISBLANK(Design!$B$42),Design!$B$40,Design!$B$42)),Design!$B$32,Design!$B$33)*1000000)&lt;0,0,($B33-R33*IF(ISBLANK(Design!$B$43),Constants!$C$6,Design!$B$43)/1000*(1+Constants!$C$36/100*(AC33-25))-Design!$C$29)/(IF(ISBLANK(Design!$B$42),Design!$B$40,Design!$B$42)/1000000)*T33/100/(IF(ISBLANK(Design!$B$33),Design!$B$32,Design!$B$33)*1000000))</f>
        <v>9.5989877326969189E-2</v>
      </c>
      <c r="V33" s="183">
        <f>$B33*Constants!$C$21/1000+IF(ISBLANK(Design!$B$33),Design!$B$32,Design!$B$33)*1000000*Constants!$D$25/1000000000*($B33-Constants!$C$24)</f>
        <v>2.7737249999999977E-2</v>
      </c>
      <c r="W33" s="183">
        <f>$B33*R33*($B33/(Constants!$C$26*1000000000)*IF(ISBLANK(Design!$B$33),Design!$B$32,Design!$B$33)*1000000/2+$B33/(Constants!$C$27*1000000000)*IF(ISBLANK(Design!$B$33),Design!$B$32,Design!$B$33)*1000000/2)</f>
        <v>0.11543802656012173</v>
      </c>
      <c r="X33" s="183">
        <f t="shared" ca="1" si="2"/>
        <v>0.31844725613002445</v>
      </c>
      <c r="Y33" s="183">
        <f>Constants!$D$25/1000000000*Constants!$C$24*IF(ISBLANK(Design!$B$33),Design!$B$32,Design!$B$33)*1000000</f>
        <v>6.8250000000000005E-2</v>
      </c>
      <c r="Z33" s="183">
        <f t="shared" ca="1" si="10"/>
        <v>0.52987253269014611</v>
      </c>
      <c r="AA33" s="183">
        <f t="shared" ca="1" si="7"/>
        <v>2.1235327595548116E-2</v>
      </c>
      <c r="AB33" s="184">
        <f ca="1">$A33+AA33*Design!$B$19</f>
        <v>86.06176637977741</v>
      </c>
      <c r="AC33" s="184">
        <f ca="1">Z33*Design!$C$12+$A33</f>
        <v>103.01566611146497</v>
      </c>
      <c r="AD33" s="184">
        <f ca="1">Constants!$D$22+Constants!$D$22*Constants!$C$23/100*(AC33-25)</f>
        <v>187.41253288917198</v>
      </c>
      <c r="AE33" s="183">
        <f ca="1">IF(100*(Design!$C$29+S33+R33*IF(ISBLANK(Design!$B$43),Constants!$C$6,Design!$B$43)/1000*(1+Constants!$C$36/100*(AC33-25)))/($B33+S33-R33*AD33/1000)&gt;Design!$C$36,  (1-Constants!$C$20/1000000000*IF(ISBLANK(Design!$B$33),Design!$B$32/4,Design!$B$33/4)*1000000) * ($B33+S33-R33*AD33/1000) - (S33+R33*(1+($A33-25)*Constants!$C$36/100)*IF(ISBLANK(Design!$B$43),Constants!$C$6/1000,Design!$B$43/1000)),   (1-Constants!$C$20/1000000000*IF(ISBLANK(Design!$B$33),Design!$B$32,Design!$B$33)*1000000) * ($B33+S33-R33*AD33/1000) - (S33+R33*(1+($A33-25)*Constants!$C$36/100)*IF(ISBLANK(Design!$B$43),Constants!$C$6/1000,Design!$B$43/1000)) )</f>
        <v>5.1871687144913468</v>
      </c>
      <c r="AF33" s="117">
        <f ca="1">IF(AE33&gt;Design!$C$29,Design!$C$29,AE33)</f>
        <v>4.99903317535545</v>
      </c>
      <c r="AG33" s="118">
        <f>Design!$D$7/3</f>
        <v>0.66666666666666663</v>
      </c>
      <c r="AH33" s="118">
        <f ca="1">FORECAST(AG33, OFFSET(Design!$C$15:$C$17,MATCH(AG33,Design!$B$15:$B$17,1)-1,0,2), OFFSET(Design!$B$15:$B$17,MATCH(AG33,Design!$B$15:$B$17,1)-1,0,2))+(AQ33-25)*Design!$B$18/1000</f>
        <v>0.30928964219521493</v>
      </c>
      <c r="AI33" s="194">
        <f ca="1">IF(100*(Design!$C$29+AH33+AG33*IF(ISBLANK(Design!$B$43),Constants!$C$6,Design!$B$43)/1000*(1+Constants!$C$36/100*(AR33-25)))/($B33+AH33-AG33*AS33/1000)&gt;Design!$C$36,Design!$C$37,100*(Design!$C$29+AH33+AG33*IF(ISBLANK(Design!$B$43),Constants!$C$6,Design!$B$43)/1000*(1+Constants!$C$36/100*(AR33-25)))/($B33+AH33-AG33*AS33/1000))</f>
        <v>95.537499999999994</v>
      </c>
      <c r="AJ33" s="119">
        <f ca="1">IF(($B33-AG33*IF(ISBLANK(Design!$B$43),Constants!$C$6,Design!$B$43)/1000*(1+Constants!$C$36/100*(AR33-25))-Design!$C$29)/(IF(ISBLANK(Design!$B$42),Design!$B$40,Design!$B$42)/1000000)*AI33/100/(IF(ISBLANK(Design!$B$33),Design!$B$32,Design!$B$33)*1000000)&lt;0,0,($B33-AG33*IF(ISBLANK(Design!$B$43),Constants!$C$6,Design!$B$43)/1000*(1+Constants!$C$36/100*(AR33-25))-Design!$C$29)/(IF(ISBLANK(Design!$B$42),Design!$B$40,Design!$B$42)/1000000)*AI33/100/(IF(ISBLANK(Design!$B$33),Design!$B$32,Design!$B$33)*1000000))</f>
        <v>0.10094064128894738</v>
      </c>
      <c r="AK33" s="195">
        <f>$B33*Constants!$C$21/1000+IF(ISBLANK(Design!$B$33),Design!$B$32,Design!$B$33)*1000000*Constants!$D$25/1000000000*($B33-Constants!$C$24)</f>
        <v>2.7737249999999977E-2</v>
      </c>
      <c r="AL33" s="195">
        <f>$B33*AG33*($B33/(Constants!$C$26*1000000000)*IF(ISBLANK(Design!$B$33),Design!$B$32,Design!$B$33)*1000000/2+$B33/(Constants!$C$27*1000000000)*IF(ISBLANK(Design!$B$33),Design!$B$32,Design!$B$33)*1000000/2)</f>
        <v>5.7719013280060863E-2</v>
      </c>
      <c r="AM33" s="195">
        <f t="shared" ca="1" si="3"/>
        <v>7.6259099931172483E-2</v>
      </c>
      <c r="AN33" s="195">
        <f>Constants!$D$25/1000000000*Constants!$C$24*IF(ISBLANK(Design!$B$33),Design!$B$32,Design!$B$33)*1000000</f>
        <v>6.8250000000000005E-2</v>
      </c>
      <c r="AO33" s="195">
        <f t="shared" ca="1" si="11"/>
        <v>0.22996536321123331</v>
      </c>
      <c r="AP33" s="195">
        <f t="shared" ca="1" si="9"/>
        <v>9.2013668553076484E-3</v>
      </c>
      <c r="AQ33" s="196">
        <f ca="1">$A33+AP33*Design!$B$19</f>
        <v>85.460068342765382</v>
      </c>
      <c r="AR33" s="196">
        <f ca="1">AO33*Design!$C$12+$A33</f>
        <v>92.818822349181929</v>
      </c>
      <c r="AS33" s="196">
        <f ca="1">Constants!$D$22+Constants!$D$22*Constants!$C$23/100*(AR33-25)</f>
        <v>179.25505787934554</v>
      </c>
      <c r="AT33" s="195">
        <f ca="1">IF(100*(Design!$C$29+AH33+AG33*IF(ISBLANK(Design!$B$43),Constants!$C$6,Design!$B$43)/1000*(1+Constants!$C$36/100*(AR33-25)))/($B33+AH33-AG33*AS33/1000)&gt;Design!$C$36,  (1-Constants!$C$20/1000000000*IF(ISBLANK(Design!$B$33),Design!$B$32/4,Design!$B$33/4)*1000000) * ($B33+AH33-AG33*AS33/1000) - (AH33+AG33*(1+($A33-25)*Constants!$C$36/100)*IF(ISBLANK(Design!$B$43),Constants!$C$6/1000,Design!$B$43/1000)),   (1-Constants!$C$20/1000000000*IF(ISBLANK(Design!$B$33),Design!$B$32,Design!$B$33)*1000000) * ($B33+AH33-AG33*AS33/1000) - (AH33+AG33*(1+($A33-25)*Constants!$C$36/100)*IF(ISBLANK(Design!$B$43),Constants!$C$6/1000,Design!$B$43/1000)) )</f>
        <v>5.3468096241027174</v>
      </c>
      <c r="AU33" s="119">
        <f ca="1">IF(AT33&gt;Design!$C$29,Design!$C$29,AT33)</f>
        <v>4.99903317535545</v>
      </c>
    </row>
    <row r="34" spans="1:47" s="120" customFormat="1" ht="12.75" customHeight="1" x14ac:dyDescent="0.25">
      <c r="A34" s="112">
        <f>Design!$D$13</f>
        <v>85</v>
      </c>
      <c r="B34" s="113">
        <f t="shared" si="0"/>
        <v>5.5499999999999989</v>
      </c>
      <c r="C34" s="114">
        <f>Design!$D$7</f>
        <v>2</v>
      </c>
      <c r="D34" s="114">
        <f ca="1">FORECAST(C34, OFFSET(Design!$C$15:$C$17,MATCH(C34,Design!$B$15:$B$17,1)-1,0,2), OFFSET(Design!$B$15:$B$17,MATCH(C34,Design!$B$15:$B$17,1)-1,0,2))+(M34-25)*Design!$B$18/1000</f>
        <v>0.40437592519045384</v>
      </c>
      <c r="E34" s="173">
        <f ca="1">IF(100*(Design!$C$29+D34+C34*IF(ISBLANK(Design!$B$43),Constants!$C$6,Design!$B$43)/1000*(1+Constants!$C$36/100*(N34-25)))/($B34+D34-C34*O34/1000)&gt;Design!$C$36,Design!$C$37,100*(Design!$C$29+D34+C34*IF(ISBLANK(Design!$B$43),Constants!$C$6,Design!$B$43)/1000*(1+Constants!$C$36/100*(N34-25)))/($B34+D34-C34*O34/1000))</f>
        <v>95.537499999999994</v>
      </c>
      <c r="F34" s="115">
        <f ca="1">IF(($B34-C34*IF(ISBLANK(Design!$B$43),Constants!$C$6,Design!$B$43)/1000*(1+Constants!$C$36/100*(N34-25))-Design!$C$29)/(IF(ISBLANK(Design!$B$42),Design!$B$40,Design!$B$42)/1000000)*E34/100/(IF(ISBLANK(Design!$B$33),Design!$B$32,Design!$B$33)*1000000)&lt;0, 0, ($B34-C34*IF(ISBLANK(Design!$B$43),Constants!$C$6,Design!$B$43)/1000*(1+Constants!$C$36/100*(N34-25))-Design!$C$29)/(IF(ISBLANK(Design!$B$42),Design!$B$40,Design!$B$42)/1000000)*E34/100/(IF(ISBLANK(Design!$B$33),Design!$B$32,Design!$B$33)*1000000))</f>
        <v>6.082393311790428E-2</v>
      </c>
      <c r="G34" s="165">
        <f>B34*Constants!$C$21/1000+IF(ISBLANK(Design!$B$33),Design!$B$32,Design!$B$33)*1000000*Constants!$D$25/1000000000*(B34-Constants!$C$24)</f>
        <v>2.4157499999999985E-2</v>
      </c>
      <c r="H34" s="165">
        <f>B34*C34*(B34/(Constants!$C$26*1000000000)*IF(ISBLANK(Design!$B$33),Design!$B$32,Design!$B$33)*1000000/2+B34/(Constants!$C$27*1000000000)*IF(ISBLANK(Design!$B$33),Design!$B$32,Design!$B$33)*1000000/2)</f>
        <v>0.16048243150684924</v>
      </c>
      <c r="I34" s="165">
        <f t="shared" ca="1" si="1"/>
        <v>0.76721302544025705</v>
      </c>
      <c r="J34" s="165">
        <f>Constants!$D$25/1000000000*Constants!$C$24*IF(ISBLANK(Design!$B$33),Design!$B$32,Design!$B$33)*1000000</f>
        <v>6.8250000000000005E-2</v>
      </c>
      <c r="K34" s="165">
        <f t="shared" ca="1" si="4"/>
        <v>1.0201029569471063</v>
      </c>
      <c r="L34" s="165">
        <f t="shared" ca="1" si="5"/>
        <v>3.6090551323248024E-2</v>
      </c>
      <c r="M34" s="166">
        <f ca="1">A34+L34*Design!$B$19</f>
        <v>86.804527566162406</v>
      </c>
      <c r="N34" s="166">
        <f ca="1">K34*Design!$C$12+A34</f>
        <v>119.68350053620162</v>
      </c>
      <c r="O34" s="166">
        <f ca="1">Constants!$D$22+Constants!$D$22*Constants!$C$23/100*(N34-25)</f>
        <v>200.74680042896131</v>
      </c>
      <c r="P34" s="165">
        <f ca="1">IF(100*(Design!$C$29+D34+C34*IF(ISBLANK(Design!$B$43),Constants!$C$6,Design!$B$43)/1000*(1+Constants!$C$36/100*(N34-25)))/($B34+D34-C34*O34/1000)&gt;Design!$C$36,  (1-Constants!$C$20/1000000000*IF(ISBLANK(Design!$B$33),Design!$B$32/4,Design!$B$33/4)*1000000) * ($B34+D34-C34*O34/1000) - (D34+C34*(1+($A34-25)*Constants!$C$36/100)*IF(ISBLANK(Design!$B$43),Constants!$C$6/1000,Design!$B$43/1000)),   (1-Constants!$C$20/1000000000*IF(ISBLANK(Design!$B$33),Design!$B$32,Design!$B$33)*1000000) * ($B34+D34-C34*O34/1000) - (D34+C34*(1+($A34-25)*Constants!$C$36/100)*IF(ISBLANK(Design!$B$43),Constants!$C$6/1000,Design!$B$43/1000)) )</f>
        <v>4.8018450254187366</v>
      </c>
      <c r="Q34" s="171">
        <f ca="1">IF(P34&gt;Design!$C$29,Design!$C$29,P34)</f>
        <v>4.8018450254187366</v>
      </c>
      <c r="R34" s="181">
        <f>2*Design!$D$7/3</f>
        <v>1.3333333333333333</v>
      </c>
      <c r="S34" s="116">
        <f ca="1">FORECAST(R34, OFFSET(Design!$C$15:$C$17,MATCH(R34,Design!$B$15:$B$17,1)-1,0,2), OFFSET(Design!$B$15:$B$17,MATCH(R34,Design!$B$15:$B$17,1)-1,0,2))+(AB34-25)*Design!$B$18/1000</f>
        <v>0.35689626211005221</v>
      </c>
      <c r="T34" s="182">
        <f ca="1">IF(100*(Design!$C$29+S34+R34*IF(ISBLANK(Design!$B$43),Constants!$C$6,Design!$B$43)/1000*(1+Constants!$C$36/100*(AC34-25)))/($B34+S34-R34*AD34/1000)&gt;Design!$C$36,Design!$C$37,100*(Design!$C$29+S34+R34*IF(ISBLANK(Design!$B$43),Constants!$C$6,Design!$B$43)/1000*(1+Constants!$C$36/100*(AC34-25)))/($B34+S34-R34*AD34/1000))</f>
        <v>95.537499999999994</v>
      </c>
      <c r="U34" s="117">
        <f ca="1">IF(($B34-R34*IF(ISBLANK(Design!$B$43),Constants!$C$6,Design!$B$43)/1000*(1+Constants!$C$36/100*(AC34-25))-Design!$C$29)/(Design!$B$42/1000000)*T34/100/(IF(ISBLANK(IF(ISBLANK(Design!$B$42),Design!$B$40,Design!$B$42)),Design!$B$32,Design!$B$33)*1000000)&lt;0,0,($B34-R34*IF(ISBLANK(Design!$B$43),Constants!$C$6,Design!$B$43)/1000*(1+Constants!$C$36/100*(AC34-25))-Design!$C$29)/(IF(ISBLANK(Design!$B$42),Design!$B$40,Design!$B$42)/1000000)*T34/100/(IF(ISBLANK(Design!$B$33),Design!$B$32,Design!$B$33)*1000000))</f>
        <v>6.6362280858518641E-2</v>
      </c>
      <c r="V34" s="183">
        <f>$B34*Constants!$C$21/1000+IF(ISBLANK(Design!$B$33),Design!$B$32,Design!$B$33)*1000000*Constants!$D$25/1000000000*($B34-Constants!$C$24)</f>
        <v>2.4157499999999985E-2</v>
      </c>
      <c r="W34" s="183">
        <f>$B34*R34*($B34/(Constants!$C$26*1000000000)*IF(ISBLANK(Design!$B$33),Design!$B$32,Design!$B$33)*1000000/2+$B34/(Constants!$C$27*1000000000)*IF(ISBLANK(Design!$B$33),Design!$B$32,Design!$B$33)*1000000/2)</f>
        <v>0.10698828767123283</v>
      </c>
      <c r="X34" s="183">
        <f t="shared" ca="1" si="2"/>
        <v>0.31778923083601612</v>
      </c>
      <c r="Y34" s="183">
        <f>Constants!$D$25/1000000000*Constants!$C$24*IF(ISBLANK(Design!$B$33),Design!$B$32,Design!$B$33)*1000000</f>
        <v>6.8250000000000005E-2</v>
      </c>
      <c r="Z34" s="183">
        <f t="shared" ca="1" si="10"/>
        <v>0.51718501850724896</v>
      </c>
      <c r="AA34" s="183">
        <f t="shared" ca="1" si="7"/>
        <v>2.1235327595548116E-2</v>
      </c>
      <c r="AB34" s="184">
        <f ca="1">$A34+AA34*Design!$B$19</f>
        <v>86.06176637977741</v>
      </c>
      <c r="AC34" s="184">
        <f ca="1">Z34*Design!$C$12+$A34</f>
        <v>102.58429062924647</v>
      </c>
      <c r="AD34" s="184">
        <f ca="1">Constants!$D$22+Constants!$D$22*Constants!$C$23/100*(AC34-25)</f>
        <v>187.06743250339719</v>
      </c>
      <c r="AE34" s="183">
        <f ca="1">IF(100*(Design!$C$29+S34+R34*IF(ISBLANK(Design!$B$43),Constants!$C$6,Design!$B$43)/1000*(1+Constants!$C$36/100*(AC34-25)))/($B34+S34-R34*AD34/1000)&gt;Design!$C$36,  (1-Constants!$C$20/1000000000*IF(ISBLANK(Design!$B$33),Design!$B$32/4,Design!$B$33/4)*1000000) * ($B34+S34-R34*AD34/1000) - (S34+R34*(1+($A34-25)*Constants!$C$36/100)*IF(ISBLANK(Design!$B$43),Constants!$C$6/1000,Design!$B$43/1000)),   (1-Constants!$C$20/1000000000*IF(ISBLANK(Design!$B$33),Design!$B$32,Design!$B$33)*1000000) * ($B34+S34-R34*AD34/1000) - (S34+R34*(1+($A34-25)*Constants!$C$36/100)*IF(ISBLANK(Design!$B$43),Constants!$C$6/1000,Design!$B$43/1000)) )</f>
        <v>4.9822026898660932</v>
      </c>
      <c r="AF34" s="117">
        <f ca="1">IF(AE34&gt;Design!$C$29,Design!$C$29,AE34)</f>
        <v>4.9822026898660932</v>
      </c>
      <c r="AG34" s="118">
        <f>Design!$D$7/3</f>
        <v>0.66666666666666663</v>
      </c>
      <c r="AH34" s="118">
        <f ca="1">FORECAST(AG34, OFFSET(Design!$C$15:$C$17,MATCH(AG34,Design!$B$15:$B$17,1)-1,0,2), OFFSET(Design!$B$15:$B$17,MATCH(AG34,Design!$B$15:$B$17,1)-1,0,2))+(AQ34-25)*Design!$B$18/1000</f>
        <v>0.30928964219521493</v>
      </c>
      <c r="AI34" s="194">
        <f ca="1">IF(100*(Design!$C$29+AH34+AG34*IF(ISBLANK(Design!$B$43),Constants!$C$6,Design!$B$43)/1000*(1+Constants!$C$36/100*(AR34-25)))/($B34+AH34-AG34*AS34/1000)&gt;Design!$C$36,Design!$C$37,100*(Design!$C$29+AH34+AG34*IF(ISBLANK(Design!$B$43),Constants!$C$6,Design!$B$43)/1000*(1+Constants!$C$36/100*(AR34-25)))/($B34+AH34-AG34*AS34/1000))</f>
        <v>95.537499999999994</v>
      </c>
      <c r="AJ34" s="119">
        <f ca="1">IF(($B34-AG34*IF(ISBLANK(Design!$B$43),Constants!$C$6,Design!$B$43)/1000*(1+Constants!$C$36/100*(AR34-25))-Design!$C$29)/(IF(ISBLANK(Design!$B$42),Design!$B$40,Design!$B$42)/1000000)*AI34/100/(IF(ISBLANK(Design!$B$33),Design!$B$32,Design!$B$33)*1000000)&lt;0,0,($B34-AG34*IF(ISBLANK(Design!$B$43),Constants!$C$6,Design!$B$43)/1000*(1+Constants!$C$36/100*(AR34-25))-Design!$C$29)/(IF(ISBLANK(Design!$B$42),Design!$B$40,Design!$B$42)/1000000)*AI34/100/(IF(ISBLANK(Design!$B$33),Design!$B$32,Design!$B$33)*1000000))</f>
        <v>7.1304494832533288E-2</v>
      </c>
      <c r="AK34" s="195">
        <f>$B34*Constants!$C$21/1000+IF(ISBLANK(Design!$B$33),Design!$B$32,Design!$B$33)*1000000*Constants!$D$25/1000000000*($B34-Constants!$C$24)</f>
        <v>2.4157499999999985E-2</v>
      </c>
      <c r="AL34" s="195">
        <f>$B34*AG34*($B34/(Constants!$C$26*1000000000)*IF(ISBLANK(Design!$B$33),Design!$B$32,Design!$B$33)*1000000/2+$B34/(Constants!$C$27*1000000000)*IF(ISBLANK(Design!$B$33),Design!$B$32,Design!$B$33)*1000000/2)</f>
        <v>5.3494143835616417E-2</v>
      </c>
      <c r="AM34" s="195">
        <f t="shared" ca="1" si="3"/>
        <v>7.60941173506577E-2</v>
      </c>
      <c r="AN34" s="195">
        <f>Constants!$D$25/1000000000*Constants!$C$24*IF(ISBLANK(Design!$B$33),Design!$B$32,Design!$B$33)*1000000</f>
        <v>6.8250000000000005E-2</v>
      </c>
      <c r="AO34" s="195">
        <f t="shared" ca="1" si="11"/>
        <v>0.22199576118627409</v>
      </c>
      <c r="AP34" s="195">
        <f t="shared" ca="1" si="9"/>
        <v>9.2013668553076484E-3</v>
      </c>
      <c r="AQ34" s="196">
        <f ca="1">$A34+AP34*Design!$B$19</f>
        <v>85.460068342765382</v>
      </c>
      <c r="AR34" s="196">
        <f ca="1">AO34*Design!$C$12+$A34</f>
        <v>92.547855880333316</v>
      </c>
      <c r="AS34" s="196">
        <f ca="1">Constants!$D$22+Constants!$D$22*Constants!$C$23/100*(AR34-25)</f>
        <v>179.03828470426666</v>
      </c>
      <c r="AT34" s="195">
        <f ca="1">IF(100*(Design!$C$29+AH34+AG34*IF(ISBLANK(Design!$B$43),Constants!$C$6,Design!$B$43)/1000*(1+Constants!$C$36/100*(AR34-25)))/($B34+AH34-AG34*AS34/1000)&gt;Design!$C$36,  (1-Constants!$C$20/1000000000*IF(ISBLANK(Design!$B$33),Design!$B$32/4,Design!$B$33/4)*1000000) * ($B34+AH34-AG34*AS34/1000) - (AH34+AG34*(1+($A34-25)*Constants!$C$36/100)*IF(ISBLANK(Design!$B$43),Constants!$C$6/1000,Design!$B$43/1000)),   (1-Constants!$C$20/1000000000*IF(ISBLANK(Design!$B$33),Design!$B$32,Design!$B$33)*1000000) * ($B34+AH34-AG34*AS34/1000) - (AH34+AG34*(1+($A34-25)*Constants!$C$36/100)*IF(ISBLANK(Design!$B$43),Constants!$C$6/1000,Design!$B$43/1000)) )</f>
        <v>5.1415420655508113</v>
      </c>
      <c r="AU34" s="119">
        <f ca="1">IF(AT34&gt;Design!$C$29,Design!$C$29,AT34)</f>
        <v>4.99903317535545</v>
      </c>
    </row>
    <row r="35" spans="1:47" s="120" customFormat="1" ht="12.75" customHeight="1" x14ac:dyDescent="0.25">
      <c r="A35" s="112">
        <f>Design!$D$13</f>
        <v>85</v>
      </c>
      <c r="B35" s="113">
        <f t="shared" si="0"/>
        <v>5.3349999999999991</v>
      </c>
      <c r="C35" s="114">
        <f>Design!$D$7</f>
        <v>2</v>
      </c>
      <c r="D35" s="114">
        <f ca="1">FORECAST(C35, OFFSET(Design!$C$15:$C$17,MATCH(C35,Design!$B$15:$B$17,1)-1,0,2), OFFSET(Design!$B$15:$B$17,MATCH(C35,Design!$B$15:$B$17,1)-1,0,2))+(M35-25)*Design!$B$18/1000</f>
        <v>0.40437592519045384</v>
      </c>
      <c r="E35" s="173">
        <f ca="1">IF(100*(Design!$C$29+D35+C35*IF(ISBLANK(Design!$B$43),Constants!$C$6,Design!$B$43)/1000*(1+Constants!$C$36/100*(N35-25)))/($B35+D35-C35*O35/1000)&gt;Design!$C$36,Design!$C$37,100*(Design!$C$29+D35+C35*IF(ISBLANK(Design!$B$43),Constants!$C$6,Design!$B$43)/1000*(1+Constants!$C$36/100*(N35-25)))/($B35+D35-C35*O35/1000))</f>
        <v>95.537499999999994</v>
      </c>
      <c r="F35" s="115">
        <f ca="1">IF(($B35-C35*IF(ISBLANK(Design!$B$43),Constants!$C$6,Design!$B$43)/1000*(1+Constants!$C$36/100*(N35-25))-Design!$C$29)/(IF(ISBLANK(Design!$B$42),Design!$B$40,Design!$B$42)/1000000)*E35/100/(IF(ISBLANK(Design!$B$33),Design!$B$32,Design!$B$33)*1000000)&lt;0, 0, ($B35-C35*IF(ISBLANK(Design!$B$43),Constants!$C$6,Design!$B$43)/1000*(1+Constants!$C$36/100*(N35-25))-Design!$C$29)/(IF(ISBLANK(Design!$B$42),Design!$B$40,Design!$B$42)/1000000)*E35/100/(IF(ISBLANK(Design!$B$33),Design!$B$32,Design!$B$33)*1000000))</f>
        <v>3.1209883677231813E-2</v>
      </c>
      <c r="G35" s="165">
        <f>B35*Constants!$C$21/1000+IF(ISBLANK(Design!$B$33),Design!$B$32,Design!$B$33)*1000000*Constants!$D$25/1000000000*(B35-Constants!$C$24)</f>
        <v>2.0577749999999981E-2</v>
      </c>
      <c r="H35" s="165">
        <f>B35*C35*(B35/(Constants!$C$26*1000000000)*IF(ISBLANK(Design!$B$33),Design!$B$32,Design!$B$33)*1000000/2+B35/(Constants!$C$27*1000000000)*IF(ISBLANK(Design!$B$33),Design!$B$32,Design!$B$33)*1000000/2)</f>
        <v>0.14828949189497712</v>
      </c>
      <c r="I35" s="165">
        <f t="shared" ca="1" si="1"/>
        <v>0.76533469678318078</v>
      </c>
      <c r="J35" s="165">
        <f>Constants!$D$25/1000000000*Constants!$C$24*IF(ISBLANK(Design!$B$33),Design!$B$32,Design!$B$33)*1000000</f>
        <v>6.8250000000000005E-2</v>
      </c>
      <c r="K35" s="165">
        <f t="shared" ca="1" si="4"/>
        <v>1.0024519386781579</v>
      </c>
      <c r="L35" s="165">
        <f t="shared" ca="1" si="5"/>
        <v>3.6090551323248024E-2</v>
      </c>
      <c r="M35" s="166">
        <f ca="1">A35+L35*Design!$B$19</f>
        <v>86.804527566162406</v>
      </c>
      <c r="N35" s="166">
        <f ca="1">K35*Design!$C$12+A35</f>
        <v>119.08336591505736</v>
      </c>
      <c r="O35" s="166">
        <f ca="1">Constants!$D$22+Constants!$D$22*Constants!$C$23/100*(N35-25)</f>
        <v>200.2666927320459</v>
      </c>
      <c r="P35" s="165">
        <f ca="1">IF(100*(Design!$C$29+D35+C35*IF(ISBLANK(Design!$B$43),Constants!$C$6,Design!$B$43)/1000*(1+Constants!$C$36/100*(N35-25)))/($B35+D35-C35*O35/1000)&gt;Design!$C$36,  (1-Constants!$C$20/1000000000*IF(ISBLANK(Design!$B$33),Design!$B$32/4,Design!$B$33/4)*1000000) * ($B35+D35-C35*O35/1000) - (D35+C35*(1+($A35-25)*Constants!$C$36/100)*IF(ISBLANK(Design!$B$43),Constants!$C$6/1000,Design!$B$43/1000)),   (1-Constants!$C$20/1000000000*IF(ISBLANK(Design!$B$33),Design!$B$32,Design!$B$33)*1000000) * ($B35+D35-C35*O35/1000) - (D35+C35*(1+($A35-25)*Constants!$C$36/100)*IF(ISBLANK(Design!$B$43),Constants!$C$6/1000,Design!$B$43/1000)) )</f>
        <v>4.5973567662006181</v>
      </c>
      <c r="Q35" s="171">
        <f ca="1">IF(P35&gt;Design!$C$29,Design!$C$29,P35)</f>
        <v>4.5973567662006181</v>
      </c>
      <c r="R35" s="181">
        <f>2*Design!$D$7/3</f>
        <v>1.3333333333333333</v>
      </c>
      <c r="S35" s="116">
        <f ca="1">FORECAST(R35, OFFSET(Design!$C$15:$C$17,MATCH(R35,Design!$B$15:$B$17,1)-1,0,2), OFFSET(Design!$B$15:$B$17,MATCH(R35,Design!$B$15:$B$17,1)-1,0,2))+(AB35-25)*Design!$B$18/1000</f>
        <v>0.35689626211005221</v>
      </c>
      <c r="T35" s="182">
        <f ca="1">IF(100*(Design!$C$29+S35+R35*IF(ISBLANK(Design!$B$43),Constants!$C$6,Design!$B$43)/1000*(1+Constants!$C$36/100*(AC35-25)))/($B35+S35-R35*AD35/1000)&gt;Design!$C$36,Design!$C$37,100*(Design!$C$29+S35+R35*IF(ISBLANK(Design!$B$43),Constants!$C$6,Design!$B$43)/1000*(1+Constants!$C$36/100*(AC35-25)))/($B35+S35-R35*AD35/1000))</f>
        <v>95.537499999999994</v>
      </c>
      <c r="U35" s="117">
        <f ca="1">IF(($B35-R35*IF(ISBLANK(Design!$B$43),Constants!$C$6,Design!$B$43)/1000*(1+Constants!$C$36/100*(AC35-25))-Design!$C$29)/(Design!$B$42/1000000)*T35/100/(IF(ISBLANK(IF(ISBLANK(Design!$B$42),Design!$B$40,Design!$B$42)),Design!$B$32,Design!$B$33)*1000000)&lt;0,0,($B35-R35*IF(ISBLANK(Design!$B$43),Constants!$C$6,Design!$B$43)/1000*(1+Constants!$C$36/100*(AC35-25))-Design!$C$29)/(IF(ISBLANK(Design!$B$42),Design!$B$40,Design!$B$42)/1000000)*T35/100/(IF(ISBLANK(Design!$B$33),Design!$B$32,Design!$B$33)*1000000))</f>
        <v>3.673432647749738E-2</v>
      </c>
      <c r="V35" s="183">
        <f>$B35*Constants!$C$21/1000+IF(ISBLANK(Design!$B$33),Design!$B$32,Design!$B$33)*1000000*Constants!$D$25/1000000000*($B35-Constants!$C$24)</f>
        <v>2.0577749999999981E-2</v>
      </c>
      <c r="W35" s="183">
        <f>$B35*R35*($B35/(Constants!$C$26*1000000000)*IF(ISBLANK(Design!$B$33),Design!$B$32,Design!$B$33)*1000000/2+$B35/(Constants!$C$27*1000000000)*IF(ISBLANK(Design!$B$33),Design!$B$32,Design!$B$33)*1000000/2)</f>
        <v>9.8859661263318077E-2</v>
      </c>
      <c r="X35" s="183">
        <f t="shared" ca="1" si="2"/>
        <v>0.31717439888884164</v>
      </c>
      <c r="Y35" s="183">
        <f>Constants!$D$25/1000000000*Constants!$C$24*IF(ISBLANK(Design!$B$33),Design!$B$32,Design!$B$33)*1000000</f>
        <v>6.8250000000000005E-2</v>
      </c>
      <c r="Z35" s="183">
        <f t="shared" ca="1" si="10"/>
        <v>0.5048618101521597</v>
      </c>
      <c r="AA35" s="183">
        <f t="shared" ca="1" si="7"/>
        <v>2.1235327595548116E-2</v>
      </c>
      <c r="AB35" s="184">
        <f ca="1">$A35+AA35*Design!$B$19</f>
        <v>86.06176637977741</v>
      </c>
      <c r="AC35" s="184">
        <f ca="1">Z35*Design!$C$12+$A35</f>
        <v>102.16530154517343</v>
      </c>
      <c r="AD35" s="184">
        <f ca="1">Constants!$D$22+Constants!$D$22*Constants!$C$23/100*(AC35-25)</f>
        <v>186.73224123613875</v>
      </c>
      <c r="AE35" s="183">
        <f ca="1">IF(100*(Design!$C$29+S35+R35*IF(ISBLANK(Design!$B$43),Constants!$C$6,Design!$B$43)/1000*(1+Constants!$C$36/100*(AC35-25)))/($B35+S35-R35*AD35/1000)&gt;Design!$C$36,  (1-Constants!$C$20/1000000000*IF(ISBLANK(Design!$B$33),Design!$B$32/4,Design!$B$33/4)*1000000) * ($B35+S35-R35*AD35/1000) - (S35+R35*(1+($A35-25)*Constants!$C$36/100)*IF(ISBLANK(Design!$B$43),Constants!$C$6/1000,Design!$B$43/1000)),   (1-Constants!$C$20/1000000000*IF(ISBLANK(Design!$B$33),Design!$B$32,Design!$B$33)*1000000) * ($B35+S35-R35*AD35/1000) - (S35+R35*(1+($A35-25)*Constants!$C$36/100)*IF(ISBLANK(Design!$B$43),Constants!$C$6/1000,Design!$B$43/1000)) )</f>
        <v>4.7772240426753694</v>
      </c>
      <c r="AF35" s="117">
        <f ca="1">IF(AE35&gt;Design!$C$29,Design!$C$29,AE35)</f>
        <v>4.7772240426753694</v>
      </c>
      <c r="AG35" s="118">
        <f>Design!$D$7/3</f>
        <v>0.66666666666666663</v>
      </c>
      <c r="AH35" s="118">
        <f ca="1">FORECAST(AG35, OFFSET(Design!$C$15:$C$17,MATCH(AG35,Design!$B$15:$B$17,1)-1,0,2), OFFSET(Design!$B$15:$B$17,MATCH(AG35,Design!$B$15:$B$17,1)-1,0,2))+(AQ35-25)*Design!$B$18/1000</f>
        <v>0.30928964219521493</v>
      </c>
      <c r="AI35" s="194">
        <f ca="1">IF(100*(Design!$C$29+AH35+AG35*IF(ISBLANK(Design!$B$43),Constants!$C$6,Design!$B$43)/1000*(1+Constants!$C$36/100*(AR35-25)))/($B35+AH35-AG35*AS35/1000)&gt;Design!$C$36,Design!$C$37,100*(Design!$C$29+AH35+AG35*IF(ISBLANK(Design!$B$43),Constants!$C$6,Design!$B$43)/1000*(1+Constants!$C$36/100*(AR35-25)))/($B35+AH35-AG35*AS35/1000))</f>
        <v>95.537499999999994</v>
      </c>
      <c r="AJ35" s="119">
        <f ca="1">IF(($B35-AG35*IF(ISBLANK(Design!$B$43),Constants!$C$6,Design!$B$43)/1000*(1+Constants!$C$36/100*(AR35-25))-Design!$C$29)/(IF(ISBLANK(Design!$B$42),Design!$B$40,Design!$B$42)/1000000)*AI35/100/(IF(ISBLANK(Design!$B$33),Design!$B$32,Design!$B$33)*1000000)&lt;0,0,($B35-AG35*IF(ISBLANK(Design!$B$43),Constants!$C$6,Design!$B$43)/1000*(1+Constants!$C$36/100*(AR35-25))-Design!$C$29)/(IF(ISBLANK(Design!$B$42),Design!$B$40,Design!$B$42)/1000000)*AI35/100/(IF(ISBLANK(Design!$B$33),Design!$B$32,Design!$B$33)*1000000))</f>
        <v>4.1668256069113473E-2</v>
      </c>
      <c r="AK35" s="195">
        <f>$B35*Constants!$C$21/1000+IF(ISBLANK(Design!$B$33),Design!$B$32,Design!$B$33)*1000000*Constants!$D$25/1000000000*($B35-Constants!$C$24)</f>
        <v>2.0577749999999981E-2</v>
      </c>
      <c r="AL35" s="195">
        <f>$B35*AG35*($B35/(Constants!$C$26*1000000000)*IF(ISBLANK(Design!$B$33),Design!$B$32,Design!$B$33)*1000000/2+$B35/(Constants!$C$27*1000000000)*IF(ISBLANK(Design!$B$33),Design!$B$32,Design!$B$33)*1000000/2)</f>
        <v>4.9429830631659039E-2</v>
      </c>
      <c r="AM35" s="195">
        <f t="shared" ca="1" si="3"/>
        <v>7.5956490231684409E-2</v>
      </c>
      <c r="AN35" s="195">
        <f>Constants!$D$25/1000000000*Constants!$C$24*IF(ISBLANK(Design!$B$33),Design!$B$32,Design!$B$33)*1000000</f>
        <v>6.8250000000000005E-2</v>
      </c>
      <c r="AO35" s="195">
        <f t="shared" ca="1" si="11"/>
        <v>0.21421407086334343</v>
      </c>
      <c r="AP35" s="195">
        <f t="shared" ca="1" si="9"/>
        <v>9.2013668553076484E-3</v>
      </c>
      <c r="AQ35" s="196">
        <f ca="1">$A35+AP35*Design!$B$19</f>
        <v>85.460068342765382</v>
      </c>
      <c r="AR35" s="196">
        <f ca="1">AO35*Design!$C$12+$A35</f>
        <v>92.28327840935367</v>
      </c>
      <c r="AS35" s="196">
        <f ca="1">Constants!$D$22+Constants!$D$22*Constants!$C$23/100*(AR35-25)</f>
        <v>178.82662272748294</v>
      </c>
      <c r="AT35" s="195">
        <f ca="1">IF(100*(Design!$C$29+AH35+AG35*IF(ISBLANK(Design!$B$43),Constants!$C$6,Design!$B$43)/1000*(1+Constants!$C$36/100*(AR35-25)))/($B35+AH35-AG35*AS35/1000)&gt;Design!$C$36,  (1-Constants!$C$20/1000000000*IF(ISBLANK(Design!$B$33),Design!$B$32/4,Design!$B$33/4)*1000000) * ($B35+AH35-AG35*AS35/1000) - (AH35+AG35*(1+($A35-25)*Constants!$C$36/100)*IF(ISBLANK(Design!$B$43),Constants!$C$6/1000,Design!$B$43/1000)),   (1-Constants!$C$20/1000000000*IF(ISBLANK(Design!$B$33),Design!$B$32,Design!$B$33)*1000000) * ($B35+AH35-AG35*AS35/1000) - (AH35+AG35*(1+($A35-25)*Constants!$C$36/100)*IF(ISBLANK(Design!$B$43),Constants!$C$6/1000,Design!$B$43/1000)) )</f>
        <v>4.936271251591525</v>
      </c>
      <c r="AU35" s="119">
        <f ca="1">IF(AT35&gt;Design!$C$29,Design!$C$29,AT35)</f>
        <v>4.936271251591525</v>
      </c>
    </row>
    <row r="36" spans="1:47" s="120" customFormat="1" ht="12.75" customHeight="1" x14ac:dyDescent="0.25">
      <c r="A36" s="112">
        <f>Design!$D$13</f>
        <v>85</v>
      </c>
      <c r="B36" s="113">
        <f t="shared" si="0"/>
        <v>5.1199999999999992</v>
      </c>
      <c r="C36" s="114">
        <f>Design!$D$7</f>
        <v>2</v>
      </c>
      <c r="D36" s="114">
        <f ca="1">FORECAST(C36, OFFSET(Design!$C$15:$C$17,MATCH(C36,Design!$B$15:$B$17,1)-1,0,2), OFFSET(Design!$B$15:$B$17,MATCH(C36,Design!$B$15:$B$17,1)-1,0,2))+(M36-25)*Design!$B$18/1000</f>
        <v>0.40437592519045384</v>
      </c>
      <c r="E36" s="173">
        <f ca="1">IF(100*(Design!$C$29+D36+C36*IF(ISBLANK(Design!$B$43),Constants!$C$6,Design!$B$43)/1000*(1+Constants!$C$36/100*(N36-25)))/($B36+D36-C36*O36/1000)&gt;Design!$C$36,Design!$C$37,100*(Design!$C$29+D36+C36*IF(ISBLANK(Design!$B$43),Constants!$C$6,Design!$B$43)/1000*(1+Constants!$C$36/100*(N36-25)))/($B36+D36-C36*O36/1000))</f>
        <v>95.537499999999994</v>
      </c>
      <c r="F36" s="115">
        <f ca="1">IF(($B36-C36*IF(ISBLANK(Design!$B$43),Constants!$C$6,Design!$B$43)/1000*(1+Constants!$C$36/100*(N36-25))-Design!$C$29)/(IF(ISBLANK(Design!$B$42),Design!$B$40,Design!$B$42)/1000000)*E36/100/(IF(ISBLANK(Design!$B$33),Design!$B$32,Design!$B$33)*1000000)&lt;0, 0, ($B36-C36*IF(ISBLANK(Design!$B$43),Constants!$C$6,Design!$B$43)/1000*(1+Constants!$C$36/100*(N36-25))-Design!$C$29)/(IF(ISBLANK(Design!$B$42),Design!$B$40,Design!$B$42)/1000000)*E36/100/(IF(ISBLANK(Design!$B$33),Design!$B$32,Design!$B$33)*1000000))</f>
        <v>1.5949958457254932E-3</v>
      </c>
      <c r="G36" s="165">
        <f>B36*Constants!$C$21/1000+IF(ISBLANK(Design!$B$33),Design!$B$32,Design!$B$33)*1000000*Constants!$D$25/1000000000*(B36-Constants!$C$24)</f>
        <v>1.6997999999999985E-2</v>
      </c>
      <c r="H36" s="165">
        <f>B36*C36*(B36/(Constants!$C$26*1000000000)*IF(ISBLANK(Design!$B$33),Design!$B$32,Design!$B$33)*1000000/2+B36/(Constants!$C$27*1000000000)*IF(ISBLANK(Design!$B$33),Design!$B$32,Design!$B$33)*1000000/2)</f>
        <v>0.13657822100456618</v>
      </c>
      <c r="I36" s="165">
        <f t="shared" ca="1" si="1"/>
        <v>0.76354361053322539</v>
      </c>
      <c r="J36" s="165">
        <f>Constants!$D$25/1000000000*Constants!$C$24*IF(ISBLANK(Design!$B$33),Design!$B$32,Design!$B$33)*1000000</f>
        <v>6.8250000000000005E-2</v>
      </c>
      <c r="K36" s="165">
        <f t="shared" ca="1" si="4"/>
        <v>0.98536983153779156</v>
      </c>
      <c r="L36" s="165">
        <f t="shared" ca="1" si="5"/>
        <v>3.6090551323248024E-2</v>
      </c>
      <c r="M36" s="166">
        <f ca="1">A36+L36*Design!$B$19</f>
        <v>86.804527566162406</v>
      </c>
      <c r="N36" s="166">
        <f ca="1">K36*Design!$C$12+A36</f>
        <v>118.5025742722849</v>
      </c>
      <c r="O36" s="166">
        <f ca="1">Constants!$D$22+Constants!$D$22*Constants!$C$23/100*(N36-25)</f>
        <v>199.80205941782793</v>
      </c>
      <c r="P36" s="165">
        <f ca="1">IF(100*(Design!$C$29+D36+C36*IF(ISBLANK(Design!$B$43),Constants!$C$6,Design!$B$43)/1000*(1+Constants!$C$36/100*(N36-25)))/($B36+D36-C36*O36/1000)&gt;Design!$C$36,  (1-Constants!$C$20/1000000000*IF(ISBLANK(Design!$B$33),Design!$B$32/4,Design!$B$33/4)*1000000) * ($B36+D36-C36*O36/1000) - (D36+C36*(1+($A36-25)*Constants!$C$36/100)*IF(ISBLANK(Design!$B$43),Constants!$C$6/1000,Design!$B$43/1000)),   (1-Constants!$C$20/1000000000*IF(ISBLANK(Design!$B$33),Design!$B$32,Design!$B$33)*1000000) * ($B36+D36-C36*O36/1000) - (D36+C36*(1+($A36-25)*Constants!$C$36/100)*IF(ISBLANK(Design!$B$43),Constants!$C$6/1000,Design!$B$43/1000)) )</f>
        <v>4.3928389393057605</v>
      </c>
      <c r="Q36" s="171">
        <f ca="1">IF(P36&gt;Design!$C$29,Design!$C$29,P36)</f>
        <v>4.3928389393057605</v>
      </c>
      <c r="R36" s="181">
        <f>2*Design!$D$7/3</f>
        <v>1.3333333333333333</v>
      </c>
      <c r="S36" s="116">
        <f ca="1">FORECAST(R36, OFFSET(Design!$C$15:$C$17,MATCH(R36,Design!$B$15:$B$17,1)-1,0,2), OFFSET(Design!$B$15:$B$17,MATCH(R36,Design!$B$15:$B$17,1)-1,0,2))+(AB36-25)*Design!$B$18/1000</f>
        <v>0.35689626211005221</v>
      </c>
      <c r="T36" s="182">
        <f ca="1">IF(100*(Design!$C$29+S36+R36*IF(ISBLANK(Design!$B$43),Constants!$C$6,Design!$B$43)/1000*(1+Constants!$C$36/100*(AC36-25)))/($B36+S36-R36*AD36/1000)&gt;Design!$C$36,Design!$C$37,100*(Design!$C$29+S36+R36*IF(ISBLANK(Design!$B$43),Constants!$C$6,Design!$B$43)/1000*(1+Constants!$C$36/100*(AC36-25)))/($B36+S36-R36*AD36/1000))</f>
        <v>95.537499999999994</v>
      </c>
      <c r="U36" s="117">
        <f ca="1">IF(($B36-R36*IF(ISBLANK(Design!$B$43),Constants!$C$6,Design!$B$43)/1000*(1+Constants!$C$36/100*(AC36-25))-Design!$C$29)/(Design!$B$42/1000000)*T36/100/(IF(ISBLANK(IF(ISBLANK(Design!$B$42),Design!$B$40,Design!$B$42)),Design!$B$32,Design!$B$33)*1000000)&lt;0,0,($B36-R36*IF(ISBLANK(Design!$B$43),Constants!$C$6,Design!$B$43)/1000*(1+Constants!$C$36/100*(AC36-25))-Design!$C$29)/(IF(ISBLANK(Design!$B$42),Design!$B$40,Design!$B$42)/1000000)*T36/100/(IF(ISBLANK(Design!$B$33),Design!$B$32,Design!$B$33)*1000000))</f>
        <v>7.1060143351482146E-3</v>
      </c>
      <c r="V36" s="183">
        <f>$B36*Constants!$C$21/1000+IF(ISBLANK(Design!$B$33),Design!$B$32,Design!$B$33)*1000000*Constants!$D$25/1000000000*($B36-Constants!$C$24)</f>
        <v>1.6997999999999985E-2</v>
      </c>
      <c r="W36" s="183">
        <f>$B36*R36*($B36/(Constants!$C$26*1000000000)*IF(ISBLANK(Design!$B$33),Design!$B$32,Design!$B$33)*1000000/2+$B36/(Constants!$C$27*1000000000)*IF(ISBLANK(Design!$B$33),Design!$B$32,Design!$B$33)*1000000/2)</f>
        <v>9.1052147336377454E-2</v>
      </c>
      <c r="X36" s="183">
        <f t="shared" ca="1" si="2"/>
        <v>0.31660260634418053</v>
      </c>
      <c r="Y36" s="183">
        <f>Constants!$D$25/1000000000*Constants!$C$24*IF(ISBLANK(Design!$B$33),Design!$B$32,Design!$B$33)*1000000</f>
        <v>6.8250000000000005E-2</v>
      </c>
      <c r="Z36" s="183">
        <f t="shared" ca="1" si="10"/>
        <v>0.49290275368055803</v>
      </c>
      <c r="AA36" s="183">
        <f t="shared" ca="1" si="7"/>
        <v>2.1235327595548116E-2</v>
      </c>
      <c r="AB36" s="184">
        <f ca="1">$A36+AA36*Design!$B$19</f>
        <v>86.06176637977741</v>
      </c>
      <c r="AC36" s="184">
        <f ca="1">Z36*Design!$C$12+$A36</f>
        <v>101.75869362513897</v>
      </c>
      <c r="AD36" s="184">
        <f ca="1">Constants!$D$22+Constants!$D$22*Constants!$C$23/100*(AC36-25)</f>
        <v>186.40695490011117</v>
      </c>
      <c r="AE36" s="183">
        <f ca="1">IF(100*(Design!$C$29+S36+R36*IF(ISBLANK(Design!$B$43),Constants!$C$6,Design!$B$43)/1000*(1+Constants!$C$36/100*(AC36-25)))/($B36+S36-R36*AD36/1000)&gt;Design!$C$36,  (1-Constants!$C$20/1000000000*IF(ISBLANK(Design!$B$33),Design!$B$32/4,Design!$B$33/4)*1000000) * ($B36+S36-R36*AD36/1000) - (S36+R36*(1+($A36-25)*Constants!$C$36/100)*IF(ISBLANK(Design!$B$43),Constants!$C$6/1000,Design!$B$43/1000)),   (1-Constants!$C$20/1000000000*IF(ISBLANK(Design!$B$33),Design!$B$32,Design!$B$33)*1000000) * ($B36+S36-R36*AD36/1000) - (S36+R36*(1+($A36-25)*Constants!$C$36/100)*IF(ISBLANK(Design!$B$43),Constants!$C$6/1000,Design!$B$43/1000)) )</f>
        <v>4.5722327782530794</v>
      </c>
      <c r="AF36" s="117">
        <f ca="1">IF(AE36&gt;Design!$C$29,Design!$C$29,AE36)</f>
        <v>4.5722327782530794</v>
      </c>
      <c r="AG36" s="118">
        <f>Design!$D$7/3</f>
        <v>0.66666666666666663</v>
      </c>
      <c r="AH36" s="118">
        <f ca="1">FORECAST(AG36, OFFSET(Design!$C$15:$C$17,MATCH(AG36,Design!$B$15:$B$17,1)-1,0,2), OFFSET(Design!$B$15:$B$17,MATCH(AG36,Design!$B$15:$B$17,1)-1,0,2))+(AQ36-25)*Design!$B$18/1000</f>
        <v>0.30928964219521493</v>
      </c>
      <c r="AI36" s="194">
        <f ca="1">IF(100*(Design!$C$29+AH36+AG36*IF(ISBLANK(Design!$B$43),Constants!$C$6,Design!$B$43)/1000*(1+Constants!$C$36/100*(AR36-25)))/($B36+AH36-AG36*AS36/1000)&gt;Design!$C$36,Design!$C$37,100*(Design!$C$29+AH36+AG36*IF(ISBLANK(Design!$B$43),Constants!$C$6,Design!$B$43)/1000*(1+Constants!$C$36/100*(AR36-25)))/($B36+AH36-AG36*AS36/1000))</f>
        <v>95.537499999999994</v>
      </c>
      <c r="AJ36" s="119">
        <f ca="1">IF(($B36-AG36*IF(ISBLANK(Design!$B$43),Constants!$C$6,Design!$B$43)/1000*(1+Constants!$C$36/100*(AR36-25))-Design!$C$29)/(IF(ISBLANK(Design!$B$42),Design!$B$40,Design!$B$42)/1000000)*AI36/100/(IF(ISBLANK(Design!$B$33),Design!$B$32,Design!$B$33)*1000000)&lt;0,0,($B36-AG36*IF(ISBLANK(Design!$B$43),Constants!$C$6,Design!$B$43)/1000*(1+Constants!$C$36/100*(AR36-25))-Design!$C$29)/(IF(ISBLANK(Design!$B$42),Design!$B$40,Design!$B$42)/1000000)*AI36/100/(IF(ISBLANK(Design!$B$33),Design!$B$32,Design!$B$33)*1000000))</f>
        <v>1.2031925044735051E-2</v>
      </c>
      <c r="AK36" s="195">
        <f>$B36*Constants!$C$21/1000+IF(ISBLANK(Design!$B$33),Design!$B$32,Design!$B$33)*1000000*Constants!$D$25/1000000000*($B36-Constants!$C$24)</f>
        <v>1.6997999999999985E-2</v>
      </c>
      <c r="AL36" s="195">
        <f>$B36*AG36*($B36/(Constants!$C$26*1000000000)*IF(ISBLANK(Design!$B$33),Design!$B$32,Design!$B$33)*1000000/2+$B36/(Constants!$C$27*1000000000)*IF(ISBLANK(Design!$B$33),Design!$B$32,Design!$B$33)*1000000/2)</f>
        <v>4.5526073668188727E-2</v>
      </c>
      <c r="AM36" s="195">
        <f t="shared" ca="1" si="3"/>
        <v>7.5846124834613421E-2</v>
      </c>
      <c r="AN36" s="195">
        <f>Constants!$D$25/1000000000*Constants!$C$24*IF(ISBLANK(Design!$B$33),Design!$B$32,Design!$B$33)*1000000</f>
        <v>6.8250000000000005E-2</v>
      </c>
      <c r="AO36" s="195">
        <f t="shared" ca="1" si="11"/>
        <v>0.20662019850280214</v>
      </c>
      <c r="AP36" s="195">
        <f t="shared" ca="1" si="9"/>
        <v>9.2013668553076484E-3</v>
      </c>
      <c r="AQ36" s="196">
        <f ca="1">$A36+AP36*Design!$B$19</f>
        <v>85.460068342765382</v>
      </c>
      <c r="AR36" s="196">
        <f ca="1">AO36*Design!$C$12+$A36</f>
        <v>92.025086749095266</v>
      </c>
      <c r="AS36" s="196">
        <f ca="1">Constants!$D$22+Constants!$D$22*Constants!$C$23/100*(AR36-25)</f>
        <v>178.62006939927622</v>
      </c>
      <c r="AT36" s="195">
        <f ca="1">IF(100*(Design!$C$29+AH36+AG36*IF(ISBLANK(Design!$B$43),Constants!$C$6,Design!$B$43)/1000*(1+Constants!$C$36/100*(AR36-25)))/($B36+AH36-AG36*AS36/1000)&gt;Design!$C$36,  (1-Constants!$C$20/1000000000*IF(ISBLANK(Design!$B$33),Design!$B$32/4,Design!$B$33/4)*1000000) * ($B36+AH36-AG36*AS36/1000) - (AH36+AG36*(1+($A36-25)*Constants!$C$36/100)*IF(ISBLANK(Design!$B$43),Constants!$C$6/1000,Design!$B$43/1000)),   (1-Constants!$C$20/1000000000*IF(ISBLANK(Design!$B$33),Design!$B$32,Design!$B$33)*1000000) * ($B36+AH36-AG36*AS36/1000) - (AH36+AG36*(1+($A36-25)*Constants!$C$36/100)*IF(ISBLANK(Design!$B$43),Constants!$C$6/1000,Design!$B$43/1000)) )</f>
        <v>4.7309971838488147</v>
      </c>
      <c r="AU36" s="119">
        <f ca="1">IF(AT36&gt;Design!$C$29,Design!$C$29,AT36)</f>
        <v>4.7309971838488147</v>
      </c>
    </row>
    <row r="37" spans="1:47" s="120" customFormat="1" ht="12.75" customHeight="1" x14ac:dyDescent="0.25">
      <c r="A37" s="112">
        <f>Design!$D$13</f>
        <v>85</v>
      </c>
      <c r="B37" s="113">
        <f t="shared" si="0"/>
        <v>4.9049999999999994</v>
      </c>
      <c r="C37" s="114">
        <f>Design!$D$7</f>
        <v>2</v>
      </c>
      <c r="D37" s="114">
        <f ca="1">FORECAST(C37, OFFSET(Design!$C$15:$C$17,MATCH(C37,Design!$B$15:$B$17,1)-1,0,2), OFFSET(Design!$B$15:$B$17,MATCH(C37,Design!$B$15:$B$17,1)-1,0,2))+(M37-25)*Design!$B$18/1000</f>
        <v>0.40437592519045384</v>
      </c>
      <c r="E37" s="173">
        <f ca="1">IF(100*(Design!$C$29+D37+C37*IF(ISBLANK(Design!$B$43),Constants!$C$6,Design!$B$43)/1000*(1+Constants!$C$36/100*(N37-25)))/($B37+D37-C37*O37/1000)&gt;Design!$C$36,Design!$C$37,100*(Design!$C$29+D37+C37*IF(ISBLANK(Design!$B$43),Constants!$C$6,Design!$B$43)/1000*(1+Constants!$C$36/100*(N37-25)))/($B37+D37-C37*O37/1000))</f>
        <v>95.537499999999994</v>
      </c>
      <c r="F37" s="115">
        <f ca="1">IF(($B37-C37*IF(ISBLANK(Design!$B$43),Constants!$C$6,Design!$B$43)/1000*(1+Constants!$C$36/100*(N37-25))-Design!$C$29)/(IF(ISBLANK(Design!$B$42),Design!$B$40,Design!$B$42)/1000000)*E37/100/(IF(ISBLANK(Design!$B$33),Design!$B$32,Design!$B$33)*1000000)&lt;0, 0, ($B37-C37*IF(ISBLANK(Design!$B$43),Constants!$C$6,Design!$B$43)/1000*(1+Constants!$C$36/100*(N37-25))-Design!$C$29)/(IF(ISBLANK(Design!$B$42),Design!$B$40,Design!$B$42)/1000000)*E37/100/(IF(ISBLANK(Design!$B$33),Design!$B$32,Design!$B$33)*1000000))</f>
        <v>0</v>
      </c>
      <c r="G37" s="165">
        <f>B37*Constants!$C$21/1000+IF(ISBLANK(Design!$B$33),Design!$B$32,Design!$B$33)*1000000*Constants!$D$25/1000000000*(B37-Constants!$C$24)</f>
        <v>1.3418249999999989E-2</v>
      </c>
      <c r="H37" s="165">
        <f>B37*C37*(B37/(Constants!$C$26*1000000000)*IF(ISBLANK(Design!$B$33),Design!$B$32,Design!$B$33)*1000000/2+B37/(Constants!$C$27*1000000000)*IF(ISBLANK(Design!$B$33),Design!$B$32,Design!$B$33)*1000000/2)</f>
        <v>0.1253486188356164</v>
      </c>
      <c r="I37" s="165">
        <f t="shared" ca="1" si="1"/>
        <v>0.76182564090665894</v>
      </c>
      <c r="J37" s="165">
        <f>Constants!$D$25/1000000000*Constants!$C$24*IF(ISBLANK(Design!$B$33),Design!$B$32,Design!$B$33)*1000000</f>
        <v>6.8250000000000005E-2</v>
      </c>
      <c r="K37" s="165">
        <f t="shared" ca="1" si="4"/>
        <v>0.96884250974227537</v>
      </c>
      <c r="L37" s="165">
        <f t="shared" ca="1" si="5"/>
        <v>3.6090551323248024E-2</v>
      </c>
      <c r="M37" s="166">
        <f ca="1">A37+L37*Design!$B$19</f>
        <v>86.804527566162406</v>
      </c>
      <c r="N37" s="166">
        <f ca="1">K37*Design!$C$12+A37</f>
        <v>117.94064533123736</v>
      </c>
      <c r="O37" s="166">
        <f ca="1">Constants!$D$22+Constants!$D$22*Constants!$C$23/100*(N37-25)</f>
        <v>199.3525162649899</v>
      </c>
      <c r="P37" s="165">
        <f ca="1">IF(100*(Design!$C$29+D37+C37*IF(ISBLANK(Design!$B$43),Constants!$C$6,Design!$B$43)/1000*(1+Constants!$C$36/100*(N37-25)))/($B37+D37-C37*O37/1000)&gt;Design!$C$36,  (1-Constants!$C$20/1000000000*IF(ISBLANK(Design!$B$33),Design!$B$32/4,Design!$B$33/4)*1000000) * ($B37+D37-C37*O37/1000) - (D37+C37*(1+($A37-25)*Constants!$C$36/100)*IF(ISBLANK(Design!$B$43),Constants!$C$6/1000,Design!$B$43/1000)),   (1-Constants!$C$20/1000000000*IF(ISBLANK(Design!$B$33),Design!$B$32,Design!$B$33)*1000000) * ($B37+D37-C37*O37/1000) - (D37+C37*(1+($A37-25)*Constants!$C$36/100)*IF(ISBLANK(Design!$B$43),Constants!$C$6/1000,Design!$B$43/1000)) )</f>
        <v>4.1882922788850454</v>
      </c>
      <c r="Q37" s="171">
        <f ca="1">IF(P37&gt;Design!$C$29,Design!$C$29,P37)</f>
        <v>4.1882922788850454</v>
      </c>
      <c r="R37" s="181">
        <f>2*Design!$D$7/3</f>
        <v>1.3333333333333333</v>
      </c>
      <c r="S37" s="116">
        <f ca="1">FORECAST(R37, OFFSET(Design!$C$15:$C$17,MATCH(R37,Design!$B$15:$B$17,1)-1,0,2), OFFSET(Design!$B$15:$B$17,MATCH(R37,Design!$B$15:$B$17,1)-1,0,2))+(AB37-25)*Design!$B$18/1000</f>
        <v>0.35689626211005221</v>
      </c>
      <c r="T37" s="182">
        <f ca="1">IF(100*(Design!$C$29+S37+R37*IF(ISBLANK(Design!$B$43),Constants!$C$6,Design!$B$43)/1000*(1+Constants!$C$36/100*(AC37-25)))/($B37+S37-R37*AD37/1000)&gt;Design!$C$36,Design!$C$37,100*(Design!$C$29+S37+R37*IF(ISBLANK(Design!$B$43),Constants!$C$6,Design!$B$43)/1000*(1+Constants!$C$36/100*(AC37-25)))/($B37+S37-R37*AD37/1000))</f>
        <v>95.537499999999994</v>
      </c>
      <c r="U37" s="117">
        <f ca="1">IF(($B37-R37*IF(ISBLANK(Design!$B$43),Constants!$C$6,Design!$B$43)/1000*(1+Constants!$C$36/100*(AC37-25))-Design!$C$29)/(Design!$B$42/1000000)*T37/100/(IF(ISBLANK(IF(ISBLANK(Design!$B$42),Design!$B$40,Design!$B$42)),Design!$B$32,Design!$B$33)*1000000)&lt;0,0,($B37-R37*IF(ISBLANK(Design!$B$43),Constants!$C$6,Design!$B$43)/1000*(1+Constants!$C$36/100*(AC37-25))-Design!$C$29)/(IF(ISBLANK(Design!$B$42),Design!$B$40,Design!$B$42)/1000000)*T37/100/(IF(ISBLANK(Design!$B$33),Design!$B$32,Design!$B$33)*1000000))</f>
        <v>0</v>
      </c>
      <c r="V37" s="183">
        <f>$B37*Constants!$C$21/1000+IF(ISBLANK(Design!$B$33),Design!$B$32,Design!$B$33)*1000000*Constants!$D$25/1000000000*($B37-Constants!$C$24)</f>
        <v>1.3418249999999989E-2</v>
      </c>
      <c r="W37" s="183">
        <f>$B37*R37*($B37/(Constants!$C$26*1000000000)*IF(ISBLANK(Design!$B$33),Design!$B$32,Design!$B$33)*1000000/2+$B37/(Constants!$C$27*1000000000)*IF(ISBLANK(Design!$B$33),Design!$B$32,Design!$B$33)*1000000/2)</f>
        <v>8.3565745890410936E-2</v>
      </c>
      <c r="X37" s="183">
        <f t="shared" ca="1" si="2"/>
        <v>0.31606582843536807</v>
      </c>
      <c r="Y37" s="183">
        <f>Constants!$D$25/1000000000*Constants!$C$24*IF(ISBLANK(Design!$B$33),Design!$B$32,Design!$B$33)*1000000</f>
        <v>6.8250000000000005E-2</v>
      </c>
      <c r="Z37" s="183">
        <f t="shared" ca="1" si="10"/>
        <v>0.481299824325779</v>
      </c>
      <c r="AA37" s="183">
        <f t="shared" ca="1" si="7"/>
        <v>2.1235327595548116E-2</v>
      </c>
      <c r="AB37" s="184">
        <f ca="1">$A37+AA37*Design!$B$19</f>
        <v>86.06176637977741</v>
      </c>
      <c r="AC37" s="184">
        <f ca="1">Z37*Design!$C$12+$A37</f>
        <v>101.36419402707648</v>
      </c>
      <c r="AD37" s="184">
        <f ca="1">Constants!$D$22+Constants!$D$22*Constants!$C$23/100*(AC37-25)</f>
        <v>186.09135522166119</v>
      </c>
      <c r="AE37" s="183">
        <f ca="1">IF(100*(Design!$C$29+S37+R37*IF(ISBLANK(Design!$B$43),Constants!$C$6,Design!$B$43)/1000*(1+Constants!$C$36/100*(AC37-25)))/($B37+S37-R37*AD37/1000)&gt;Design!$C$36,  (1-Constants!$C$20/1000000000*IF(ISBLANK(Design!$B$33),Design!$B$32/4,Design!$B$33/4)*1000000) * ($B37+S37-R37*AD37/1000) - (S37+R37*(1+($A37-25)*Constants!$C$36/100)*IF(ISBLANK(Design!$B$43),Constants!$C$6/1000,Design!$B$43/1000)),   (1-Constants!$C$20/1000000000*IF(ISBLANK(Design!$B$33),Design!$B$32,Design!$B$33)*1000000) * ($B37+S37-R37*AD37/1000) - (S37+R37*(1+($A37-25)*Constants!$C$36/100)*IF(ISBLANK(Design!$B$43),Constants!$C$6/1000,Design!$B$43/1000)) )</f>
        <v>4.3672291746434784</v>
      </c>
      <c r="AF37" s="117">
        <f ca="1">IF(AE37&gt;Design!$C$29,Design!$C$29,AE37)</f>
        <v>4.3672291746434784</v>
      </c>
      <c r="AG37" s="118">
        <f>Design!$D$7/3</f>
        <v>0.66666666666666663</v>
      </c>
      <c r="AH37" s="118">
        <f ca="1">FORECAST(AG37, OFFSET(Design!$C$15:$C$17,MATCH(AG37,Design!$B$15:$B$17,1)-1,0,2), OFFSET(Design!$B$15:$B$17,MATCH(AG37,Design!$B$15:$B$17,1)-1,0,2))+(AQ37-25)*Design!$B$18/1000</f>
        <v>0.30928964219521493</v>
      </c>
      <c r="AI37" s="194">
        <f ca="1">IF(100*(Design!$C$29+AH37+AG37*IF(ISBLANK(Design!$B$43),Constants!$C$6,Design!$B$43)/1000*(1+Constants!$C$36/100*(AR37-25)))/($B37+AH37-AG37*AS37/1000)&gt;Design!$C$36,Design!$C$37,100*(Design!$C$29+AH37+AG37*IF(ISBLANK(Design!$B$43),Constants!$C$6,Design!$B$43)/1000*(1+Constants!$C$36/100*(AR37-25)))/($B37+AH37-AG37*AS37/1000))</f>
        <v>95.537499999999994</v>
      </c>
      <c r="AJ37" s="119">
        <f ca="1">IF(($B37-AG37*IF(ISBLANK(Design!$B$43),Constants!$C$6,Design!$B$43)/1000*(1+Constants!$C$36/100*(AR37-25))-Design!$C$29)/(IF(ISBLANK(Design!$B$42),Design!$B$40,Design!$B$42)/1000000)*AI37/100/(IF(ISBLANK(Design!$B$33),Design!$B$32,Design!$B$33)*1000000)&lt;0,0,($B37-AG37*IF(ISBLANK(Design!$B$43),Constants!$C$6,Design!$B$43)/1000*(1+Constants!$C$36/100*(AR37-25))-Design!$C$29)/(IF(ISBLANK(Design!$B$42),Design!$B$40,Design!$B$42)/1000000)*AI37/100/(IF(ISBLANK(Design!$B$33),Design!$B$32,Design!$B$33)*1000000))</f>
        <v>0</v>
      </c>
      <c r="AK37" s="195">
        <f>$B37*Constants!$C$21/1000+IF(ISBLANK(Design!$B$33),Design!$B$32,Design!$B$33)*1000000*Constants!$D$25/1000000000*($B37-Constants!$C$24)</f>
        <v>1.3418249999999989E-2</v>
      </c>
      <c r="AL37" s="195">
        <f>$B37*AG37*($B37/(Constants!$C$26*1000000000)*IF(ISBLANK(Design!$B$33),Design!$B$32,Design!$B$33)*1000000/2+$B37/(Constants!$C$27*1000000000)*IF(ISBLANK(Design!$B$33),Design!$B$32,Design!$B$33)*1000000/2)</f>
        <v>4.1782872945205468E-2</v>
      </c>
      <c r="AM37" s="195">
        <f t="shared" ca="1" si="3"/>
        <v>7.5758478014425396E-2</v>
      </c>
      <c r="AN37" s="195">
        <f>Constants!$D$25/1000000000*Constants!$C$24*IF(ISBLANK(Design!$B$33),Design!$B$32,Design!$B$33)*1000000</f>
        <v>6.8250000000000005E-2</v>
      </c>
      <c r="AO37" s="195">
        <f t="shared" ca="1" si="11"/>
        <v>0.19920960095963086</v>
      </c>
      <c r="AP37" s="195">
        <f t="shared" ca="1" si="9"/>
        <v>9.2013668553076484E-3</v>
      </c>
      <c r="AQ37" s="196">
        <f ca="1">$A37+AP37*Design!$B$19</f>
        <v>85.460068342765382</v>
      </c>
      <c r="AR37" s="196">
        <f ca="1">AO37*Design!$C$12+$A37</f>
        <v>91.77312643262745</v>
      </c>
      <c r="AS37" s="196">
        <f ca="1">Constants!$D$22+Constants!$D$22*Constants!$C$23/100*(AR37-25)</f>
        <v>178.41850114610196</v>
      </c>
      <c r="AT37" s="195">
        <f ca="1">IF(100*(Design!$C$29+AH37+AG37*IF(ISBLANK(Design!$B$43),Constants!$C$6,Design!$B$43)/1000*(1+Constants!$C$36/100*(AR37-25)))/($B37+AH37-AG37*AS37/1000)&gt;Design!$C$36,  (1-Constants!$C$20/1000000000*IF(ISBLANK(Design!$B$33),Design!$B$32/4,Design!$B$33/4)*1000000) * ($B37+AH37-AG37*AS37/1000) - (AH37+AG37*(1+($A37-25)*Constants!$C$36/100)*IF(ISBLANK(Design!$B$43),Constants!$C$6/1000,Design!$B$43/1000)),   (1-Constants!$C$20/1000000000*IF(ISBLANK(Design!$B$33),Design!$B$32,Design!$B$33)*1000000) * ($B37+AH37-AG37*AS37/1000) - (AH37+AG37*(1+($A37-25)*Constants!$C$36/100)*IF(ISBLANK(Design!$B$43),Constants!$C$6/1000,Design!$B$43/1000)) )</f>
        <v>4.5257199410287328</v>
      </c>
      <c r="AU37" s="119">
        <f ca="1">IF(AT37&gt;Design!$C$29,Design!$C$29,AT37)</f>
        <v>4.5257199410287328</v>
      </c>
    </row>
    <row r="38" spans="1:47" s="120" customFormat="1" ht="12.75" customHeight="1" x14ac:dyDescent="0.25">
      <c r="A38" s="112">
        <f>Design!$D$13</f>
        <v>85</v>
      </c>
      <c r="B38" s="113">
        <f t="shared" si="0"/>
        <v>4.6899999999999995</v>
      </c>
      <c r="C38" s="114">
        <f>Design!$D$7</f>
        <v>2</v>
      </c>
      <c r="D38" s="114">
        <f ca="1">FORECAST(C38, OFFSET(Design!$C$15:$C$17,MATCH(C38,Design!$B$15:$B$17,1)-1,0,2), OFFSET(Design!$B$15:$B$17,MATCH(C38,Design!$B$15:$B$17,1)-1,0,2))+(M38-25)*Design!$B$18/1000</f>
        <v>0.40437592519045384</v>
      </c>
      <c r="E38" s="173">
        <f ca="1">IF(100*(Design!$C$29+D38+C38*IF(ISBLANK(Design!$B$43),Constants!$C$6,Design!$B$43)/1000*(1+Constants!$C$36/100*(N38-25)))/($B38+D38-C38*O38/1000)&gt;Design!$C$36,Design!$C$37,100*(Design!$C$29+D38+C38*IF(ISBLANK(Design!$B$43),Constants!$C$6,Design!$B$43)/1000*(1+Constants!$C$36/100*(N38-25)))/($B38+D38-C38*O38/1000))</f>
        <v>95.537499999999994</v>
      </c>
      <c r="F38" s="115">
        <f ca="1">IF(($B38-C38*IF(ISBLANK(Design!$B$43),Constants!$C$6,Design!$B$43)/1000*(1+Constants!$C$36/100*(N38-25))-Design!$C$29)/(IF(ISBLANK(Design!$B$42),Design!$B$40,Design!$B$42)/1000000)*E38/100/(IF(ISBLANK(Design!$B$33),Design!$B$32,Design!$B$33)*1000000)&lt;0, 0, ($B38-C38*IF(ISBLANK(Design!$B$43),Constants!$C$6,Design!$B$43)/1000*(1+Constants!$C$36/100*(N38-25))-Design!$C$29)/(IF(ISBLANK(Design!$B$42),Design!$B$40,Design!$B$42)/1000000)*E38/100/(IF(ISBLANK(Design!$B$33),Design!$B$32,Design!$B$33)*1000000))</f>
        <v>0</v>
      </c>
      <c r="G38" s="165">
        <f>B38*Constants!$C$21/1000+IF(ISBLANK(Design!$B$33),Design!$B$32,Design!$B$33)*1000000*Constants!$D$25/1000000000*(B38-Constants!$C$24)</f>
        <v>9.8384999999999931E-3</v>
      </c>
      <c r="H38" s="165">
        <f>B38*C38*(B38/(Constants!$C$26*1000000000)*IF(ISBLANK(Design!$B$33),Design!$B$32,Design!$B$33)*1000000/2+B38/(Constants!$C$27*1000000000)*IF(ISBLANK(Design!$B$33),Design!$B$32,Design!$B$33)*1000000/2)</f>
        <v>0.11460068538812783</v>
      </c>
      <c r="I38" s="165">
        <f t="shared" ca="1" si="1"/>
        <v>0.76016359130255795</v>
      </c>
      <c r="J38" s="165">
        <f>Constants!$D$25/1000000000*Constants!$C$24*IF(ISBLANK(Design!$B$33),Design!$B$32,Design!$B$33)*1000000</f>
        <v>6.8250000000000005E-2</v>
      </c>
      <c r="K38" s="165">
        <f t="shared" ca="1" si="4"/>
        <v>0.9528527766906858</v>
      </c>
      <c r="L38" s="165">
        <f t="shared" ca="1" si="5"/>
        <v>3.6090551323248024E-2</v>
      </c>
      <c r="M38" s="166">
        <f ca="1">A38+L38*Design!$B$19</f>
        <v>86.804527566162406</v>
      </c>
      <c r="N38" s="166">
        <f ca="1">K38*Design!$C$12+A38</f>
        <v>117.39699440748332</v>
      </c>
      <c r="O38" s="166">
        <f ca="1">Constants!$D$22+Constants!$D$22*Constants!$C$23/100*(N38-25)</f>
        <v>198.91759552598666</v>
      </c>
      <c r="P38" s="165">
        <f ca="1">IF(100*(Design!$C$29+D38+C38*IF(ISBLANK(Design!$B$43),Constants!$C$6,Design!$B$43)/1000*(1+Constants!$C$36/100*(N38-25)))/($B38+D38-C38*O38/1000)&gt;Design!$C$36,  (1-Constants!$C$20/1000000000*IF(ISBLANK(Design!$B$33),Design!$B$32/4,Design!$B$33/4)*1000000) * ($B38+D38-C38*O38/1000) - (D38+C38*(1+($A38-25)*Constants!$C$36/100)*IF(ISBLANK(Design!$B$43),Constants!$C$6/1000,Design!$B$43/1000)),   (1-Constants!$C$20/1000000000*IF(ISBLANK(Design!$B$33),Design!$B$32,Design!$B$33)*1000000) * ($B38+D38-C38*O38/1000) - (D38+C38*(1+($A38-25)*Constants!$C$36/100)*IF(ISBLANK(Design!$B$43),Constants!$C$6/1000,Design!$B$43/1000)) )</f>
        <v>3.9837176786870971</v>
      </c>
      <c r="Q38" s="171">
        <f ca="1">IF(P38&gt;Design!$C$29,Design!$C$29,P38)</f>
        <v>3.9837176786870971</v>
      </c>
      <c r="R38" s="181">
        <f>2*Design!$D$7/3</f>
        <v>1.3333333333333333</v>
      </c>
      <c r="S38" s="116">
        <f ca="1">FORECAST(R38, OFFSET(Design!$C$15:$C$17,MATCH(R38,Design!$B$15:$B$17,1)-1,0,2), OFFSET(Design!$B$15:$B$17,MATCH(R38,Design!$B$15:$B$17,1)-1,0,2))+(AB38-25)*Design!$B$18/1000</f>
        <v>0.35689626211005221</v>
      </c>
      <c r="T38" s="182">
        <f ca="1">IF(100*(Design!$C$29+S38+R38*IF(ISBLANK(Design!$B$43),Constants!$C$6,Design!$B$43)/1000*(1+Constants!$C$36/100*(AC38-25)))/($B38+S38-R38*AD38/1000)&gt;Design!$C$36,Design!$C$37,100*(Design!$C$29+S38+R38*IF(ISBLANK(Design!$B$43),Constants!$C$6,Design!$B$43)/1000*(1+Constants!$C$36/100*(AC38-25)))/($B38+S38-R38*AD38/1000))</f>
        <v>95.537499999999994</v>
      </c>
      <c r="U38" s="117">
        <f ca="1">IF(($B38-R38*IF(ISBLANK(Design!$B$43),Constants!$C$6,Design!$B$43)/1000*(1+Constants!$C$36/100*(AC38-25))-Design!$C$29)/(Design!$B$42/1000000)*T38/100/(IF(ISBLANK(IF(ISBLANK(Design!$B$42),Design!$B$40,Design!$B$42)),Design!$B$32,Design!$B$33)*1000000)&lt;0,0,($B38-R38*IF(ISBLANK(Design!$B$43),Constants!$C$6,Design!$B$43)/1000*(1+Constants!$C$36/100*(AC38-25))-Design!$C$29)/(IF(ISBLANK(Design!$B$42),Design!$B$40,Design!$B$42)/1000000)*T38/100/(IF(ISBLANK(Design!$B$33),Design!$B$32,Design!$B$33)*1000000))</f>
        <v>0</v>
      </c>
      <c r="V38" s="183">
        <f>$B38*Constants!$C$21/1000+IF(ISBLANK(Design!$B$33),Design!$B$32,Design!$B$33)*1000000*Constants!$D$25/1000000000*($B38-Constants!$C$24)</f>
        <v>9.8384999999999931E-3</v>
      </c>
      <c r="W38" s="183">
        <f>$B38*R38*($B38/(Constants!$C$26*1000000000)*IF(ISBLANK(Design!$B$33),Design!$B$32,Design!$B$33)*1000000/2+$B38/(Constants!$C$27*1000000000)*IF(ISBLANK(Design!$B$33),Design!$B$32,Design!$B$33)*1000000/2)</f>
        <v>7.6400456925418553E-2</v>
      </c>
      <c r="X38" s="183">
        <f t="shared" ca="1" si="2"/>
        <v>0.31554538938691845</v>
      </c>
      <c r="Y38" s="183">
        <f>Constants!$D$25/1000000000*Constants!$C$24*IF(ISBLANK(Design!$B$33),Design!$B$32,Design!$B$33)*1000000</f>
        <v>6.8250000000000005E-2</v>
      </c>
      <c r="Z38" s="183">
        <f t="shared" ca="1" si="10"/>
        <v>0.47003434631233698</v>
      </c>
      <c r="AA38" s="183">
        <f t="shared" ca="1" si="7"/>
        <v>2.1235327595548116E-2</v>
      </c>
      <c r="AB38" s="184">
        <f ca="1">$A38+AA38*Design!$B$19</f>
        <v>86.06176637977741</v>
      </c>
      <c r="AC38" s="184">
        <f ca="1">Z38*Design!$C$12+$A38</f>
        <v>100.98116777461945</v>
      </c>
      <c r="AD38" s="184">
        <f ca="1">Constants!$D$22+Constants!$D$22*Constants!$C$23/100*(AC38-25)</f>
        <v>185.78493421969557</v>
      </c>
      <c r="AE38" s="183">
        <f ca="1">IF(100*(Design!$C$29+S38+R38*IF(ISBLANK(Design!$B$43),Constants!$C$6,Design!$B$43)/1000*(1+Constants!$C$36/100*(AC38-25)))/($B38+S38-R38*AD38/1000)&gt;Design!$C$36,  (1-Constants!$C$20/1000000000*IF(ISBLANK(Design!$B$33),Design!$B$32/4,Design!$B$33/4)*1000000) * ($B38+S38-R38*AD38/1000) - (S38+R38*(1+($A38-25)*Constants!$C$36/100)*IF(ISBLANK(Design!$B$43),Constants!$C$6/1000,Design!$B$43/1000)),   (1-Constants!$C$20/1000000000*IF(ISBLANK(Design!$B$33),Design!$B$32,Design!$B$33)*1000000) * ($B38+S38-R38*AD38/1000) - (S38+R38*(1+($A38-25)*Constants!$C$36/100)*IF(ISBLANK(Design!$B$43),Constants!$C$6/1000,Design!$B$43/1000)) )</f>
        <v>4.1622138789298155</v>
      </c>
      <c r="AF38" s="117">
        <f ca="1">IF(AE38&gt;Design!$C$29,Design!$C$29,AE38)</f>
        <v>4.1622138789298155</v>
      </c>
      <c r="AG38" s="118">
        <f>Design!$D$7/3</f>
        <v>0.66666666666666663</v>
      </c>
      <c r="AH38" s="118">
        <f ca="1">FORECAST(AG38, OFFSET(Design!$C$15:$C$17,MATCH(AG38,Design!$B$15:$B$17,1)-1,0,2), OFFSET(Design!$B$15:$B$17,MATCH(AG38,Design!$B$15:$B$17,1)-1,0,2))+(AQ38-25)*Design!$B$18/1000</f>
        <v>0.30928964219521493</v>
      </c>
      <c r="AI38" s="194">
        <f ca="1">IF(100*(Design!$C$29+AH38+AG38*IF(ISBLANK(Design!$B$43),Constants!$C$6,Design!$B$43)/1000*(1+Constants!$C$36/100*(AR38-25)))/($B38+AH38-AG38*AS38/1000)&gt;Design!$C$36,Design!$C$37,100*(Design!$C$29+AH38+AG38*IF(ISBLANK(Design!$B$43),Constants!$C$6,Design!$B$43)/1000*(1+Constants!$C$36/100*(AR38-25)))/($B38+AH38-AG38*AS38/1000))</f>
        <v>95.537499999999994</v>
      </c>
      <c r="AJ38" s="119">
        <f ca="1">IF(($B38-AG38*IF(ISBLANK(Design!$B$43),Constants!$C$6,Design!$B$43)/1000*(1+Constants!$C$36/100*(AR38-25))-Design!$C$29)/(IF(ISBLANK(Design!$B$42),Design!$B$40,Design!$B$42)/1000000)*AI38/100/(IF(ISBLANK(Design!$B$33),Design!$B$32,Design!$B$33)*1000000)&lt;0,0,($B38-AG38*IF(ISBLANK(Design!$B$43),Constants!$C$6,Design!$B$43)/1000*(1+Constants!$C$36/100*(AR38-25))-Design!$C$29)/(IF(ISBLANK(Design!$B$42),Design!$B$40,Design!$B$42)/1000000)*AI38/100/(IF(ISBLANK(Design!$B$33),Design!$B$32,Design!$B$33)*1000000))</f>
        <v>0</v>
      </c>
      <c r="AK38" s="195">
        <f>$B38*Constants!$C$21/1000+IF(ISBLANK(Design!$B$33),Design!$B$32,Design!$B$33)*1000000*Constants!$D$25/1000000000*($B38-Constants!$C$24)</f>
        <v>9.8384999999999931E-3</v>
      </c>
      <c r="AL38" s="195">
        <f>$B38*AG38*($B38/(Constants!$C$26*1000000000)*IF(ISBLANK(Design!$B$33),Design!$B$32,Design!$B$33)*1000000/2+$B38/(Constants!$C$27*1000000000)*IF(ISBLANK(Design!$B$33),Design!$B$32,Design!$B$33)*1000000/2)</f>
        <v>3.8200228462709276E-2</v>
      </c>
      <c r="AM38" s="195">
        <f t="shared" ca="1" si="3"/>
        <v>7.5674789947606277E-2</v>
      </c>
      <c r="AN38" s="195">
        <f>Constants!$D$25/1000000000*Constants!$C$24*IF(ISBLANK(Design!$B$33),Design!$B$32,Design!$B$33)*1000000</f>
        <v>6.8250000000000005E-2</v>
      </c>
      <c r="AO38" s="195">
        <f t="shared" ca="1" si="11"/>
        <v>0.19196351841031556</v>
      </c>
      <c r="AP38" s="195">
        <f t="shared" ca="1" si="9"/>
        <v>9.2013668553076484E-3</v>
      </c>
      <c r="AQ38" s="196">
        <f ca="1">$A38+AP38*Design!$B$19</f>
        <v>85.460068342765382</v>
      </c>
      <c r="AR38" s="196">
        <f ca="1">AO38*Design!$C$12+$A38</f>
        <v>91.526759625950731</v>
      </c>
      <c r="AS38" s="196">
        <f ca="1">Constants!$D$22+Constants!$D$22*Constants!$C$23/100*(AR38-25)</f>
        <v>178.22140770076058</v>
      </c>
      <c r="AT38" s="195">
        <f ca="1">IF(100*(Design!$C$29+AH38+AG38*IF(ISBLANK(Design!$B$43),Constants!$C$6,Design!$B$43)/1000*(1+Constants!$C$36/100*(AR38-25)))/($B38+AH38-AG38*AS38/1000)&gt;Design!$C$36,  (1-Constants!$C$20/1000000000*IF(ISBLANK(Design!$B$33),Design!$B$32/4,Design!$B$33/4)*1000000) * ($B38+AH38-AG38*AS38/1000) - (AH38+AG38*(1+($A38-25)*Constants!$C$36/100)*IF(ISBLANK(Design!$B$43),Constants!$C$6/1000,Design!$B$43/1000)),   (1-Constants!$C$20/1000000000*IF(ISBLANK(Design!$B$33),Design!$B$32,Design!$B$33)*1000000) * ($B38+AH38-AG38*AS38/1000) - (AH38+AG38*(1+($A38-25)*Constants!$C$36/100)*IF(ISBLANK(Design!$B$43),Constants!$C$6/1000,Design!$B$43/1000)) )</f>
        <v>4.3204398481289621</v>
      </c>
      <c r="AU38" s="119">
        <f ca="1">IF(AT38&gt;Design!$C$29,Design!$C$29,AT38)</f>
        <v>4.3204398481289621</v>
      </c>
    </row>
    <row r="39" spans="1:47" s="120" customFormat="1" ht="12.75" customHeight="1" x14ac:dyDescent="0.25">
      <c r="A39" s="112">
        <f>Design!$D$13</f>
        <v>85</v>
      </c>
      <c r="B39" s="113">
        <f t="shared" si="0"/>
        <v>4.4749999999999996</v>
      </c>
      <c r="C39" s="114">
        <f>Design!$D$7</f>
        <v>2</v>
      </c>
      <c r="D39" s="114">
        <f ca="1">FORECAST(C39, OFFSET(Design!$C$15:$C$17,MATCH(C39,Design!$B$15:$B$17,1)-1,0,2), OFFSET(Design!$B$15:$B$17,MATCH(C39,Design!$B$15:$B$17,1)-1,0,2))+(M39-25)*Design!$B$18/1000</f>
        <v>0.40437592519045384</v>
      </c>
      <c r="E39" s="173">
        <f ca="1">IF(100*(Design!$C$29+D39+C39*IF(ISBLANK(Design!$B$43),Constants!$C$6,Design!$B$43)/1000*(1+Constants!$C$36/100*(N39-25)))/($B39+D39-C39*O39/1000)&gt;Design!$C$36,Design!$C$37,100*(Design!$C$29+D39+C39*IF(ISBLANK(Design!$B$43),Constants!$C$6,Design!$B$43)/1000*(1+Constants!$C$36/100*(N39-25)))/($B39+D39-C39*O39/1000))</f>
        <v>95.537499999999994</v>
      </c>
      <c r="F39" s="115">
        <f ca="1">IF(($B39-C39*IF(ISBLANK(Design!$B$43),Constants!$C$6,Design!$B$43)/1000*(1+Constants!$C$36/100*(N39-25))-Design!$C$29)/(IF(ISBLANK(Design!$B$42),Design!$B$40,Design!$B$42)/1000000)*E39/100/(IF(ISBLANK(Design!$B$33),Design!$B$32,Design!$B$33)*1000000)&lt;0, 0, ($B39-C39*IF(ISBLANK(Design!$B$43),Constants!$C$6,Design!$B$43)/1000*(1+Constants!$C$36/100*(N39-25))-Design!$C$29)/(IF(ISBLANK(Design!$B$42),Design!$B$40,Design!$B$42)/1000000)*E39/100/(IF(ISBLANK(Design!$B$33),Design!$B$32,Design!$B$33)*1000000))</f>
        <v>0</v>
      </c>
      <c r="G39" s="165">
        <f>B39*Constants!$C$21/1000+IF(ISBLANK(Design!$B$33),Design!$B$32,Design!$B$33)*1000000*Constants!$D$25/1000000000*(B39-Constants!$C$24)</f>
        <v>6.2587499999999944E-3</v>
      </c>
      <c r="H39" s="165">
        <f>B39*C39*(B39/(Constants!$C$26*1000000000)*IF(ISBLANK(Design!$B$33),Design!$B$32,Design!$B$33)*1000000/2+B39/(Constants!$C$27*1000000000)*IF(ISBLANK(Design!$B$33),Design!$B$32,Design!$B$33)*1000000/2)</f>
        <v>0.10433442066210044</v>
      </c>
      <c r="I39" s="165">
        <f t="shared" ca="1" si="1"/>
        <v>0.75855741655853115</v>
      </c>
      <c r="J39" s="165">
        <f>Constants!$D$25/1000000000*Constants!$C$24*IF(ISBLANK(Design!$B$33),Design!$B$32,Design!$B$33)*1000000</f>
        <v>6.8250000000000005E-2</v>
      </c>
      <c r="K39" s="165">
        <f t="shared" ca="1" si="4"/>
        <v>0.93740058722063158</v>
      </c>
      <c r="L39" s="165">
        <f t="shared" ca="1" si="5"/>
        <v>3.6090551323248024E-2</v>
      </c>
      <c r="M39" s="166">
        <f ca="1">A39+L39*Design!$B$19</f>
        <v>86.804527566162406</v>
      </c>
      <c r="N39" s="166">
        <f ca="1">K39*Design!$C$12+A39</f>
        <v>116.87161996550148</v>
      </c>
      <c r="O39" s="166">
        <f ca="1">Constants!$D$22+Constants!$D$22*Constants!$C$23/100*(N39-25)</f>
        <v>198.49729597240119</v>
      </c>
      <c r="P39" s="165">
        <f ca="1">IF(100*(Design!$C$29+D39+C39*IF(ISBLANK(Design!$B$43),Constants!$C$6,Design!$B$43)/1000*(1+Constants!$C$36/100*(N39-25)))/($B39+D39-C39*O39/1000)&gt;Design!$C$36,  (1-Constants!$C$20/1000000000*IF(ISBLANK(Design!$B$33),Design!$B$32/4,Design!$B$33/4)*1000000) * ($B39+D39-C39*O39/1000) - (D39+C39*(1+($A39-25)*Constants!$C$36/100)*IF(ISBLANK(Design!$B$43),Constants!$C$6/1000,Design!$B$43/1000)),   (1-Constants!$C$20/1000000000*IF(ISBLANK(Design!$B$33),Design!$B$32,Design!$B$33)*1000000) * ($B39+D39-C39*O39/1000) - (D39+C39*(1+($A39-25)*Constants!$C$36/100)*IF(ISBLANK(Design!$B$43),Constants!$C$6/1000,Design!$B$43/1000)) )</f>
        <v>3.7791151410591102</v>
      </c>
      <c r="Q39" s="171">
        <f ca="1">IF(P39&gt;Design!$C$29,Design!$C$29,P39)</f>
        <v>3.7791151410591102</v>
      </c>
      <c r="R39" s="181">
        <f>2*Design!$D$7/3</f>
        <v>1.3333333333333333</v>
      </c>
      <c r="S39" s="116">
        <f ca="1">FORECAST(R39, OFFSET(Design!$C$15:$C$17,MATCH(R39,Design!$B$15:$B$17,1)-1,0,2), OFFSET(Design!$B$15:$B$17,MATCH(R39,Design!$B$15:$B$17,1)-1,0,2))+(AB39-25)*Design!$B$18/1000</f>
        <v>0.35689626211005221</v>
      </c>
      <c r="T39" s="182">
        <f ca="1">IF(100*(Design!$C$29+S39+R39*IF(ISBLANK(Design!$B$43),Constants!$C$6,Design!$B$43)/1000*(1+Constants!$C$36/100*(AC39-25)))/($B39+S39-R39*AD39/1000)&gt;Design!$C$36,Design!$C$37,100*(Design!$C$29+S39+R39*IF(ISBLANK(Design!$B$43),Constants!$C$6,Design!$B$43)/1000*(1+Constants!$C$36/100*(AC39-25)))/($B39+S39-R39*AD39/1000))</f>
        <v>95.537499999999994</v>
      </c>
      <c r="U39" s="117">
        <f ca="1">IF(($B39-R39*IF(ISBLANK(Design!$B$43),Constants!$C$6,Design!$B$43)/1000*(1+Constants!$C$36/100*(AC39-25))-Design!$C$29)/(Design!$B$42/1000000)*T39/100/(IF(ISBLANK(IF(ISBLANK(Design!$B$42),Design!$B$40,Design!$B$42)),Design!$B$32,Design!$B$33)*1000000)&lt;0,0,($B39-R39*IF(ISBLANK(Design!$B$43),Constants!$C$6,Design!$B$43)/1000*(1+Constants!$C$36/100*(AC39-25))-Design!$C$29)/(IF(ISBLANK(Design!$B$42),Design!$B$40,Design!$B$42)/1000000)*T39/100/(IF(ISBLANK(Design!$B$33),Design!$B$32,Design!$B$33)*1000000))</f>
        <v>0</v>
      </c>
      <c r="V39" s="183">
        <f>$B39*Constants!$C$21/1000+IF(ISBLANK(Design!$B$33),Design!$B$32,Design!$B$33)*1000000*Constants!$D$25/1000000000*($B39-Constants!$C$24)</f>
        <v>6.2587499999999944E-3</v>
      </c>
      <c r="W39" s="183">
        <f>$B39*R39*($B39/(Constants!$C$26*1000000000)*IF(ISBLANK(Design!$B$33),Design!$B$32,Design!$B$33)*1000000/2+$B39/(Constants!$C$27*1000000000)*IF(ISBLANK(Design!$B$33),Design!$B$32,Design!$B$33)*1000000/2)</f>
        <v>6.9556280441400289E-2</v>
      </c>
      <c r="X39" s="183">
        <f t="shared" ca="1" si="2"/>
        <v>0.31504050351371443</v>
      </c>
      <c r="Y39" s="183">
        <f>Constants!$D$25/1000000000*Constants!$C$24*IF(ISBLANK(Design!$B$33),Design!$B$32,Design!$B$33)*1000000</f>
        <v>6.8250000000000005E-2</v>
      </c>
      <c r="Z39" s="183">
        <f t="shared" ca="1" si="10"/>
        <v>0.45910553395511478</v>
      </c>
      <c r="AA39" s="183">
        <f t="shared" ca="1" si="7"/>
        <v>2.1235327595548116E-2</v>
      </c>
      <c r="AB39" s="184">
        <f ca="1">$A39+AA39*Design!$B$19</f>
        <v>86.06176637977741</v>
      </c>
      <c r="AC39" s="184">
        <f ca="1">Z39*Design!$C$12+$A39</f>
        <v>100.6095881544739</v>
      </c>
      <c r="AD39" s="184">
        <f ca="1">Constants!$D$22+Constants!$D$22*Constants!$C$23/100*(AC39-25)</f>
        <v>185.48767052357911</v>
      </c>
      <c r="AE39" s="183">
        <f ca="1">IF(100*(Design!$C$29+S39+R39*IF(ISBLANK(Design!$B$43),Constants!$C$6,Design!$B$43)/1000*(1+Constants!$C$36/100*(AC39-25)))/($B39+S39-R39*AD39/1000)&gt;Design!$C$36,  (1-Constants!$C$20/1000000000*IF(ISBLANK(Design!$B$33),Design!$B$32/4,Design!$B$33/4)*1000000) * ($B39+S39-R39*AD39/1000) - (S39+R39*(1+($A39-25)*Constants!$C$36/100)*IF(ISBLANK(Design!$B$43),Constants!$C$6/1000,Design!$B$43/1000)),   (1-Constants!$C$20/1000000000*IF(ISBLANK(Design!$B$33),Design!$B$32,Design!$B$33)*1000000) * ($B39+S39-R39*AD39/1000) - (S39+R39*(1+($A39-25)*Constants!$C$36/100)*IF(ISBLANK(Design!$B$43),Constants!$C$6/1000,Design!$B$43/1000)) )</f>
        <v>3.9571869183347186</v>
      </c>
      <c r="AF39" s="117">
        <f ca="1">IF(AE39&gt;Design!$C$29,Design!$C$29,AE39)</f>
        <v>3.9571869183347186</v>
      </c>
      <c r="AG39" s="118">
        <f>Design!$D$7/3</f>
        <v>0.66666666666666663</v>
      </c>
      <c r="AH39" s="118">
        <f ca="1">FORECAST(AG39, OFFSET(Design!$C$15:$C$17,MATCH(AG39,Design!$B$15:$B$17,1)-1,0,2), OFFSET(Design!$B$15:$B$17,MATCH(AG39,Design!$B$15:$B$17,1)-1,0,2))+(AQ39-25)*Design!$B$18/1000</f>
        <v>0.30928964219521493</v>
      </c>
      <c r="AI39" s="194">
        <f ca="1">IF(100*(Design!$C$29+AH39+AG39*IF(ISBLANK(Design!$B$43),Constants!$C$6,Design!$B$43)/1000*(1+Constants!$C$36/100*(AR39-25)))/($B39+AH39-AG39*AS39/1000)&gt;Design!$C$36,Design!$C$37,100*(Design!$C$29+AH39+AG39*IF(ISBLANK(Design!$B$43),Constants!$C$6,Design!$B$43)/1000*(1+Constants!$C$36/100*(AR39-25)))/($B39+AH39-AG39*AS39/1000))</f>
        <v>95.537499999999994</v>
      </c>
      <c r="AJ39" s="119">
        <f ca="1">IF(($B39-AG39*IF(ISBLANK(Design!$B$43),Constants!$C$6,Design!$B$43)/1000*(1+Constants!$C$36/100*(AR39-25))-Design!$C$29)/(IF(ISBLANK(Design!$B$42),Design!$B$40,Design!$B$42)/1000000)*AI39/100/(IF(ISBLANK(Design!$B$33),Design!$B$32,Design!$B$33)*1000000)&lt;0,0,($B39-AG39*IF(ISBLANK(Design!$B$43),Constants!$C$6,Design!$B$43)/1000*(1+Constants!$C$36/100*(AR39-25))-Design!$C$29)/(IF(ISBLANK(Design!$B$42),Design!$B$40,Design!$B$42)/1000000)*AI39/100/(IF(ISBLANK(Design!$B$33),Design!$B$32,Design!$B$33)*1000000))</f>
        <v>0</v>
      </c>
      <c r="AK39" s="195">
        <f>$B39*Constants!$C$21/1000+IF(ISBLANK(Design!$B$33),Design!$B$32,Design!$B$33)*1000000*Constants!$D$25/1000000000*($B39-Constants!$C$24)</f>
        <v>6.2587499999999944E-3</v>
      </c>
      <c r="AL39" s="195">
        <f>$B39*AG39*($B39/(Constants!$C$26*1000000000)*IF(ISBLANK(Design!$B$33),Design!$B$32,Design!$B$33)*1000000/2+$B39/(Constants!$C$27*1000000000)*IF(ISBLANK(Design!$B$33),Design!$B$32,Design!$B$33)*1000000/2)</f>
        <v>3.4778140220700145E-2</v>
      </c>
      <c r="AM39" s="195">
        <f t="shared" ca="1" si="3"/>
        <v>7.5592977879297849E-2</v>
      </c>
      <c r="AN39" s="195">
        <f>Constants!$D$25/1000000000*Constants!$C$24*IF(ISBLANK(Design!$B$33),Design!$B$32,Design!$B$33)*1000000</f>
        <v>6.8250000000000005E-2</v>
      </c>
      <c r="AO39" s="195">
        <f t="shared" ca="1" si="11"/>
        <v>0.18487986809999798</v>
      </c>
      <c r="AP39" s="195">
        <f t="shared" ca="1" si="9"/>
        <v>9.2013668553076484E-3</v>
      </c>
      <c r="AQ39" s="196">
        <f ca="1">$A39+AP39*Design!$B$19</f>
        <v>85.460068342765382</v>
      </c>
      <c r="AR39" s="196">
        <f ca="1">AO39*Design!$C$12+$A39</f>
        <v>91.285915515399935</v>
      </c>
      <c r="AS39" s="196">
        <f ca="1">Constants!$D$22+Constants!$D$22*Constants!$C$23/100*(AR39-25)</f>
        <v>178.02873241231995</v>
      </c>
      <c r="AT39" s="195">
        <f ca="1">IF(100*(Design!$C$29+AH39+AG39*IF(ISBLANK(Design!$B$43),Constants!$C$6,Design!$B$43)/1000*(1+Constants!$C$36/100*(AR39-25)))/($B39+AH39-AG39*AS39/1000)&gt;Design!$C$36,  (1-Constants!$C$20/1000000000*IF(ISBLANK(Design!$B$33),Design!$B$32/4,Design!$B$33/4)*1000000) * ($B39+AH39-AG39*AS39/1000) - (AH39+AG39*(1+($A39-25)*Constants!$C$36/100)*IF(ISBLANK(Design!$B$43),Constants!$C$6/1000,Design!$B$43/1000)),   (1-Constants!$C$20/1000000000*IF(ISBLANK(Design!$B$33),Design!$B$32,Design!$B$33)*1000000) * ($B39+AH39-AG39*AS39/1000) - (AH39+AG39*(1+($A39-25)*Constants!$C$36/100)*IF(ISBLANK(Design!$B$43),Constants!$C$6/1000,Design!$B$43/1000)) )</f>
        <v>4.1151569412314242</v>
      </c>
      <c r="AU39" s="119">
        <f ca="1">IF(AT39&gt;Design!$C$29,Design!$C$29,AT39)</f>
        <v>4.1151569412314242</v>
      </c>
    </row>
    <row r="40" spans="1:47" s="120" customFormat="1" ht="12.75" customHeight="1" x14ac:dyDescent="0.25">
      <c r="A40" s="112">
        <f>Design!$D$13</f>
        <v>85</v>
      </c>
      <c r="B40" s="113">
        <f t="shared" si="0"/>
        <v>4.26</v>
      </c>
      <c r="C40" s="114">
        <f>Design!$D$7</f>
        <v>2</v>
      </c>
      <c r="D40" s="114">
        <f ca="1">FORECAST(C40, OFFSET(Design!$C$15:$C$17,MATCH(C40,Design!$B$15:$B$17,1)-1,0,2), OFFSET(Design!$B$15:$B$17,MATCH(C40,Design!$B$15:$B$17,1)-1,0,2))+(M40-25)*Design!$B$18/1000</f>
        <v>0.40437592519045384</v>
      </c>
      <c r="E40" s="173">
        <f ca="1">IF(100*(Design!$C$29+D40+C40*IF(ISBLANK(Design!$B$43),Constants!$C$6,Design!$B$43)/1000*(1+Constants!$C$36/100*(N40-25)))/($B40+D40-C40*O40/1000)&gt;Design!$C$36,Design!$C$37,100*(Design!$C$29+D40+C40*IF(ISBLANK(Design!$B$43),Constants!$C$6,Design!$B$43)/1000*(1+Constants!$C$36/100*(N40-25)))/($B40+D40-C40*O40/1000))</f>
        <v>95.537499999999994</v>
      </c>
      <c r="F40" s="115">
        <f ca="1">IF(($B40-C40*IF(ISBLANK(Design!$B$43),Constants!$C$6,Design!$B$43)/1000*(1+Constants!$C$36/100*(N40-25))-Design!$C$29)/(IF(ISBLANK(Design!$B$42),Design!$B$40,Design!$B$42)/1000000)*E40/100/(IF(ISBLANK(Design!$B$33),Design!$B$32,Design!$B$33)*1000000)&lt;0, 0, ($B40-C40*IF(ISBLANK(Design!$B$43),Constants!$C$6,Design!$B$43)/1000*(1+Constants!$C$36/100*(N40-25))-Design!$C$29)/(IF(ISBLANK(Design!$B$42),Design!$B$40,Design!$B$42)/1000000)*E40/100/(IF(ISBLANK(Design!$B$33),Design!$B$32,Design!$B$33)*1000000))</f>
        <v>0</v>
      </c>
      <c r="G40" s="165">
        <f>B40*Constants!$C$21/1000+IF(ISBLANK(Design!$B$33),Design!$B$32,Design!$B$33)*1000000*Constants!$D$25/1000000000*(B40-Constants!$C$24)</f>
        <v>2.6789999999999956E-3</v>
      </c>
      <c r="H40" s="165">
        <f>B40*C40*(B40/(Constants!$C$26*1000000000)*IF(ISBLANK(Design!$B$33),Design!$B$32,Design!$B$33)*1000000/2+B40/(Constants!$C$27*1000000000)*IF(ISBLANK(Design!$B$33),Design!$B$32,Design!$B$33)*1000000/2)</f>
        <v>9.454982465753424E-2</v>
      </c>
      <c r="I40" s="165">
        <f t="shared" ca="1" si="1"/>
        <v>0.75700711667457821</v>
      </c>
      <c r="J40" s="165">
        <f>Constants!$D$25/1000000000*Constants!$C$24*IF(ISBLANK(Design!$B$33),Design!$B$32,Design!$B$33)*1000000</f>
        <v>6.8250000000000005E-2</v>
      </c>
      <c r="K40" s="165">
        <f t="shared" ca="1" si="4"/>
        <v>0.92248594133211248</v>
      </c>
      <c r="L40" s="165">
        <f t="shared" ca="1" si="5"/>
        <v>3.6090551323248024E-2</v>
      </c>
      <c r="M40" s="166">
        <f ca="1">A40+L40*Design!$B$19</f>
        <v>86.804527566162406</v>
      </c>
      <c r="N40" s="166">
        <f ca="1">K40*Design!$C$12+A40</f>
        <v>116.36452200529183</v>
      </c>
      <c r="O40" s="166">
        <f ca="1">Constants!$D$22+Constants!$D$22*Constants!$C$23/100*(N40-25)</f>
        <v>198.09161760423348</v>
      </c>
      <c r="P40" s="165">
        <f ca="1">IF(100*(Design!$C$29+D40+C40*IF(ISBLANK(Design!$B$43),Constants!$C$6,Design!$B$43)/1000*(1+Constants!$C$36/100*(N40-25)))/($B40+D40-C40*O40/1000)&gt;Design!$C$36,  (1-Constants!$C$20/1000000000*IF(ISBLANK(Design!$B$33),Design!$B$32/4,Design!$B$33/4)*1000000) * ($B40+D40-C40*O40/1000) - (D40+C40*(1+($A40-25)*Constants!$C$36/100)*IF(ISBLANK(Design!$B$43),Constants!$C$6/1000,Design!$B$43/1000)),   (1-Constants!$C$20/1000000000*IF(ISBLANK(Design!$B$33),Design!$B$32,Design!$B$33)*1000000) * ($B40+D40-C40*O40/1000) - (D40+C40*(1+($A40-25)*Constants!$C$36/100)*IF(ISBLANK(Design!$B$43),Constants!$C$6/1000,Design!$B$43/1000)) )</f>
        <v>3.5744846660010872</v>
      </c>
      <c r="Q40" s="171">
        <f ca="1">IF(P40&gt;Design!$C$29,Design!$C$29,P40)</f>
        <v>3.5744846660010872</v>
      </c>
      <c r="R40" s="181">
        <f>2*Design!$D$7/3</f>
        <v>1.3333333333333333</v>
      </c>
      <c r="S40" s="116">
        <f ca="1">FORECAST(R40, OFFSET(Design!$C$15:$C$17,MATCH(R40,Design!$B$15:$B$17,1)-1,0,2), OFFSET(Design!$B$15:$B$17,MATCH(R40,Design!$B$15:$B$17,1)-1,0,2))+(AB40-25)*Design!$B$18/1000</f>
        <v>0.35689626211005221</v>
      </c>
      <c r="T40" s="182">
        <f ca="1">IF(100*(Design!$C$29+S40+R40*IF(ISBLANK(Design!$B$43),Constants!$C$6,Design!$B$43)/1000*(1+Constants!$C$36/100*(AC40-25)))/($B40+S40-R40*AD40/1000)&gt;Design!$C$36,Design!$C$37,100*(Design!$C$29+S40+R40*IF(ISBLANK(Design!$B$43),Constants!$C$6,Design!$B$43)/1000*(1+Constants!$C$36/100*(AC40-25)))/($B40+S40-R40*AD40/1000))</f>
        <v>95.537499999999994</v>
      </c>
      <c r="U40" s="117">
        <f ca="1">IF(($B40-R40*IF(ISBLANK(Design!$B$43),Constants!$C$6,Design!$B$43)/1000*(1+Constants!$C$36/100*(AC40-25))-Design!$C$29)/(Design!$B$42/1000000)*T40/100/(IF(ISBLANK(IF(ISBLANK(Design!$B$42),Design!$B$40,Design!$B$42)),Design!$B$32,Design!$B$33)*1000000)&lt;0,0,($B40-R40*IF(ISBLANK(Design!$B$43),Constants!$C$6,Design!$B$43)/1000*(1+Constants!$C$36/100*(AC40-25))-Design!$C$29)/(IF(ISBLANK(Design!$B$42),Design!$B$40,Design!$B$42)/1000000)*T40/100/(IF(ISBLANK(Design!$B$33),Design!$B$32,Design!$B$33)*1000000))</f>
        <v>0</v>
      </c>
      <c r="V40" s="183">
        <f>$B40*Constants!$C$21/1000+IF(ISBLANK(Design!$B$33),Design!$B$32,Design!$B$33)*1000000*Constants!$D$25/1000000000*($B40-Constants!$C$24)</f>
        <v>2.6789999999999956E-3</v>
      </c>
      <c r="W40" s="183">
        <f>$B40*R40*($B40/(Constants!$C$26*1000000000)*IF(ISBLANK(Design!$B$33),Design!$B$32,Design!$B$33)*1000000/2+$B40/(Constants!$C$27*1000000000)*IF(ISBLANK(Design!$B$33),Design!$B$32,Design!$B$33)*1000000/2)</f>
        <v>6.303321643835616E-2</v>
      </c>
      <c r="X40" s="183">
        <f t="shared" ca="1" si="2"/>
        <v>0.31455117081575612</v>
      </c>
      <c r="Y40" s="183">
        <f>Constants!$D$25/1000000000*Constants!$C$24*IF(ISBLANK(Design!$B$33),Design!$B$32,Design!$B$33)*1000000</f>
        <v>6.8250000000000005E-2</v>
      </c>
      <c r="Z40" s="183">
        <f t="shared" ca="1" si="10"/>
        <v>0.44851338725411227</v>
      </c>
      <c r="AA40" s="183">
        <f t="shared" ca="1" si="7"/>
        <v>2.1235327595548116E-2</v>
      </c>
      <c r="AB40" s="184">
        <f ca="1">$A40+AA40*Design!$B$19</f>
        <v>86.06176637977741</v>
      </c>
      <c r="AC40" s="184">
        <f ca="1">Z40*Design!$C$12+$A40</f>
        <v>100.24945516663982</v>
      </c>
      <c r="AD40" s="184">
        <f ca="1">Constants!$D$22+Constants!$D$22*Constants!$C$23/100*(AC40-25)</f>
        <v>185.19956413331187</v>
      </c>
      <c r="AE40" s="183">
        <f ca="1">IF(100*(Design!$C$29+S40+R40*IF(ISBLANK(Design!$B$43),Constants!$C$6,Design!$B$43)/1000*(1+Constants!$C$36/100*(AC40-25)))/($B40+S40-R40*AD40/1000)&gt;Design!$C$36,  (1-Constants!$C$20/1000000000*IF(ISBLANK(Design!$B$33),Design!$B$32/4,Design!$B$33/4)*1000000) * ($B40+S40-R40*AD40/1000) - (S40+R40*(1+($A40-25)*Constants!$C$36/100)*IF(ISBLANK(Design!$B$43),Constants!$C$6/1000,Design!$B$43/1000)),   (1-Constants!$C$20/1000000000*IF(ISBLANK(Design!$B$33),Design!$B$32,Design!$B$33)*1000000) * ($B40+S40-R40*AD40/1000) - (S40+R40*(1+($A40-25)*Constants!$C$36/100)*IF(ISBLANK(Design!$B$43),Constants!$C$6/1000,Design!$B$43/1000)) )</f>
        <v>3.7521482928581884</v>
      </c>
      <c r="AF40" s="117">
        <f ca="1">IF(AE40&gt;Design!$C$29,Design!$C$29,AE40)</f>
        <v>3.7521482928581884</v>
      </c>
      <c r="AG40" s="118">
        <f>Design!$D$7/3</f>
        <v>0.66666666666666663</v>
      </c>
      <c r="AH40" s="118">
        <f ca="1">FORECAST(AG40, OFFSET(Design!$C$15:$C$17,MATCH(AG40,Design!$B$15:$B$17,1)-1,0,2), OFFSET(Design!$B$15:$B$17,MATCH(AG40,Design!$B$15:$B$17,1)-1,0,2))+(AQ40-25)*Design!$B$18/1000</f>
        <v>0.30928964219521493</v>
      </c>
      <c r="AI40" s="194">
        <f ca="1">IF(100*(Design!$C$29+AH40+AG40*IF(ISBLANK(Design!$B$43),Constants!$C$6,Design!$B$43)/1000*(1+Constants!$C$36/100*(AR40-25)))/($B40+AH40-AG40*AS40/1000)&gt;Design!$C$36,Design!$C$37,100*(Design!$C$29+AH40+AG40*IF(ISBLANK(Design!$B$43),Constants!$C$6,Design!$B$43)/1000*(1+Constants!$C$36/100*(AR40-25)))/($B40+AH40-AG40*AS40/1000))</f>
        <v>95.537499999999994</v>
      </c>
      <c r="AJ40" s="119">
        <f ca="1">IF(($B40-AG40*IF(ISBLANK(Design!$B$43),Constants!$C$6,Design!$B$43)/1000*(1+Constants!$C$36/100*(AR40-25))-Design!$C$29)/(IF(ISBLANK(Design!$B$42),Design!$B$40,Design!$B$42)/1000000)*AI40/100/(IF(ISBLANK(Design!$B$33),Design!$B$32,Design!$B$33)*1000000)&lt;0,0,($B40-AG40*IF(ISBLANK(Design!$B$43),Constants!$C$6,Design!$B$43)/1000*(1+Constants!$C$36/100*(AR40-25))-Design!$C$29)/(IF(ISBLANK(Design!$B$42),Design!$B$40,Design!$B$42)/1000000)*AI40/100/(IF(ISBLANK(Design!$B$33),Design!$B$32,Design!$B$33)*1000000))</f>
        <v>0</v>
      </c>
      <c r="AK40" s="195">
        <f>$B40*Constants!$C$21/1000+IF(ISBLANK(Design!$B$33),Design!$B$32,Design!$B$33)*1000000*Constants!$D$25/1000000000*($B40-Constants!$C$24)</f>
        <v>2.6789999999999956E-3</v>
      </c>
      <c r="AL40" s="195">
        <f>$B40*AG40*($B40/(Constants!$C$26*1000000000)*IF(ISBLANK(Design!$B$33),Design!$B$32,Design!$B$33)*1000000/2+$B40/(Constants!$C$27*1000000000)*IF(ISBLANK(Design!$B$33),Design!$B$32,Design!$B$33)*1000000/2)</f>
        <v>3.151660821917808E-2</v>
      </c>
      <c r="AM40" s="195">
        <f t="shared" ca="1" si="3"/>
        <v>7.5513041809500095E-2</v>
      </c>
      <c r="AN40" s="195">
        <f>Constants!$D$25/1000000000*Constants!$C$24*IF(ISBLANK(Design!$B$33),Design!$B$32,Design!$B$33)*1000000</f>
        <v>6.8250000000000005E-2</v>
      </c>
      <c r="AO40" s="195">
        <f t="shared" ca="1" si="11"/>
        <v>0.17795865002867817</v>
      </c>
      <c r="AP40" s="195">
        <f t="shared" ca="1" si="9"/>
        <v>9.2013668553076484E-3</v>
      </c>
      <c r="AQ40" s="196">
        <f ca="1">$A40+AP40*Design!$B$19</f>
        <v>85.460068342765382</v>
      </c>
      <c r="AR40" s="196">
        <f ca="1">AO40*Design!$C$12+$A40</f>
        <v>91.050594100975061</v>
      </c>
      <c r="AS40" s="196">
        <f ca="1">Constants!$D$22+Constants!$D$22*Constants!$C$23/100*(AR40-25)</f>
        <v>177.84047528078005</v>
      </c>
      <c r="AT40" s="195">
        <f ca="1">IF(100*(Design!$C$29+AH40+AG40*IF(ISBLANK(Design!$B$43),Constants!$C$6,Design!$B$43)/1000*(1+Constants!$C$36/100*(AR40-25)))/($B40+AH40-AG40*AS40/1000)&gt;Design!$C$36,  (1-Constants!$C$20/1000000000*IF(ISBLANK(Design!$B$33),Design!$B$32/4,Design!$B$33/4)*1000000) * ($B40+AH40-AG40*AS40/1000) - (AH40+AG40*(1+($A40-25)*Constants!$C$36/100)*IF(ISBLANK(Design!$B$43),Constants!$C$6/1000,Design!$B$43/1000)),   (1-Constants!$C$20/1000000000*IF(ISBLANK(Design!$B$33),Design!$B$32,Design!$B$33)*1000000) * ($B40+AH40-AG40*AS40/1000) - (AH40+AG40*(1+($A40-25)*Constants!$C$36/100)*IF(ISBLANK(Design!$B$43),Constants!$C$6/1000,Design!$B$43/1000)) )</f>
        <v>3.9098712203361217</v>
      </c>
      <c r="AU40" s="119">
        <f ca="1">IF(AT40&gt;Design!$C$29,Design!$C$29,AT40)</f>
        <v>3.9098712203361217</v>
      </c>
    </row>
    <row r="41" spans="1:47" s="120" customFormat="1" ht="12.75" customHeight="1" x14ac:dyDescent="0.25">
      <c r="A41" s="112">
        <f>Design!$D$13</f>
        <v>85</v>
      </c>
      <c r="B41" s="113">
        <f t="shared" si="0"/>
        <v>4.0449999999999999</v>
      </c>
      <c r="C41" s="114">
        <f>Design!$D$7</f>
        <v>2</v>
      </c>
      <c r="D41" s="114">
        <f ca="1">FORECAST(C41, OFFSET(Design!$C$15:$C$17,MATCH(C41,Design!$B$15:$B$17,1)-1,0,2), OFFSET(Design!$B$15:$B$17,MATCH(C41,Design!$B$15:$B$17,1)-1,0,2))+(M41-25)*Design!$B$18/1000</f>
        <v>0.40437592519045384</v>
      </c>
      <c r="E41" s="173">
        <f ca="1">IF(100*(Design!$C$29+D41+C41*IF(ISBLANK(Design!$B$43),Constants!$C$6,Design!$B$43)/1000*(1+Constants!$C$36/100*(N41-25)))/($B41+D41-C41*O41/1000)&gt;Design!$C$36,Design!$C$37,100*(Design!$C$29+D41+C41*IF(ISBLANK(Design!$B$43),Constants!$C$6,Design!$B$43)/1000*(1+Constants!$C$36/100*(N41-25)))/($B41+D41-C41*O41/1000))</f>
        <v>95.537499999999994</v>
      </c>
      <c r="F41" s="115">
        <f ca="1">IF(($B41-C41*IF(ISBLANK(Design!$B$43),Constants!$C$6,Design!$B$43)/1000*(1+Constants!$C$36/100*(N41-25))-Design!$C$29)/(IF(ISBLANK(Design!$B$42),Design!$B$40,Design!$B$42)/1000000)*E41/100/(IF(ISBLANK(Design!$B$33),Design!$B$32,Design!$B$33)*1000000)&lt;0, 0, ($B41-C41*IF(ISBLANK(Design!$B$43),Constants!$C$6,Design!$B$43)/1000*(1+Constants!$C$36/100*(N41-25))-Design!$C$29)/(IF(ISBLANK(Design!$B$42),Design!$B$40,Design!$B$42)/1000000)*E41/100/(IF(ISBLANK(Design!$B$33),Design!$B$32,Design!$B$33)*1000000))</f>
        <v>0</v>
      </c>
      <c r="G41" s="165">
        <f>B41*Constants!$C$21/1000+IF(ISBLANK(Design!$B$33),Design!$B$32,Design!$B$33)*1000000*Constants!$D$25/1000000000*(B41-Constants!$C$24)</f>
        <v>-9.0075000000000224E-4</v>
      </c>
      <c r="H41" s="165">
        <f>B41*C41*(B41/(Constants!$C$26*1000000000)*IF(ISBLANK(Design!$B$33),Design!$B$32,Design!$B$33)*1000000/2+B41/(Constants!$C$27*1000000000)*IF(ISBLANK(Design!$B$33),Design!$B$32,Design!$B$33)*1000000/2)</f>
        <v>8.5246897374429226E-2</v>
      </c>
      <c r="I41" s="165">
        <f t="shared" ca="1" si="1"/>
        <v>0.75551269165069912</v>
      </c>
      <c r="J41" s="165">
        <f>Constants!$D$25/1000000000*Constants!$C$24*IF(ISBLANK(Design!$B$33),Design!$B$32,Design!$B$33)*1000000</f>
        <v>6.8250000000000005E-2</v>
      </c>
      <c r="K41" s="165">
        <f t="shared" ca="1" si="4"/>
        <v>0.9081088390251284</v>
      </c>
      <c r="L41" s="165">
        <f t="shared" ca="1" si="5"/>
        <v>3.6090551323248024E-2</v>
      </c>
      <c r="M41" s="166">
        <f ca="1">A41+L41*Design!$B$19</f>
        <v>86.804527566162406</v>
      </c>
      <c r="N41" s="166">
        <f ca="1">K41*Design!$C$12+A41</f>
        <v>115.87570052685436</v>
      </c>
      <c r="O41" s="166">
        <f ca="1">Constants!$D$22+Constants!$D$22*Constants!$C$23/100*(N41-25)</f>
        <v>197.70056042148349</v>
      </c>
      <c r="P41" s="165">
        <f ca="1">IF(100*(Design!$C$29+D41+C41*IF(ISBLANK(Design!$B$43),Constants!$C$6,Design!$B$43)/1000*(1+Constants!$C$36/100*(N41-25)))/($B41+D41-C41*O41/1000)&gt;Design!$C$36,  (1-Constants!$C$20/1000000000*IF(ISBLANK(Design!$B$33),Design!$B$32/4,Design!$B$33/4)*1000000) * ($B41+D41-C41*O41/1000) - (D41+C41*(1+($A41-25)*Constants!$C$36/100)*IF(ISBLANK(Design!$B$43),Constants!$C$6/1000,Design!$B$43/1000)),   (1-Constants!$C$20/1000000000*IF(ISBLANK(Design!$B$33),Design!$B$32,Design!$B$33)*1000000) * ($B41+D41-C41*O41/1000) - (D41+C41*(1+($A41-25)*Constants!$C$36/100)*IF(ISBLANK(Design!$B$43),Constants!$C$6/1000,Design!$B$43/1000)) )</f>
        <v>3.3698262535130259</v>
      </c>
      <c r="Q41" s="171">
        <f ca="1">IF(P41&gt;Design!$C$29,Design!$C$29,P41)</f>
        <v>3.3698262535130259</v>
      </c>
      <c r="R41" s="181">
        <f>2*Design!$D$7/3</f>
        <v>1.3333333333333333</v>
      </c>
      <c r="S41" s="116">
        <f ca="1">FORECAST(R41, OFFSET(Design!$C$15:$C$17,MATCH(R41,Design!$B$15:$B$17,1)-1,0,2), OFFSET(Design!$B$15:$B$17,MATCH(R41,Design!$B$15:$B$17,1)-1,0,2))+(AB41-25)*Design!$B$18/1000</f>
        <v>0.35689626211005221</v>
      </c>
      <c r="T41" s="182">
        <f ca="1">IF(100*(Design!$C$29+S41+R41*IF(ISBLANK(Design!$B$43),Constants!$C$6,Design!$B$43)/1000*(1+Constants!$C$36/100*(AC41-25)))/($B41+S41-R41*AD41/1000)&gt;Design!$C$36,Design!$C$37,100*(Design!$C$29+S41+R41*IF(ISBLANK(Design!$B$43),Constants!$C$6,Design!$B$43)/1000*(1+Constants!$C$36/100*(AC41-25)))/($B41+S41-R41*AD41/1000))</f>
        <v>95.537499999999994</v>
      </c>
      <c r="U41" s="117">
        <f ca="1">IF(($B41-R41*IF(ISBLANK(Design!$B$43),Constants!$C$6,Design!$B$43)/1000*(1+Constants!$C$36/100*(AC41-25))-Design!$C$29)/(Design!$B$42/1000000)*T41/100/(IF(ISBLANK(IF(ISBLANK(Design!$B$42),Design!$B$40,Design!$B$42)),Design!$B$32,Design!$B$33)*1000000)&lt;0,0,($B41-R41*IF(ISBLANK(Design!$B$43),Constants!$C$6,Design!$B$43)/1000*(1+Constants!$C$36/100*(AC41-25))-Design!$C$29)/(IF(ISBLANK(Design!$B$42),Design!$B$40,Design!$B$42)/1000000)*T41/100/(IF(ISBLANK(Design!$B$33),Design!$B$32,Design!$B$33)*1000000))</f>
        <v>0</v>
      </c>
      <c r="V41" s="183">
        <f>$B41*Constants!$C$21/1000+IF(ISBLANK(Design!$B$33),Design!$B$32,Design!$B$33)*1000000*Constants!$D$25/1000000000*($B41-Constants!$C$24)</f>
        <v>-9.0075000000000224E-4</v>
      </c>
      <c r="W41" s="183">
        <f>$B41*R41*($B41/(Constants!$C$26*1000000000)*IF(ISBLANK(Design!$B$33),Design!$B$32,Design!$B$33)*1000000/2+$B41/(Constants!$C$27*1000000000)*IF(ISBLANK(Design!$B$33),Design!$B$32,Design!$B$33)*1000000/2)</f>
        <v>5.6831264916286144E-2</v>
      </c>
      <c r="X41" s="183">
        <f t="shared" ca="1" si="2"/>
        <v>0.31407739129304324</v>
      </c>
      <c r="Y41" s="183">
        <f>Constants!$D$25/1000000000*Constants!$C$24*IF(ISBLANK(Design!$B$33),Design!$B$32,Design!$B$33)*1000000</f>
        <v>6.8250000000000005E-2</v>
      </c>
      <c r="Z41" s="183">
        <f t="shared" ca="1" si="10"/>
        <v>0.43825790620932936</v>
      </c>
      <c r="AA41" s="183">
        <f t="shared" ca="1" si="7"/>
        <v>2.1235327595548116E-2</v>
      </c>
      <c r="AB41" s="184">
        <f ca="1">$A41+AA41*Design!$B$19</f>
        <v>86.06176637977741</v>
      </c>
      <c r="AC41" s="184">
        <f ca="1">Z41*Design!$C$12+$A41</f>
        <v>99.900768811117203</v>
      </c>
      <c r="AD41" s="184">
        <f ca="1">Constants!$D$22+Constants!$D$22*Constants!$C$23/100*(AC41-25)</f>
        <v>184.92061504889375</v>
      </c>
      <c r="AE41" s="183">
        <f ca="1">IF(100*(Design!$C$29+S41+R41*IF(ISBLANK(Design!$B$43),Constants!$C$6,Design!$B$43)/1000*(1+Constants!$C$36/100*(AC41-25)))/($B41+S41-R41*AD41/1000)&gt;Design!$C$36,  (1-Constants!$C$20/1000000000*IF(ISBLANK(Design!$B$33),Design!$B$32/4,Design!$B$33/4)*1000000) * ($B41+S41-R41*AD41/1000) - (S41+R41*(1+($A41-25)*Constants!$C$36/100)*IF(ISBLANK(Design!$B$43),Constants!$C$6/1000,Design!$B$43/1000)),   (1-Constants!$C$20/1000000000*IF(ISBLANK(Design!$B$33),Design!$B$32,Design!$B$33)*1000000) * ($B41+S41-R41*AD41/1000) - (S41+R41*(1+($A41-25)*Constants!$C$36/100)*IF(ISBLANK(Design!$B$43),Constants!$C$6/1000,Design!$B$43/1000)) )</f>
        <v>3.5470980025002228</v>
      </c>
      <c r="AF41" s="117">
        <f ca="1">IF(AE41&gt;Design!$C$29,Design!$C$29,AE41)</f>
        <v>3.5470980025002228</v>
      </c>
      <c r="AG41" s="118">
        <f>Design!$D$7/3</f>
        <v>0.66666666666666663</v>
      </c>
      <c r="AH41" s="118">
        <f ca="1">FORECAST(AG41, OFFSET(Design!$C$15:$C$17,MATCH(AG41,Design!$B$15:$B$17,1)-1,0,2), OFFSET(Design!$B$15:$B$17,MATCH(AG41,Design!$B$15:$B$17,1)-1,0,2))+(AQ41-25)*Design!$B$18/1000</f>
        <v>0.30928964219521493</v>
      </c>
      <c r="AI41" s="194">
        <f ca="1">IF(100*(Design!$C$29+AH41+AG41*IF(ISBLANK(Design!$B$43),Constants!$C$6,Design!$B$43)/1000*(1+Constants!$C$36/100*(AR41-25)))/($B41+AH41-AG41*AS41/1000)&gt;Design!$C$36,Design!$C$37,100*(Design!$C$29+AH41+AG41*IF(ISBLANK(Design!$B$43),Constants!$C$6,Design!$B$43)/1000*(1+Constants!$C$36/100*(AR41-25)))/($B41+AH41-AG41*AS41/1000))</f>
        <v>95.537499999999994</v>
      </c>
      <c r="AJ41" s="119">
        <f ca="1">IF(($B41-AG41*IF(ISBLANK(Design!$B$43),Constants!$C$6,Design!$B$43)/1000*(1+Constants!$C$36/100*(AR41-25))-Design!$C$29)/(IF(ISBLANK(Design!$B$42),Design!$B$40,Design!$B$42)/1000000)*AI41/100/(IF(ISBLANK(Design!$B$33),Design!$B$32,Design!$B$33)*1000000)&lt;0,0,($B41-AG41*IF(ISBLANK(Design!$B$43),Constants!$C$6,Design!$B$43)/1000*(1+Constants!$C$36/100*(AR41-25))-Design!$C$29)/(IF(ISBLANK(Design!$B$42),Design!$B$40,Design!$B$42)/1000000)*AI41/100/(IF(ISBLANK(Design!$B$33),Design!$B$32,Design!$B$33)*1000000))</f>
        <v>0</v>
      </c>
      <c r="AK41" s="195">
        <f>$B41*Constants!$C$21/1000+IF(ISBLANK(Design!$B$33),Design!$B$32,Design!$B$33)*1000000*Constants!$D$25/1000000000*($B41-Constants!$C$24)</f>
        <v>-9.0075000000000224E-4</v>
      </c>
      <c r="AL41" s="195">
        <f>$B41*AG41*($B41/(Constants!$C$26*1000000000)*IF(ISBLANK(Design!$B$33),Design!$B$32,Design!$B$33)*1000000/2+$B41/(Constants!$C$27*1000000000)*IF(ISBLANK(Design!$B$33),Design!$B$32,Design!$B$33)*1000000/2)</f>
        <v>2.8415632458143072E-2</v>
      </c>
      <c r="AM41" s="195">
        <f t="shared" ca="1" si="3"/>
        <v>7.5434981738213031E-2</v>
      </c>
      <c r="AN41" s="195">
        <f>Constants!$D$25/1000000000*Constants!$C$24*IF(ISBLANK(Design!$B$33),Design!$B$32,Design!$B$33)*1000000</f>
        <v>6.8250000000000005E-2</v>
      </c>
      <c r="AO41" s="195">
        <f t="shared" ca="1" si="11"/>
        <v>0.17119986419635611</v>
      </c>
      <c r="AP41" s="195">
        <f t="shared" ca="1" si="9"/>
        <v>9.2013668553076484E-3</v>
      </c>
      <c r="AQ41" s="196">
        <f ca="1">$A41+AP41*Design!$B$19</f>
        <v>85.460068342765382</v>
      </c>
      <c r="AR41" s="196">
        <f ca="1">AO41*Design!$C$12+$A41</f>
        <v>90.82079538267611</v>
      </c>
      <c r="AS41" s="196">
        <f ca="1">Constants!$D$22+Constants!$D$22*Constants!$C$23/100*(AR41-25)</f>
        <v>177.65663630614088</v>
      </c>
      <c r="AT41" s="195">
        <f ca="1">IF(100*(Design!$C$29+AH41+AG41*IF(ISBLANK(Design!$B$43),Constants!$C$6,Design!$B$43)/1000*(1+Constants!$C$36/100*(AR41-25)))/($B41+AH41-AG41*AS41/1000)&gt;Design!$C$36,  (1-Constants!$C$20/1000000000*IF(ISBLANK(Design!$B$33),Design!$B$32/4,Design!$B$33/4)*1000000) * ($B41+AH41-AG41*AS41/1000) - (AH41+AG41*(1+($A41-25)*Constants!$C$36/100)*IF(ISBLANK(Design!$B$43),Constants!$C$6/1000,Design!$B$43/1000)),   (1-Constants!$C$20/1000000000*IF(ISBLANK(Design!$B$33),Design!$B$32,Design!$B$33)*1000000) * ($B41+AH41-AG41*AS41/1000) - (AH41+AG41*(1+($A41-25)*Constants!$C$36/100)*IF(ISBLANK(Design!$B$43),Constants!$C$6/1000,Design!$B$43/1000)) )</f>
        <v>3.7045826854430519</v>
      </c>
      <c r="AU41" s="119">
        <f ca="1">IF(AT41&gt;Design!$C$29,Design!$C$29,AT41)</f>
        <v>3.7045826854430519</v>
      </c>
    </row>
    <row r="42" spans="1:47" s="120" customFormat="1" ht="12.75" customHeight="1" x14ac:dyDescent="0.25">
      <c r="A42" s="112">
        <f>Design!$D$13</f>
        <v>85</v>
      </c>
      <c r="B42" s="113">
        <f t="shared" si="0"/>
        <v>3.8299999999999996</v>
      </c>
      <c r="C42" s="114">
        <f>Design!$D$7</f>
        <v>2</v>
      </c>
      <c r="D42" s="114">
        <f ca="1">FORECAST(C42, OFFSET(Design!$C$15:$C$17,MATCH(C42,Design!$B$15:$B$17,1)-1,0,2), OFFSET(Design!$B$15:$B$17,MATCH(C42,Design!$B$15:$B$17,1)-1,0,2))+(M42-25)*Design!$B$18/1000</f>
        <v>0.40437592519045384</v>
      </c>
      <c r="E42" s="173">
        <f ca="1">IF(100*(Design!$C$29+D42+C42*IF(ISBLANK(Design!$B$43),Constants!$C$6,Design!$B$43)/1000*(1+Constants!$C$36/100*(N42-25)))/($B42+D42-C42*O42/1000)&gt;Design!$C$36,Design!$C$37,100*(Design!$C$29+D42+C42*IF(ISBLANK(Design!$B$43),Constants!$C$6,Design!$B$43)/1000*(1+Constants!$C$36/100*(N42-25)))/($B42+D42-C42*O42/1000))</f>
        <v>95.537499999999994</v>
      </c>
      <c r="F42" s="115">
        <f ca="1">IF(($B42-C42*IF(ISBLANK(Design!$B$43),Constants!$C$6,Design!$B$43)/1000*(1+Constants!$C$36/100*(N42-25))-Design!$C$29)/(IF(ISBLANK(Design!$B$42),Design!$B$40,Design!$B$42)/1000000)*E42/100/(IF(ISBLANK(Design!$B$33),Design!$B$32,Design!$B$33)*1000000)&lt;0, 0, ($B42-C42*IF(ISBLANK(Design!$B$43),Constants!$C$6,Design!$B$43)/1000*(1+Constants!$C$36/100*(N42-25))-Design!$C$29)/(IF(ISBLANK(Design!$B$42),Design!$B$40,Design!$B$42)/1000000)*E42/100/(IF(ISBLANK(Design!$B$33),Design!$B$32,Design!$B$33)*1000000))</f>
        <v>0</v>
      </c>
      <c r="G42" s="165">
        <f>B42*Constants!$C$21/1000+IF(ISBLANK(Design!$B$33),Design!$B$32,Design!$B$33)*1000000*Constants!$D$25/1000000000*(B42-Constants!$C$24)</f>
        <v>-4.480500000000007E-3</v>
      </c>
      <c r="H42" s="165">
        <f>B42*C42*(B42/(Constants!$C$26*1000000000)*IF(ISBLANK(Design!$B$33),Design!$B$32,Design!$B$33)*1000000/2+B42/(Constants!$C$27*1000000000)*IF(ISBLANK(Design!$B$33),Design!$B$32,Design!$B$33)*1000000/2)</f>
        <v>7.6425638812785371E-2</v>
      </c>
      <c r="I42" s="165">
        <f t="shared" ca="1" si="1"/>
        <v>0.75407414148689422</v>
      </c>
      <c r="J42" s="165">
        <f>Constants!$D$25/1000000000*Constants!$C$24*IF(ISBLANK(Design!$B$33),Design!$B$32,Design!$B$33)*1000000</f>
        <v>6.8250000000000005E-2</v>
      </c>
      <c r="K42" s="165">
        <f t="shared" ca="1" si="4"/>
        <v>0.89426928029967956</v>
      </c>
      <c r="L42" s="165">
        <f t="shared" ca="1" si="5"/>
        <v>3.6090551323248024E-2</v>
      </c>
      <c r="M42" s="166">
        <f ca="1">A42+L42*Design!$B$19</f>
        <v>86.804527566162406</v>
      </c>
      <c r="N42" s="166">
        <f ca="1">K42*Design!$C$12+A42</f>
        <v>115.40515553018911</v>
      </c>
      <c r="O42" s="166">
        <f ca="1">Constants!$D$22+Constants!$D$22*Constants!$C$23/100*(N42-25)</f>
        <v>197.32412442415131</v>
      </c>
      <c r="P42" s="165">
        <f ca="1">IF(100*(Design!$C$29+D42+C42*IF(ISBLANK(Design!$B$43),Constants!$C$6,Design!$B$43)/1000*(1+Constants!$C$36/100*(N42-25)))/($B42+D42-C42*O42/1000)&gt;Design!$C$36,  (1-Constants!$C$20/1000000000*IF(ISBLANK(Design!$B$33),Design!$B$32/4,Design!$B$33/4)*1000000) * ($B42+D42-C42*O42/1000) - (D42+C42*(1+($A42-25)*Constants!$C$36/100)*IF(ISBLANK(Design!$B$43),Constants!$C$6/1000,Design!$B$43/1000)),   (1-Constants!$C$20/1000000000*IF(ISBLANK(Design!$B$33),Design!$B$32,Design!$B$33)*1000000) * ($B42+D42-C42*O42/1000) - (D42+C42*(1+($A42-25)*Constants!$C$36/100)*IF(ISBLANK(Design!$B$43),Constants!$C$6/1000,Design!$B$43/1000)) )</f>
        <v>3.1651399035949281</v>
      </c>
      <c r="Q42" s="171">
        <f ca="1">IF(P42&gt;Design!$C$29,Design!$C$29,P42)</f>
        <v>3.1651399035949281</v>
      </c>
      <c r="R42" s="181">
        <f>2*Design!$D$7/3</f>
        <v>1.3333333333333333</v>
      </c>
      <c r="S42" s="116">
        <f ca="1">FORECAST(R42, OFFSET(Design!$C$15:$C$17,MATCH(R42,Design!$B$15:$B$17,1)-1,0,2), OFFSET(Design!$B$15:$B$17,MATCH(R42,Design!$B$15:$B$17,1)-1,0,2))+(AB42-25)*Design!$B$18/1000</f>
        <v>0.35689626211005221</v>
      </c>
      <c r="T42" s="182">
        <f ca="1">IF(100*(Design!$C$29+S42+R42*IF(ISBLANK(Design!$B$43),Constants!$C$6,Design!$B$43)/1000*(1+Constants!$C$36/100*(AC42-25)))/($B42+S42-R42*AD42/1000)&gt;Design!$C$36,Design!$C$37,100*(Design!$C$29+S42+R42*IF(ISBLANK(Design!$B$43),Constants!$C$6,Design!$B$43)/1000*(1+Constants!$C$36/100*(AC42-25)))/($B42+S42-R42*AD42/1000))</f>
        <v>95.537499999999994</v>
      </c>
      <c r="U42" s="117">
        <f ca="1">IF(($B42-R42*IF(ISBLANK(Design!$B$43),Constants!$C$6,Design!$B$43)/1000*(1+Constants!$C$36/100*(AC42-25))-Design!$C$29)/(Design!$B$42/1000000)*T42/100/(IF(ISBLANK(IF(ISBLANK(Design!$B$42),Design!$B$40,Design!$B$42)),Design!$B$32,Design!$B$33)*1000000)&lt;0,0,($B42-R42*IF(ISBLANK(Design!$B$43),Constants!$C$6,Design!$B$43)/1000*(1+Constants!$C$36/100*(AC42-25))-Design!$C$29)/(IF(ISBLANK(Design!$B$42),Design!$B$40,Design!$B$42)/1000000)*T42/100/(IF(ISBLANK(Design!$B$33),Design!$B$32,Design!$B$33)*1000000))</f>
        <v>0</v>
      </c>
      <c r="V42" s="183">
        <f>$B42*Constants!$C$21/1000+IF(ISBLANK(Design!$B$33),Design!$B$32,Design!$B$33)*1000000*Constants!$D$25/1000000000*($B42-Constants!$C$24)</f>
        <v>-4.480500000000007E-3</v>
      </c>
      <c r="W42" s="183">
        <f>$B42*R42*($B42/(Constants!$C$26*1000000000)*IF(ISBLANK(Design!$B$33),Design!$B$32,Design!$B$33)*1000000/2+$B42/(Constants!$C$27*1000000000)*IF(ISBLANK(Design!$B$33),Design!$B$32,Design!$B$33)*1000000/2)</f>
        <v>5.0950425875190247E-2</v>
      </c>
      <c r="X42" s="183">
        <f t="shared" ca="1" si="2"/>
        <v>0.31361916494557612</v>
      </c>
      <c r="Y42" s="183">
        <f>Constants!$D$25/1000000000*Constants!$C$24*IF(ISBLANK(Design!$B$33),Design!$B$32,Design!$B$33)*1000000</f>
        <v>6.8250000000000005E-2</v>
      </c>
      <c r="Z42" s="183">
        <f t="shared" ca="1" si="10"/>
        <v>0.42833909082076638</v>
      </c>
      <c r="AA42" s="183">
        <f t="shared" ca="1" si="7"/>
        <v>2.1235327595548116E-2</v>
      </c>
      <c r="AB42" s="184">
        <f ca="1">$A42+AA42*Design!$B$19</f>
        <v>86.06176637977741</v>
      </c>
      <c r="AC42" s="184">
        <f ca="1">Z42*Design!$C$12+$A42</f>
        <v>99.563529087906062</v>
      </c>
      <c r="AD42" s="184">
        <f ca="1">Constants!$D$22+Constants!$D$22*Constants!$C$23/100*(AC42-25)</f>
        <v>184.65082327032485</v>
      </c>
      <c r="AE42" s="183">
        <f ca="1">IF(100*(Design!$C$29+S42+R42*IF(ISBLANK(Design!$B$43),Constants!$C$6,Design!$B$43)/1000*(1+Constants!$C$36/100*(AC42-25)))/($B42+S42-R42*AD42/1000)&gt;Design!$C$36,  (1-Constants!$C$20/1000000000*IF(ISBLANK(Design!$B$33),Design!$B$32/4,Design!$B$33/4)*1000000) * ($B42+S42-R42*AD42/1000) - (S42+R42*(1+($A42-25)*Constants!$C$36/100)*IF(ISBLANK(Design!$B$43),Constants!$C$6/1000,Design!$B$43/1000)),   (1-Constants!$C$20/1000000000*IF(ISBLANK(Design!$B$33),Design!$B$32,Design!$B$33)*1000000) * ($B42+S42-R42*AD42/1000) - (S42+R42*(1+($A42-25)*Constants!$C$36/100)*IF(ISBLANK(Design!$B$43),Constants!$C$6/1000,Design!$B$43/1000)) )</f>
        <v>3.342036047260823</v>
      </c>
      <c r="AF42" s="117">
        <f ca="1">IF(AE42&gt;Design!$C$29,Design!$C$29,AE42)</f>
        <v>3.342036047260823</v>
      </c>
      <c r="AG42" s="118">
        <f>Design!$D$7/3</f>
        <v>0.66666666666666663</v>
      </c>
      <c r="AH42" s="118">
        <f ca="1">FORECAST(AG42, OFFSET(Design!$C$15:$C$17,MATCH(AG42,Design!$B$15:$B$17,1)-1,0,2), OFFSET(Design!$B$15:$B$17,MATCH(AG42,Design!$B$15:$B$17,1)-1,0,2))+(AQ42-25)*Design!$B$18/1000</f>
        <v>0.30928964219521493</v>
      </c>
      <c r="AI42" s="194">
        <f ca="1">IF(100*(Design!$C$29+AH42+AG42*IF(ISBLANK(Design!$B$43),Constants!$C$6,Design!$B$43)/1000*(1+Constants!$C$36/100*(AR42-25)))/($B42+AH42-AG42*AS42/1000)&gt;Design!$C$36,Design!$C$37,100*(Design!$C$29+AH42+AG42*IF(ISBLANK(Design!$B$43),Constants!$C$6,Design!$B$43)/1000*(1+Constants!$C$36/100*(AR42-25)))/($B42+AH42-AG42*AS42/1000))</f>
        <v>95.537499999999994</v>
      </c>
      <c r="AJ42" s="119">
        <f ca="1">IF(($B42-AG42*IF(ISBLANK(Design!$B$43),Constants!$C$6,Design!$B$43)/1000*(1+Constants!$C$36/100*(AR42-25))-Design!$C$29)/(IF(ISBLANK(Design!$B$42),Design!$B$40,Design!$B$42)/1000000)*AI42/100/(IF(ISBLANK(Design!$B$33),Design!$B$32,Design!$B$33)*1000000)&lt;0,0,($B42-AG42*IF(ISBLANK(Design!$B$43),Constants!$C$6,Design!$B$43)/1000*(1+Constants!$C$36/100*(AR42-25))-Design!$C$29)/(IF(ISBLANK(Design!$B$42),Design!$B$40,Design!$B$42)/1000000)*AI42/100/(IF(ISBLANK(Design!$B$33),Design!$B$32,Design!$B$33)*1000000))</f>
        <v>0</v>
      </c>
      <c r="AK42" s="195">
        <f>$B42*Constants!$C$21/1000+IF(ISBLANK(Design!$B$33),Design!$B$32,Design!$B$33)*1000000*Constants!$D$25/1000000000*($B42-Constants!$C$24)</f>
        <v>-4.480500000000007E-3</v>
      </c>
      <c r="AL42" s="195">
        <f>$B42*AG42*($B42/(Constants!$C$26*1000000000)*IF(ISBLANK(Design!$B$33),Design!$B$32,Design!$B$33)*1000000/2+$B42/(Constants!$C$27*1000000000)*IF(ISBLANK(Design!$B$33),Design!$B$32,Design!$B$33)*1000000/2)</f>
        <v>2.5475212937595124E-2</v>
      </c>
      <c r="AM42" s="195">
        <f t="shared" ca="1" si="3"/>
        <v>7.5358797665436655E-2</v>
      </c>
      <c r="AN42" s="195">
        <f>Constants!$D$25/1000000000*Constants!$C$24*IF(ISBLANK(Design!$B$33),Design!$B$32,Design!$B$33)*1000000</f>
        <v>6.8250000000000005E-2</v>
      </c>
      <c r="AO42" s="195">
        <f t="shared" ca="1" si="11"/>
        <v>0.16460351060303177</v>
      </c>
      <c r="AP42" s="195">
        <f t="shared" ca="1" si="9"/>
        <v>9.2013668553076484E-3</v>
      </c>
      <c r="AQ42" s="196">
        <f ca="1">$A42+AP42*Design!$B$19</f>
        <v>85.460068342765382</v>
      </c>
      <c r="AR42" s="196">
        <f ca="1">AO42*Design!$C$12+$A42</f>
        <v>90.596519360503081</v>
      </c>
      <c r="AS42" s="196">
        <f ca="1">Constants!$D$22+Constants!$D$22*Constants!$C$23/100*(AR42-25)</f>
        <v>177.47721548840246</v>
      </c>
      <c r="AT42" s="195">
        <f ca="1">IF(100*(Design!$C$29+AH42+AG42*IF(ISBLANK(Design!$B$43),Constants!$C$6,Design!$B$43)/1000*(1+Constants!$C$36/100*(AR42-25)))/($B42+AH42-AG42*AS42/1000)&gt;Design!$C$36,  (1-Constants!$C$20/1000000000*IF(ISBLANK(Design!$B$33),Design!$B$32/4,Design!$B$33/4)*1000000) * ($B42+AH42-AG42*AS42/1000) - (AH42+AG42*(1+($A42-25)*Constants!$C$36/100)*IF(ISBLANK(Design!$B$43),Constants!$C$6/1000,Design!$B$43/1000)),   (1-Constants!$C$20/1000000000*IF(ISBLANK(Design!$B$33),Design!$B$32,Design!$B$33)*1000000) * ($B42+AH42-AG42*AS42/1000) - (AH42+AG42*(1+($A42-25)*Constants!$C$36/100)*IF(ISBLANK(Design!$B$43),Constants!$C$6/1000,Design!$B$43/1000)) )</f>
        <v>3.4992913365522158</v>
      </c>
      <c r="AU42" s="119">
        <f ca="1">IF(AT42&gt;Design!$C$29,Design!$C$29,AT42)</f>
        <v>3.4992913365522158</v>
      </c>
    </row>
    <row r="43" spans="1:47" s="120" customFormat="1" ht="12.75" customHeight="1" x14ac:dyDescent="0.25">
      <c r="A43" s="112">
        <f>Design!$D$13</f>
        <v>85</v>
      </c>
      <c r="B43" s="113">
        <f t="shared" si="0"/>
        <v>3.6149999999999998</v>
      </c>
      <c r="C43" s="114">
        <f>Design!$D$7</f>
        <v>2</v>
      </c>
      <c r="D43" s="114">
        <f ca="1">FORECAST(C43, OFFSET(Design!$C$15:$C$17,MATCH(C43,Design!$B$15:$B$17,1)-1,0,2), OFFSET(Design!$B$15:$B$17,MATCH(C43,Design!$B$15:$B$17,1)-1,0,2))+(M43-25)*Design!$B$18/1000</f>
        <v>0.40437592519045384</v>
      </c>
      <c r="E43" s="173">
        <f ca="1">IF(100*(Design!$C$29+D43+C43*IF(ISBLANK(Design!$B$43),Constants!$C$6,Design!$B$43)/1000*(1+Constants!$C$36/100*(N43-25)))/($B43+D43-C43*O43/1000)&gt;Design!$C$36,Design!$C$37,100*(Design!$C$29+D43+C43*IF(ISBLANK(Design!$B$43),Constants!$C$6,Design!$B$43)/1000*(1+Constants!$C$36/100*(N43-25)))/($B43+D43-C43*O43/1000))</f>
        <v>95.537499999999994</v>
      </c>
      <c r="F43" s="115">
        <f ca="1">IF(($B43-C43*IF(ISBLANK(Design!$B$43),Constants!$C$6,Design!$B$43)/1000*(1+Constants!$C$36/100*(N43-25))-Design!$C$29)/(IF(ISBLANK(Design!$B$42),Design!$B$40,Design!$B$42)/1000000)*E43/100/(IF(ISBLANK(Design!$B$33),Design!$B$32,Design!$B$33)*1000000)&lt;0, 0, ($B43-C43*IF(ISBLANK(Design!$B$43),Constants!$C$6,Design!$B$43)/1000*(1+Constants!$C$36/100*(N43-25))-Design!$C$29)/(IF(ISBLANK(Design!$B$42),Design!$B$40,Design!$B$42)/1000000)*E43/100/(IF(ISBLANK(Design!$B$33),Design!$B$32,Design!$B$33)*1000000))</f>
        <v>0</v>
      </c>
      <c r="G43" s="165">
        <f>B43*Constants!$C$21/1000+IF(ISBLANK(Design!$B$33),Design!$B$32,Design!$B$33)*1000000*Constants!$D$25/1000000000*(B43-Constants!$C$24)</f>
        <v>-8.0602500000000066E-3</v>
      </c>
      <c r="H43" s="165">
        <f>B43*C43*(B43/(Constants!$C$26*1000000000)*IF(ISBLANK(Design!$B$33),Design!$B$32,Design!$B$33)*1000000/2+B43/(Constants!$C$27*1000000000)*IF(ISBLANK(Design!$B$33),Design!$B$32,Design!$B$33)*1000000/2)</f>
        <v>6.8086048972602745E-2</v>
      </c>
      <c r="I43" s="165">
        <f t="shared" ca="1" si="1"/>
        <v>0.75269146618316296</v>
      </c>
      <c r="J43" s="165">
        <f>Constants!$D$25/1000000000*Constants!$C$24*IF(ISBLANK(Design!$B$33),Design!$B$32,Design!$B$33)*1000000</f>
        <v>6.8250000000000005E-2</v>
      </c>
      <c r="K43" s="165">
        <f t="shared" ca="1" si="4"/>
        <v>0.88096726515576573</v>
      </c>
      <c r="L43" s="165">
        <f t="shared" ca="1" si="5"/>
        <v>3.6090551323248024E-2</v>
      </c>
      <c r="M43" s="166">
        <f ca="1">A43+L43*Design!$B$19</f>
        <v>86.804527566162406</v>
      </c>
      <c r="N43" s="166">
        <f ca="1">K43*Design!$C$12+A43</f>
        <v>114.95288701529603</v>
      </c>
      <c r="O43" s="166">
        <f ca="1">Constants!$D$22+Constants!$D$22*Constants!$C$23/100*(N43-25)</f>
        <v>196.96230961223682</v>
      </c>
      <c r="P43" s="165">
        <f ca="1">IF(100*(Design!$C$29+D43+C43*IF(ISBLANK(Design!$B$43),Constants!$C$6,Design!$B$43)/1000*(1+Constants!$C$36/100*(N43-25)))/($B43+D43-C43*O43/1000)&gt;Design!$C$36,  (1-Constants!$C$20/1000000000*IF(ISBLANK(Design!$B$33),Design!$B$32/4,Design!$B$33/4)*1000000) * ($B43+D43-C43*O43/1000) - (D43+C43*(1+($A43-25)*Constants!$C$36/100)*IF(ISBLANK(Design!$B$43),Constants!$C$6/1000,Design!$B$43/1000)),   (1-Constants!$C$20/1000000000*IF(ISBLANK(Design!$B$33),Design!$B$32,Design!$B$33)*1000000) * ($B43+D43-C43*O43/1000) - (D43+C43*(1+($A43-25)*Constants!$C$36/100)*IF(ISBLANK(Design!$B$43),Constants!$C$6/1000,Design!$B$43/1000)) )</f>
        <v>2.9604256162467939</v>
      </c>
      <c r="Q43" s="171">
        <f ca="1">IF(P43&gt;Design!$C$29,Design!$C$29,P43)</f>
        <v>2.9604256162467939</v>
      </c>
      <c r="R43" s="181">
        <f>2*Design!$D$7/3</f>
        <v>1.3333333333333333</v>
      </c>
      <c r="S43" s="116">
        <f ca="1">FORECAST(R43, OFFSET(Design!$C$15:$C$17,MATCH(R43,Design!$B$15:$B$17,1)-1,0,2), OFFSET(Design!$B$15:$B$17,MATCH(R43,Design!$B$15:$B$17,1)-1,0,2))+(AB43-25)*Design!$B$18/1000</f>
        <v>0.35689626211005221</v>
      </c>
      <c r="T43" s="182">
        <f ca="1">IF(100*(Design!$C$29+S43+R43*IF(ISBLANK(Design!$B$43),Constants!$C$6,Design!$B$43)/1000*(1+Constants!$C$36/100*(AC43-25)))/($B43+S43-R43*AD43/1000)&gt;Design!$C$36,Design!$C$37,100*(Design!$C$29+S43+R43*IF(ISBLANK(Design!$B$43),Constants!$C$6,Design!$B$43)/1000*(1+Constants!$C$36/100*(AC43-25)))/($B43+S43-R43*AD43/1000))</f>
        <v>95.537499999999994</v>
      </c>
      <c r="U43" s="117">
        <f ca="1">IF(($B43-R43*IF(ISBLANK(Design!$B$43),Constants!$C$6,Design!$B$43)/1000*(1+Constants!$C$36/100*(AC43-25))-Design!$C$29)/(Design!$B$42/1000000)*T43/100/(IF(ISBLANK(IF(ISBLANK(Design!$B$42),Design!$B$40,Design!$B$42)),Design!$B$32,Design!$B$33)*1000000)&lt;0,0,($B43-R43*IF(ISBLANK(Design!$B$43),Constants!$C$6,Design!$B$43)/1000*(1+Constants!$C$36/100*(AC43-25))-Design!$C$29)/(IF(ISBLANK(Design!$B$42),Design!$B$40,Design!$B$42)/1000000)*T43/100/(IF(ISBLANK(Design!$B$33),Design!$B$32,Design!$B$33)*1000000))</f>
        <v>0</v>
      </c>
      <c r="V43" s="183">
        <f>$B43*Constants!$C$21/1000+IF(ISBLANK(Design!$B$33),Design!$B$32,Design!$B$33)*1000000*Constants!$D$25/1000000000*($B43-Constants!$C$24)</f>
        <v>-8.0602500000000066E-3</v>
      </c>
      <c r="W43" s="183">
        <f>$B43*R43*($B43/(Constants!$C$26*1000000000)*IF(ISBLANK(Design!$B$33),Design!$B$32,Design!$B$33)*1000000/2+$B43/(Constants!$C$27*1000000000)*IF(ISBLANK(Design!$B$33),Design!$B$32,Design!$B$33)*1000000/2)</f>
        <v>4.5390699315068492E-2</v>
      </c>
      <c r="X43" s="183">
        <f t="shared" ca="1" si="2"/>
        <v>0.3131764917733546</v>
      </c>
      <c r="Y43" s="183">
        <f>Constants!$D$25/1000000000*Constants!$C$24*IF(ISBLANK(Design!$B$33),Design!$B$32,Design!$B$33)*1000000</f>
        <v>6.8250000000000005E-2</v>
      </c>
      <c r="Z43" s="183">
        <f t="shared" ca="1" si="10"/>
        <v>0.4187569410884231</v>
      </c>
      <c r="AA43" s="183">
        <f t="shared" ca="1" si="7"/>
        <v>2.1235327595548116E-2</v>
      </c>
      <c r="AB43" s="184">
        <f ca="1">$A43+AA43*Design!$B$19</f>
        <v>86.06176637977741</v>
      </c>
      <c r="AC43" s="184">
        <f ca="1">Z43*Design!$C$12+$A43</f>
        <v>99.237735997006382</v>
      </c>
      <c r="AD43" s="184">
        <f ca="1">Constants!$D$22+Constants!$D$22*Constants!$C$23/100*(AC43-25)</f>
        <v>184.39018879760511</v>
      </c>
      <c r="AE43" s="183">
        <f ca="1">IF(100*(Design!$C$29+S43+R43*IF(ISBLANK(Design!$B$43),Constants!$C$6,Design!$B$43)/1000*(1+Constants!$C$36/100*(AC43-25)))/($B43+S43-R43*AD43/1000)&gt;Design!$C$36,  (1-Constants!$C$20/1000000000*IF(ISBLANK(Design!$B$33),Design!$B$32/4,Design!$B$33/4)*1000000) * ($B43+S43-R43*AD43/1000) - (S43+R43*(1+($A43-25)*Constants!$C$36/100)*IF(ISBLANK(Design!$B$43),Constants!$C$6/1000,Design!$B$43/1000)),   (1-Constants!$C$20/1000000000*IF(ISBLANK(Design!$B$33),Design!$B$32,Design!$B$33)*1000000) * ($B43+S43-R43*AD43/1000) - (S43+R43*(1+($A43-25)*Constants!$C$36/100)*IF(ISBLANK(Design!$B$43),Constants!$C$6/1000,Design!$B$43/1000)) )</f>
        <v>3.1369624271399892</v>
      </c>
      <c r="AF43" s="117">
        <f ca="1">IF(AE43&gt;Design!$C$29,Design!$C$29,AE43)</f>
        <v>3.1369624271399892</v>
      </c>
      <c r="AG43" s="118">
        <f>Design!$D$7/3</f>
        <v>0.66666666666666663</v>
      </c>
      <c r="AH43" s="118">
        <f ca="1">FORECAST(AG43, OFFSET(Design!$C$15:$C$17,MATCH(AG43,Design!$B$15:$B$17,1)-1,0,2), OFFSET(Design!$B$15:$B$17,MATCH(AG43,Design!$B$15:$B$17,1)-1,0,2))+(AQ43-25)*Design!$B$18/1000</f>
        <v>0.30928964219521493</v>
      </c>
      <c r="AI43" s="194">
        <f ca="1">IF(100*(Design!$C$29+AH43+AG43*IF(ISBLANK(Design!$B$43),Constants!$C$6,Design!$B$43)/1000*(1+Constants!$C$36/100*(AR43-25)))/($B43+AH43-AG43*AS43/1000)&gt;Design!$C$36,Design!$C$37,100*(Design!$C$29+AH43+AG43*IF(ISBLANK(Design!$B$43),Constants!$C$6,Design!$B$43)/1000*(1+Constants!$C$36/100*(AR43-25)))/($B43+AH43-AG43*AS43/1000))</f>
        <v>95.537499999999994</v>
      </c>
      <c r="AJ43" s="119">
        <f ca="1">IF(($B43-AG43*IF(ISBLANK(Design!$B$43),Constants!$C$6,Design!$B$43)/1000*(1+Constants!$C$36/100*(AR43-25))-Design!$C$29)/(IF(ISBLANK(Design!$B$42),Design!$B$40,Design!$B$42)/1000000)*AI43/100/(IF(ISBLANK(Design!$B$33),Design!$B$32,Design!$B$33)*1000000)&lt;0,0,($B43-AG43*IF(ISBLANK(Design!$B$43),Constants!$C$6,Design!$B$43)/1000*(1+Constants!$C$36/100*(AR43-25))-Design!$C$29)/(IF(ISBLANK(Design!$B$42),Design!$B$40,Design!$B$42)/1000000)*AI43/100/(IF(ISBLANK(Design!$B$33),Design!$B$32,Design!$B$33)*1000000))</f>
        <v>0</v>
      </c>
      <c r="AK43" s="195">
        <f>$B43*Constants!$C$21/1000+IF(ISBLANK(Design!$B$33),Design!$B$32,Design!$B$33)*1000000*Constants!$D$25/1000000000*($B43-Constants!$C$24)</f>
        <v>-8.0602500000000066E-3</v>
      </c>
      <c r="AL43" s="195">
        <f>$B43*AG43*($B43/(Constants!$C$26*1000000000)*IF(ISBLANK(Design!$B$33),Design!$B$32,Design!$B$33)*1000000/2+$B43/(Constants!$C$27*1000000000)*IF(ISBLANK(Design!$B$33),Design!$B$32,Design!$B$33)*1000000/2)</f>
        <v>2.2695349657534246E-2</v>
      </c>
      <c r="AM43" s="195">
        <f t="shared" ca="1" si="3"/>
        <v>7.5284489591170969E-2</v>
      </c>
      <c r="AN43" s="195">
        <f>Constants!$D$25/1000000000*Constants!$C$24*IF(ISBLANK(Design!$B$33),Design!$B$32,Design!$B$33)*1000000</f>
        <v>6.8250000000000005E-2</v>
      </c>
      <c r="AO43" s="195">
        <f t="shared" ca="1" si="11"/>
        <v>0.15816958924870522</v>
      </c>
      <c r="AP43" s="195">
        <f t="shared" ca="1" si="9"/>
        <v>9.2013668553076484E-3</v>
      </c>
      <c r="AQ43" s="196">
        <f ca="1">$A43+AP43*Design!$B$19</f>
        <v>85.460068342765382</v>
      </c>
      <c r="AR43" s="196">
        <f ca="1">AO43*Design!$C$12+$A43</f>
        <v>90.377766034455973</v>
      </c>
      <c r="AS43" s="196">
        <f ca="1">Constants!$D$22+Constants!$D$22*Constants!$C$23/100*(AR43-25)</f>
        <v>177.30221282756477</v>
      </c>
      <c r="AT43" s="195">
        <f ca="1">IF(100*(Design!$C$29+AH43+AG43*IF(ISBLANK(Design!$B$43),Constants!$C$6,Design!$B$43)/1000*(1+Constants!$C$36/100*(AR43-25)))/($B43+AH43-AG43*AS43/1000)&gt;Design!$C$36,  (1-Constants!$C$20/1000000000*IF(ISBLANK(Design!$B$33),Design!$B$32/4,Design!$B$33/4)*1000000) * ($B43+AH43-AG43*AS43/1000) - (AH43+AG43*(1+($A43-25)*Constants!$C$36/100)*IF(ISBLANK(Design!$B$43),Constants!$C$6/1000,Design!$B$43/1000)),   (1-Constants!$C$20/1000000000*IF(ISBLANK(Design!$B$33),Design!$B$32,Design!$B$33)*1000000) * ($B43+AH43-AG43*AS43/1000) - (AH43+AG43*(1+($A43-25)*Constants!$C$36/100)*IF(ISBLANK(Design!$B$43),Constants!$C$6/1000,Design!$B$43/1000)) )</f>
        <v>3.2939971736636151</v>
      </c>
      <c r="AU43" s="119">
        <f ca="1">IF(AT43&gt;Design!$C$29,Design!$C$29,AT43)</f>
        <v>3.2939971736636151</v>
      </c>
    </row>
    <row r="44" spans="1:47" s="120" customFormat="1" ht="12.75" customHeight="1" thickBot="1" x14ac:dyDescent="0.3">
      <c r="A44" s="121">
        <f>Design!$D$13</f>
        <v>85</v>
      </c>
      <c r="B44" s="122">
        <f>Constants!$C$7</f>
        <v>3.4</v>
      </c>
      <c r="C44" s="123">
        <f>Design!$D$7</f>
        <v>2</v>
      </c>
      <c r="D44" s="123">
        <f ca="1">FORECAST(C44, OFFSET(Design!$C$15:$C$17,MATCH(C44,Design!$B$15:$B$17,1)-1,0,2), OFFSET(Design!$B$15:$B$17,MATCH(C44,Design!$B$15:$B$17,1)-1,0,2))+(M44-25)*Design!$B$18/1000</f>
        <v>0.40437592519045384</v>
      </c>
      <c r="E44" s="174">
        <f ca="1">IF(100*(Design!$C$29+D44+C44*IF(ISBLANK(Design!$B$43),Constants!$C$6,Design!$B$43)/1000*(1+Constants!$C$36/100*(N44-25)))/($B44+D44-C44*O44/1000)&gt;Design!$C$36,Design!$C$37,100*(Design!$C$29+D44+C44*IF(ISBLANK(Design!$B$43),Constants!$C$6,Design!$B$43)/1000*(1+Constants!$C$36/100*(N44-25)))/($B44+D44-C44*O44/1000))</f>
        <v>95.537499999999994</v>
      </c>
      <c r="F44" s="124">
        <f ca="1">IF(($B44-C44*IF(ISBLANK(Design!$B$43),Constants!$C$6,Design!$B$43)/1000*(1+Constants!$C$36/100*(N44-25))-Design!$C$29)/(IF(ISBLANK(Design!$B$42),Design!$B$40,Design!$B$42)/1000000)*E44/100/(IF(ISBLANK(Design!$B$33),Design!$B$32,Design!$B$33)*1000000)&lt;0, 0, ($B44-C44*IF(ISBLANK(Design!$B$43),Constants!$C$6,Design!$B$43)/1000*(1+Constants!$C$36/100*(N44-25))-Design!$C$29)/(IF(ISBLANK(Design!$B$42),Design!$B$40,Design!$B$42)/1000000)*E44/100/(IF(ISBLANK(Design!$B$33),Design!$B$32,Design!$B$33)*1000000))</f>
        <v>0</v>
      </c>
      <c r="G44" s="167">
        <f>B44*Constants!$C$21/1000+IF(ISBLANK(Design!$B$33),Design!$B$32,Design!$B$33)*1000000*Constants!$D$25/1000000000*(B44-Constants!$C$24)</f>
        <v>-1.1640000000000003E-2</v>
      </c>
      <c r="H44" s="167">
        <f>B44*C44*(B44/(Constants!$C$26*1000000000)*IF(ISBLANK(Design!$B$33),Design!$B$32,Design!$B$33)*1000000/2+B44/(Constants!$C$27*1000000000)*IF(ISBLANK(Design!$B$33),Design!$B$32,Design!$B$33)*1000000/2)</f>
        <v>6.0228127853881284E-2</v>
      </c>
      <c r="I44" s="167">
        <f t="shared" ca="1" si="1"/>
        <v>0.751364665739506</v>
      </c>
      <c r="J44" s="167">
        <f>Constants!$D$25/1000000000*Constants!$C$24*IF(ISBLANK(Design!$B$33),Design!$B$32,Design!$B$33)*1000000</f>
        <v>6.8250000000000005E-2</v>
      </c>
      <c r="K44" s="167">
        <f t="shared" ca="1" si="4"/>
        <v>0.86820279359338726</v>
      </c>
      <c r="L44" s="167">
        <f t="shared" ca="1" si="5"/>
        <v>3.6090551323248024E-2</v>
      </c>
      <c r="M44" s="168">
        <f ca="1">A44+L44*Design!$B$19</f>
        <v>86.804527566162406</v>
      </c>
      <c r="N44" s="168">
        <f ca="1">K44*Design!$C$12+A44</f>
        <v>114.51889498217517</v>
      </c>
      <c r="O44" s="168">
        <f ca="1">Constants!$D$22+Constants!$D$22*Constants!$C$23/100*(N44-25)</f>
        <v>196.61511598574015</v>
      </c>
      <c r="P44" s="167">
        <f ca="1">IF(100*(Design!$C$29+D44+C44*IF(ISBLANK(Design!$B$43),Constants!$C$6,Design!$B$43)/1000*(1+Constants!$C$36/100*(N44-25)))/($B44+D44-C44*O44/1000)&gt;Design!$C$36,  (1-Constants!$C$20/1000000000*IF(ISBLANK(Design!$B$33),Design!$B$32/4,Design!$B$33/4)*1000000) * ($B44+D44-C44*O44/1000) - (D44+C44*(1+($A44-25)*Constants!$C$36/100)*IF(ISBLANK(Design!$B$43),Constants!$C$6/1000,Design!$B$43/1000)),   (1-Constants!$C$20/1000000000*IF(ISBLANK(Design!$B$33),Design!$B$32,Design!$B$33)*1000000) * ($B44+D44-C44*O44/1000) - (D44+C44*(1+($A44-25)*Constants!$C$36/100)*IF(ISBLANK(Design!$B$43),Constants!$C$6/1000,Design!$B$43/1000)) )</f>
        <v>2.7556833914686232</v>
      </c>
      <c r="Q44" s="345">
        <f ca="1">IF(P44&gt;Design!$C$29,Design!$C$29,P44)</f>
        <v>2.7556833914686232</v>
      </c>
      <c r="R44" s="185">
        <f>2*Design!$D$7/3</f>
        <v>1.3333333333333333</v>
      </c>
      <c r="S44" s="125">
        <f ca="1">FORECAST(R44, OFFSET(Design!$C$15:$C$17,MATCH(R44,Design!$B$15:$B$17,1)-1,0,2), OFFSET(Design!$B$15:$B$17,MATCH(R44,Design!$B$15:$B$17,1)-1,0,2))+(AB44-25)*Design!$B$18/1000</f>
        <v>0.35689626211005221</v>
      </c>
      <c r="T44" s="186">
        <f ca="1">IF(100*(Design!$C$29+S44+R44*IF(ISBLANK(Design!$B$43),Constants!$C$6,Design!$B$43)/1000*(1+Constants!$C$36/100*(AC44-25)))/($B44+S44-R44*AD44/1000)&gt;Design!$C$36,Design!$C$37,100*(Design!$C$29+S44+R44*IF(ISBLANK(Design!$B$43),Constants!$C$6,Design!$B$43)/1000*(1+Constants!$C$36/100*(AC44-25)))/($B44+S44-R44*AD44/1000))</f>
        <v>95.537499999999994</v>
      </c>
      <c r="U44" s="126">
        <f ca="1">IF(($B44-R44*IF(ISBLANK(Design!$B$43),Constants!$C$6,Design!$B$43)/1000*(1+Constants!$C$36/100*(AC44-25))-Design!$C$29)/(Design!$B$42/1000000)*T44/100/(IF(ISBLANK(IF(ISBLANK(Design!$B$42),Design!$B$40,Design!$B$42)),Design!$B$32,Design!$B$33)*1000000)&lt;0,0,($B44-R44*IF(ISBLANK(Design!$B$43),Constants!$C$6,Design!$B$43)/1000*(1+Constants!$C$36/100*(AC44-25))-Design!$C$29)/(IF(ISBLANK(Design!$B$42),Design!$B$40,Design!$B$42)/1000000)*T44/100/(IF(ISBLANK(Design!$B$33),Design!$B$32,Design!$B$33)*1000000))</f>
        <v>0</v>
      </c>
      <c r="V44" s="187">
        <f>$B44*Constants!$C$21/1000+IF(ISBLANK(Design!$B$33),Design!$B$32,Design!$B$33)*1000000*Constants!$D$25/1000000000*($B44-Constants!$C$24)</f>
        <v>-1.1640000000000003E-2</v>
      </c>
      <c r="W44" s="187">
        <f>$B44*R44*($B44/(Constants!$C$26*1000000000)*IF(ISBLANK(Design!$B$33),Design!$B$32,Design!$B$33)*1000000/2+$B44/(Constants!$C$27*1000000000)*IF(ISBLANK(Design!$B$33),Design!$B$32,Design!$B$33)*1000000/2)</f>
        <v>4.0152085235920856E-2</v>
      </c>
      <c r="X44" s="187">
        <f t="shared" ca="1" si="2"/>
        <v>0.31274937177637868</v>
      </c>
      <c r="Y44" s="187">
        <f>Constants!$D$25/1000000000*Constants!$C$24*IF(ISBLANK(Design!$B$33),Design!$B$32,Design!$B$33)*1000000</f>
        <v>6.8250000000000005E-2</v>
      </c>
      <c r="Z44" s="187">
        <f t="shared" ca="1" si="10"/>
        <v>0.40951145701229952</v>
      </c>
      <c r="AA44" s="187">
        <f t="shared" ca="1" si="7"/>
        <v>2.1235327595548116E-2</v>
      </c>
      <c r="AB44" s="188">
        <f ca="1">$A44+AA44*Design!$B$19</f>
        <v>86.06176637977741</v>
      </c>
      <c r="AC44" s="188">
        <f ca="1">Z44*Design!$C$12+$A44</f>
        <v>98.923389538418178</v>
      </c>
      <c r="AD44" s="188">
        <f ca="1">Constants!$D$22+Constants!$D$22*Constants!$C$23/100*(AC44-25)</f>
        <v>184.13871163073455</v>
      </c>
      <c r="AE44" s="187">
        <f ca="1">IF(100*(Design!$C$29+S44+R44*IF(ISBLANK(Design!$B$43),Constants!$C$6,Design!$B$43)/1000*(1+Constants!$C$36/100*(AC44-25)))/($B44+S44-R44*AD44/1000)&gt;Design!$C$36,  (1-Constants!$C$20/1000000000*IF(ISBLANK(Design!$B$33),Design!$B$32/4,Design!$B$33/4)*1000000) * ($B44+S44-R44*AD44/1000) - (S44+R44*(1+($A44-25)*Constants!$C$36/100)*IF(ISBLANK(Design!$B$43),Constants!$C$6/1000,Design!$B$43/1000)),   (1-Constants!$C$20/1000000000*IF(ISBLANK(Design!$B$33),Design!$B$32,Design!$B$33)*1000000) * ($B44+S44-R44*AD44/1000) - (S44+R44*(1+($A44-25)*Constants!$C$36/100)*IF(ISBLANK(Design!$B$43),Constants!$C$6/1000,Design!$B$43/1000)) )</f>
        <v>2.9318771421377212</v>
      </c>
      <c r="AF44" s="126">
        <f ca="1">IF(AE44&gt;Design!$C$29,Design!$C$29,AE44)</f>
        <v>2.9318771421377212</v>
      </c>
      <c r="AG44" s="127">
        <f>Design!$D$7/3</f>
        <v>0.66666666666666663</v>
      </c>
      <c r="AH44" s="127">
        <f ca="1">FORECAST(AG44, OFFSET(Design!$C$15:$C$17,MATCH(AG44,Design!$B$15:$B$17,1)-1,0,2), OFFSET(Design!$B$15:$B$17,MATCH(AG44,Design!$B$15:$B$17,1)-1,0,2))+(AQ44-25)*Design!$B$18/1000</f>
        <v>0.30928964219521493</v>
      </c>
      <c r="AI44" s="197">
        <f ca="1">IF(100*(Design!$C$29+AH44+AG44*IF(ISBLANK(Design!$B$43),Constants!$C$6,Design!$B$43)/1000*(1+Constants!$C$36/100*(AR44-25)))/($B44+AH44-AG44*AS44/1000)&gt;Design!$C$36,Design!$C$37,100*(Design!$C$29+AH44+AG44*IF(ISBLANK(Design!$B$43),Constants!$C$6,Design!$B$43)/1000*(1+Constants!$C$36/100*(AR44-25)))/($B44+AH44-AG44*AS44/1000))</f>
        <v>95.537499999999994</v>
      </c>
      <c r="AJ44" s="128">
        <f ca="1">IF(($B44-AG44*IF(ISBLANK(Design!$B$43),Constants!$C$6,Design!$B$43)/1000*(1+Constants!$C$36/100*(AR44-25))-Design!$C$29)/(IF(ISBLANK(Design!$B$42),Design!$B$40,Design!$B$42)/1000000)*AI44/100/(IF(ISBLANK(Design!$B$33),Design!$B$32,Design!$B$33)*1000000)&lt;0,0,($B44-AG44*IF(ISBLANK(Design!$B$43),Constants!$C$6,Design!$B$43)/1000*(1+Constants!$C$36/100*(AR44-25))-Design!$C$29)/(IF(ISBLANK(Design!$B$42),Design!$B$40,Design!$B$42)/1000000)*AI44/100/(IF(ISBLANK(Design!$B$33),Design!$B$32,Design!$B$33)*1000000))</f>
        <v>0</v>
      </c>
      <c r="AK44" s="198">
        <f>$B44*Constants!$C$21/1000+IF(ISBLANK(Design!$B$33),Design!$B$32,Design!$B$33)*1000000*Constants!$D$25/1000000000*($B44-Constants!$C$24)</f>
        <v>-1.1640000000000003E-2</v>
      </c>
      <c r="AL44" s="198">
        <f>$B44*AG44*($B44/(Constants!$C$26*1000000000)*IF(ISBLANK(Design!$B$33),Design!$B$32,Design!$B$33)*1000000/2+$B44/(Constants!$C$27*1000000000)*IF(ISBLANK(Design!$B$33),Design!$B$32,Design!$B$33)*1000000/2)</f>
        <v>2.0076042617960428E-2</v>
      </c>
      <c r="AM44" s="198">
        <f t="shared" ca="1" si="3"/>
        <v>7.5212057515415959E-2</v>
      </c>
      <c r="AN44" s="198">
        <f>Constants!$D$25/1000000000*Constants!$C$24*IF(ISBLANK(Design!$B$33),Design!$B$32,Design!$B$33)*1000000</f>
        <v>6.8250000000000005E-2</v>
      </c>
      <c r="AO44" s="198">
        <f t="shared" ca="1" si="11"/>
        <v>0.1518981001333764</v>
      </c>
      <c r="AP44" s="198">
        <f t="shared" ca="1" si="9"/>
        <v>9.2013668553076484E-3</v>
      </c>
      <c r="AQ44" s="199">
        <f ca="1">$A44+AP44*Design!$B$19</f>
        <v>85.460068342765382</v>
      </c>
      <c r="AR44" s="199">
        <f ca="1">AO44*Design!$C$12+$A44</f>
        <v>90.164535404534803</v>
      </c>
      <c r="AS44" s="199">
        <f ca="1">Constants!$D$22+Constants!$D$22*Constants!$C$23/100*(AR44-25)</f>
        <v>177.13162832362784</v>
      </c>
      <c r="AT44" s="198">
        <f ca="1">IF(100*(Design!$C$29+AH44+AG44*IF(ISBLANK(Design!$B$43),Constants!$C$6,Design!$B$43)/1000*(1+Constants!$C$36/100*(AR44-25)))/($B44+AH44-AG44*AS44/1000)&gt;Design!$C$36,  (1-Constants!$C$20/1000000000*IF(ISBLANK(Design!$B$33),Design!$B$32/4,Design!$B$33/4)*1000000) * ($B44+AH44-AG44*AS44/1000) - (AH44+AG44*(1+($A44-25)*Constants!$C$36/100)*IF(ISBLANK(Design!$B$43),Constants!$C$6/1000,Design!$B$43/1000)),   (1-Constants!$C$20/1000000000*IF(ISBLANK(Design!$B$33),Design!$B$32,Design!$B$33)*1000000) * ($B44+AH44-AG44*AS44/1000) - (AH44+AG44*(1+($A44-25)*Constants!$C$36/100)*IF(ISBLANK(Design!$B$43),Constants!$C$6/1000,Design!$B$43/1000)) )</f>
        <v>3.0887001967772481</v>
      </c>
      <c r="AU44" s="128">
        <f ca="1">IF(AT44&gt;Design!$C$29,Design!$C$29,AT44)</f>
        <v>3.0887001967772481</v>
      </c>
    </row>
    <row r="45" spans="1:47" s="229" customFormat="1" ht="18" customHeight="1" x14ac:dyDescent="0.3">
      <c r="A45" s="237" t="s">
        <v>267</v>
      </c>
      <c r="B45" s="230"/>
      <c r="C45" s="231"/>
      <c r="D45" s="231"/>
      <c r="E45" s="232"/>
      <c r="F45" s="233"/>
      <c r="G45" s="233"/>
      <c r="H45" s="233"/>
      <c r="I45" s="233"/>
      <c r="J45" s="233"/>
      <c r="K45" s="233"/>
      <c r="L45" s="233"/>
      <c r="M45" s="233"/>
      <c r="N45" s="232"/>
      <c r="O45" s="232"/>
      <c r="P45" s="233"/>
      <c r="Q45" s="233"/>
      <c r="R45" s="231"/>
      <c r="S45" s="231"/>
      <c r="T45" s="232"/>
      <c r="U45" s="233"/>
      <c r="V45" s="233"/>
      <c r="W45" s="233"/>
      <c r="X45" s="233"/>
      <c r="Y45" s="233"/>
      <c r="Z45" s="233"/>
      <c r="AA45" s="233"/>
      <c r="AB45" s="233"/>
      <c r="AC45" s="232"/>
      <c r="AD45" s="232"/>
      <c r="AE45" s="233"/>
      <c r="AF45" s="233"/>
      <c r="AG45" s="231"/>
      <c r="AH45" s="231"/>
      <c r="AI45" s="232"/>
      <c r="AJ45" s="233"/>
      <c r="AK45" s="233"/>
      <c r="AL45" s="233"/>
      <c r="AM45" s="233"/>
      <c r="AN45" s="233"/>
      <c r="AO45" s="233"/>
      <c r="AP45" s="233"/>
      <c r="AQ45" s="233"/>
      <c r="AR45" s="232"/>
      <c r="AS45" s="232"/>
      <c r="AT45" s="233"/>
      <c r="AU45" s="234"/>
    </row>
    <row r="46" spans="1:47" ht="16.2" thickBot="1" x14ac:dyDescent="0.35">
      <c r="A46" s="210" t="s">
        <v>198</v>
      </c>
      <c r="B46" s="235" t="s">
        <v>108</v>
      </c>
      <c r="C46" s="208" t="s">
        <v>94</v>
      </c>
      <c r="D46" s="208" t="s">
        <v>223</v>
      </c>
      <c r="E46" s="200" t="s">
        <v>221</v>
      </c>
      <c r="F46" s="200" t="s">
        <v>222</v>
      </c>
      <c r="G46" s="200" t="s">
        <v>95</v>
      </c>
      <c r="H46" s="200" t="s">
        <v>96</v>
      </c>
      <c r="I46" s="200" t="s">
        <v>97</v>
      </c>
      <c r="J46" s="200" t="s">
        <v>186</v>
      </c>
      <c r="K46" s="200" t="s">
        <v>98</v>
      </c>
      <c r="L46" s="200" t="s">
        <v>241</v>
      </c>
      <c r="M46" s="200" t="s">
        <v>268</v>
      </c>
      <c r="N46" s="200" t="s">
        <v>269</v>
      </c>
      <c r="O46" s="200" t="s">
        <v>113</v>
      </c>
      <c r="P46" s="200" t="s">
        <v>235</v>
      </c>
      <c r="Q46" s="211" t="s">
        <v>234</v>
      </c>
      <c r="R46" s="208" t="s">
        <v>94</v>
      </c>
      <c r="S46" s="208" t="s">
        <v>223</v>
      </c>
      <c r="T46" s="200" t="s">
        <v>221</v>
      </c>
      <c r="U46" s="200" t="s">
        <v>222</v>
      </c>
      <c r="V46" s="200" t="s">
        <v>95</v>
      </c>
      <c r="W46" s="200" t="s">
        <v>96</v>
      </c>
      <c r="X46" s="200" t="s">
        <v>97</v>
      </c>
      <c r="Y46" s="200" t="s">
        <v>186</v>
      </c>
      <c r="Z46" s="200" t="s">
        <v>98</v>
      </c>
      <c r="AA46" s="200" t="s">
        <v>241</v>
      </c>
      <c r="AB46" s="200" t="s">
        <v>268</v>
      </c>
      <c r="AC46" s="200" t="s">
        <v>269</v>
      </c>
      <c r="AD46" s="200" t="s">
        <v>113</v>
      </c>
      <c r="AE46" s="200" t="s">
        <v>235</v>
      </c>
      <c r="AF46" s="211" t="s">
        <v>234</v>
      </c>
      <c r="AG46" s="208" t="s">
        <v>94</v>
      </c>
      <c r="AH46" s="208" t="s">
        <v>223</v>
      </c>
      <c r="AI46" s="200" t="s">
        <v>221</v>
      </c>
      <c r="AJ46" s="200" t="s">
        <v>222</v>
      </c>
      <c r="AK46" s="200" t="s">
        <v>95</v>
      </c>
      <c r="AL46" s="200" t="s">
        <v>96</v>
      </c>
      <c r="AM46" s="200" t="s">
        <v>97</v>
      </c>
      <c r="AN46" s="200" t="s">
        <v>186</v>
      </c>
      <c r="AO46" s="200" t="s">
        <v>98</v>
      </c>
      <c r="AP46" s="200" t="s">
        <v>241</v>
      </c>
      <c r="AQ46" s="200" t="s">
        <v>268</v>
      </c>
      <c r="AR46" s="200" t="s">
        <v>269</v>
      </c>
      <c r="AS46" s="200" t="s">
        <v>113</v>
      </c>
      <c r="AT46" s="200" t="s">
        <v>235</v>
      </c>
      <c r="AU46" s="211" t="s">
        <v>234</v>
      </c>
    </row>
    <row r="47" spans="1:47" ht="12.75" customHeight="1" x14ac:dyDescent="0.3">
      <c r="A47" s="159">
        <f>Design!$D$13</f>
        <v>85</v>
      </c>
      <c r="B47" s="160">
        <f t="shared" ref="B47:B86" si="12">$B48+$AU$88</f>
        <v>11.999999999999995</v>
      </c>
      <c r="C47" s="161">
        <f>Design!$D$7</f>
        <v>2</v>
      </c>
      <c r="D47" s="161">
        <f ca="1">FORECAST(C47, OFFSET(Design!$C$15:$C$17,MATCH(C47,Design!$B$15:$B$17,1)-1,0,2), OFFSET(Design!$B$15:$B$17,MATCH(C47,Design!$B$15:$B$17,1)-1,0,2))+(M47-25)*Design!$B$18/1000</f>
        <v>0.38716585721126728</v>
      </c>
      <c r="E47" s="172">
        <f ca="1">IF(100*(Design!$C$29+D47+C47*IF(ISBLANK(Design!$B$43),Constants!$C$6,Design!$B$43)/1000*(1+Constants!$C$36/100*(N47-25)))/($B47+D47-C47*O47/1000)&gt;Design!$B$36,Design!$B$37,100*(Design!$C$29+D47+C47*IF(ISBLANK(Design!$B$43),Constants!$C$6,Design!$B$43)/1000*(1+Constants!$C$36/100*(N47-25)))/($B47+D47-C47*O47/1000))</f>
        <v>45.948680827517045</v>
      </c>
      <c r="F47" s="162">
        <f ca="1">IF(($B47-C47*IF(ISBLANK(Design!$B$43),Constants!$C$6,Design!$B$43)/1000*(1+Constants!$C$36/100*(N47-25))-Design!$C$29)/(IF(ISBLANK(Design!$B$42),Design!$B$40,Design!$B$42)/1000000)*E47/100/(IF(ISBLANK(Design!$B$33),Design!$B$32,Design!$B$33)*1000000)&lt;0,0,($B47-C47*IF(ISBLANK(Design!$B$43),Constants!$C$6,Design!$B$43)/1000*(1+Constants!$C$36/100*(N47-25))-Design!$C$29)/(IF(ISBLANK(Design!$B$42),Design!$B$40,Design!$B$42)/1000000)*E47/100/(IF(ISBLANK(Design!$B$33),Design!$B$32,Design!$B$33)*1000000))</f>
        <v>0.45668985293217196</v>
      </c>
      <c r="G47" s="163">
        <f>B47*Constants!$C$21/1000+IF(ISBLANK(Design!$B$33),Design!$B$32,Design!$B$33)*1000000*Constants!$D$25/1000000000*(B47-Constants!$C$24)</f>
        <v>0.13154999999999992</v>
      </c>
      <c r="H47" s="163">
        <f>B47*C47*(B47/(Constants!$C$26*1000000000)*IF(ISBLANK(Design!$B$33),Design!$B$32,Design!$B$33)*1000000/2+B47/(Constants!$C$27*1000000000)*IF(ISBLANK(Design!$B$33),Design!$B$32,Design!$B$33)*1000000/2)</f>
        <v>0.75024657534246508</v>
      </c>
      <c r="I47" s="163">
        <f t="shared" ref="I47:I87" ca="1" si="13">IF($D$115,1,E47/100*(C47^2+F47^2/12)*O47/1000)</f>
        <v>0.38645119932561883</v>
      </c>
      <c r="J47" s="163">
        <f>Constants!$D$25/1000000000*Constants!$C$24*IF(ISBLANK(Design!$B$33),Design!$B$32,Design!$B$33)*1000000</f>
        <v>6.8250000000000005E-2</v>
      </c>
      <c r="K47" s="163">
        <f ca="1">SUM(G47:J47)</f>
        <v>1.3364977746680837</v>
      </c>
      <c r="L47" s="163">
        <f ca="1">C47*D47*(1-E47/100)</f>
        <v>0.41853650641628343</v>
      </c>
      <c r="M47" s="164">
        <f ca="1">$A47+L47*Design!$B$19</f>
        <v>105.92682532081417</v>
      </c>
      <c r="N47" s="164">
        <f ca="1">K47*Design!$C$12+A47</f>
        <v>130.44092433871484</v>
      </c>
      <c r="O47" s="164">
        <f ca="1">Constants!$D$22+Constants!$D$22*Constants!$C$23/100*(N47-25)</f>
        <v>209.35273947097187</v>
      </c>
      <c r="P47" s="163">
        <f ca="1">IF(100*(Design!$C$29+D47+C47*IF(ISBLANK(Design!$B$43),Constants!$C$6,Design!$B$43)/1000*(1+Constants!$C$36/100*(N47-25)))/($B47+D47-C47*O47/1000)&gt;Design!$B$36,   (1-Constants!$D$20/1000000000*IF(ISBLANK(Design!$B$33),Design!$B$32/4,Design!$B$33/4)*1000000) * ($B47+D47-C47*O47/1000) - (D47+C47*(1+($A47-25)*Constants!$C$36/100)*IF(ISBLANK(Design!$B$43),Constants!$C$6/1000,Design!$B$43/1000)),  (1-Constants!$D$20/1000000000*IF(ISBLANK(Design!$B$33),Design!$B$32,Design!$B$33)*1000000) * ($B47+D47-C47*O47/1000) - (D47+C47*(1+($A47-25)*Constants!$C$36/100)*IF(ISBLANK(Design!$B$43),Constants!$C$6/1000,Design!$B$43/1000)))</f>
        <v>8.2150408377905269</v>
      </c>
      <c r="Q47" s="162">
        <f ca="1">IF(P47&gt;Design!$C$29,Design!$C$29,P47)</f>
        <v>4.99903317535545</v>
      </c>
      <c r="R47" s="176">
        <f>2*Design!$D$7/3</f>
        <v>1.3333333333333333</v>
      </c>
      <c r="S47" s="176">
        <f ca="1">FORECAST(R47, OFFSET(Design!$C$15:$C$17,MATCH(R47,Design!$B$15:$B$17,1)-1,0,2), OFFSET(Design!$B$15:$B$17,MATCH(R47,Design!$B$15:$B$17,1)-1,0,2))+(AB47-25)*Design!$B$18/1000</f>
        <v>0.34638564520111842</v>
      </c>
      <c r="T47" s="177">
        <f ca="1">IF(100*(Design!$C$29+S47+R47*IF(ISBLANK(Design!$B$43),Constants!$C$6,Design!$B$43)/1000*(1+Constants!$C$36/100*(AC47-25)))/($B47+S47-R47*AD47/1000)&gt;Design!$B$36,Design!$B$37,100*(Design!$C$29+S47+R47*IF(ISBLANK(Design!$B$43),Constants!$C$6,Design!$B$43)/1000*(1+Constants!$C$36/100*(AC47-25)))/($B47+S47-R47*AD47/1000))</f>
        <v>44.829282960634274</v>
      </c>
      <c r="U47" s="178">
        <f ca="1">IF(($B47-R47*IF(ISBLANK(Design!$B$43),Constants!$C$6,Design!$B$43)/1000*(1+Constants!$C$36/100*(AC47-25))-Design!$C$29)/(IF(ISBLANK(Design!$B$42),Design!$B$40,Design!$B$42)/1000000)*T47/100/(IF(ISBLANK(Design!$B$33),Design!$B$32,Design!$B$33)*1000000)&lt;0,0,($B47-R47*IF(ISBLANK(Design!$B$43),Constants!$C$6,Design!$B$43)/1000*(1+Constants!$C$36/100*(AC47-25))-Design!$C$29)/(IF(ISBLANK(Design!$B$42),Design!$B$40,Design!$B$42)/1000000)*T47/100/(IF(ISBLANK(Design!$B$33),Design!$B$32,Design!$B$33)*1000000))</f>
        <v>0.44822449761928806</v>
      </c>
      <c r="V47" s="179">
        <f>$B47*Constants!$C$21/1000+IF(ISBLANK(Design!$B$33),Design!$B$32,Design!$B$33)*1000000*Constants!$D$25/1000000000*($B47-Constants!$C$24)</f>
        <v>0.13154999999999992</v>
      </c>
      <c r="W47" s="179">
        <f>$B47*R47*($B47/(Constants!$C$26*1000000000)*IF(ISBLANK(Design!$B$33),Design!$B$32,Design!$B$33)*1000000/2+$B47/(Constants!$C$27*1000000000)*IF(ISBLANK(Design!$B$33),Design!$B$32,Design!$B$33)*1000000/2)</f>
        <v>0.50016438356164339</v>
      </c>
      <c r="X47" s="179">
        <f t="shared" ref="X47:X87" ca="1" si="14">IF($D$115,1,T47/100*(R47^2+U47^2/12)*AD47/1000)</f>
        <v>0.15794582153479989</v>
      </c>
      <c r="Y47" s="179">
        <f>Constants!$D$25/1000000000*Constants!$C$24*IF(ISBLANK(Design!$B$33),Design!$B$32,Design!$B$33)*1000000</f>
        <v>6.8250000000000005E-2</v>
      </c>
      <c r="Z47" s="179">
        <f ca="1">SUM(V47:Y47)</f>
        <v>0.85791020509644322</v>
      </c>
      <c r="AA47" s="179">
        <f ca="1">R47*S47*(1-T47/100)</f>
        <v>0.25480459223852048</v>
      </c>
      <c r="AB47" s="180">
        <f ca="1">$A47+AA47*Design!$B$19</f>
        <v>97.740229611926026</v>
      </c>
      <c r="AC47" s="180">
        <f ca="1">Z47*Design!$C$12+$A47</f>
        <v>114.16894697327908</v>
      </c>
      <c r="AD47" s="180">
        <f ca="1">Constants!$D$22+Constants!$D$22*Constants!$C$23/100*(AC47-25)</f>
        <v>196.33515757862327</v>
      </c>
      <c r="AE47" s="179">
        <f ca="1">IF(100*(Design!$C$29+S47+R47*IF(ISBLANK(Design!$B$43),Constants!$C$6,Design!$B$43)/1000*(1+Constants!$C$36/100*(AC47-25)))/($B47+S47-R47*AD47/1000)&gt;Design!$B$36,   (1-Constants!$D$20/1000000000*IF(ISBLANK(Design!$B$33),Design!$B$32/4,Design!$B$33/4)*1000000) * ($B47+S47-R47*AD47/1000) - (S47+R47*(1+($A47-25)*Constants!$C$36/100)*IF(ISBLANK(Design!$B$43),Constants!$C$6/1000,Design!$B$43/1000)),  (1-Constants!$D$20/1000000000*IF(ISBLANK(Design!$B$33),Design!$B$32,Design!$B$33)*1000000) * ($B47+S47-R47*AD47/1000) - (S47+R47*(1+($A47-25)*Constants!$C$36/100)*IF(ISBLANK(Design!$B$43),Constants!$C$6/1000,Design!$B$43/1000)))</f>
        <v>8.3732131727805452</v>
      </c>
      <c r="AF47" s="178">
        <f ca="1">IF(AE47&gt;Design!$C$29,Design!$C$29,AE47)</f>
        <v>4.99903317535545</v>
      </c>
      <c r="AG47" s="189">
        <f>Design!$D$7/3</f>
        <v>0.66666666666666663</v>
      </c>
      <c r="AH47" s="189">
        <f ca="1">FORECAST(AG47, OFFSET(Design!$C$15:$C$17,MATCH(AG47,Design!$B$15:$B$17,1)-1,0,2), OFFSET(Design!$B$15:$B$17,MATCH(AG47,Design!$B$15:$B$17,1)-1,0,2))+(AQ47-25)*Design!$B$18/1000</f>
        <v>0.30457109669801913</v>
      </c>
      <c r="AI47" s="190">
        <f ca="1">IF(100*(Design!$C$29+AH47+AG47*IF(ISBLANK(Design!$B$43),Constants!$C$6,Design!$B$43)/1000*(1+Constants!$C$36/100*(AR47-25)))/($B47+AH47-AG47*AS47/1000)&gt;Design!$B$36,Design!$B$37,100*(Design!$C$29+AH47+AG47*IF(ISBLANK(Design!$B$43),Constants!$C$6,Design!$B$43)/1000*(1+Constants!$C$36/100*(AR47-25)))/($B47+AH47-AG47*AS47/1000))</f>
        <v>43.826941543596519</v>
      </c>
      <c r="AJ47" s="191">
        <f ca="1">IF(($B47-AG47*IF(ISBLANK(Design!$B$43),Constants!$C$6,Design!$B$43)/1000*(1+Constants!$C$36/100*(AR47-25))-Design!$C$29)/(IF(ISBLANK(Design!$B$42),Design!$B$40,Design!$B$42)/1000000)*AI47/100/(IF(ISBLANK(Design!$B$33),Design!$B$32,Design!$B$33)*1000000)&lt;0,0,($B47-AG47*IF(ISBLANK(Design!$B$43),Constants!$C$6,Design!$B$43)/1000*(1+Constants!$C$36/100*(AR47-25))-Design!$C$29)/(IF(ISBLANK(Design!$B$42),Design!$B$40,Design!$B$42)/1000000)*AI47/100/(IF(ISBLANK(Design!$B$33),Design!$B$32,Design!$B$33)*1000000))</f>
        <v>0.44056354125486874</v>
      </c>
      <c r="AK47" s="192">
        <f>$B47*Constants!$C$21/1000+IF(ISBLANK(Design!$B$33),Design!$B$32,Design!$B$33)*1000000*Constants!$D$25/1000000000*($B47-Constants!$C$24)</f>
        <v>0.13154999999999992</v>
      </c>
      <c r="AL47" s="192">
        <f>$B47*AG47*($B47/(Constants!$C$26*1000000000)*IF(ISBLANK(Design!$B$33),Design!$B$32,Design!$B$33)*1000000/2+$B47/(Constants!$C$27*1000000000)*IF(ISBLANK(Design!$B$33),Design!$B$32,Design!$B$33)*1000000/2)</f>
        <v>0.25008219178082169</v>
      </c>
      <c r="AM47" s="192">
        <f t="shared" ref="AM47:AM87" ca="1" si="15">IF($D$115,1,AI47/100*(AG47^2+AJ47^2/12)*AS47/1000)</f>
        <v>3.760119790665109E-2</v>
      </c>
      <c r="AN47" s="192">
        <f>Constants!$D$25/1000000000*Constants!$C$24*IF(ISBLANK(Design!$B$33),Design!$B$32,Design!$B$33)*1000000</f>
        <v>6.8250000000000005E-2</v>
      </c>
      <c r="AO47" s="192">
        <f ca="1">SUM(AK47:AN47)</f>
        <v>0.48748338968747273</v>
      </c>
      <c r="AP47" s="192">
        <f ca="1">AG47*AH47*(1-AI47/100)</f>
        <v>0.1140579334596583</v>
      </c>
      <c r="AQ47" s="193">
        <f ca="1">$A47+AP47*Design!$B$19</f>
        <v>90.702896672982916</v>
      </c>
      <c r="AR47" s="193">
        <f ca="1">AO47*Design!$C$12+$A47</f>
        <v>101.57443524937408</v>
      </c>
      <c r="AS47" s="193">
        <f ca="1">Constants!$D$22+Constants!$D$22*Constants!$C$23/100*(AR47-25)</f>
        <v>186.25954819949925</v>
      </c>
      <c r="AT47" s="192">
        <f ca="1">IF(100*(Design!$C$29+AH47+AG47*IF(ISBLANK(Design!$B$43),Constants!$C$6,Design!$B$43)/1000*(1+Constants!$C$36/100*(AR47-25)))/($B47+AH47-AG47*AS47/1000)&gt;Design!$B$36,   (1-Constants!$D$20/1000000000*IF(ISBLANK(Design!$B$33),Design!$B$32/4,Design!$B$33/4)*1000000) * ($B47+AH47-AG47*AS47/1000) - (AH47+AG47*(1+($A47-25)*Constants!$C$36/100)*IF(ISBLANK(Design!$B$43),Constants!$C$6/1000,Design!$B$43/1000)),  (1-Constants!$D$20/1000000000*IF(ISBLANK(Design!$B$33),Design!$B$32,Design!$B$33)*1000000) * ($B47+AH47-AG47*AS47/1000) - (AH47+AG47*(1+($A47-25)*Constants!$C$36/100)*IF(ISBLANK(Design!$B$43),Constants!$C$6/1000,Design!$B$43/1000)))</f>
        <v>8.5176236295740786</v>
      </c>
      <c r="AU47" s="191">
        <f ca="1">IF(AT47&gt;Design!$C$29,Design!$C$29,AT47)</f>
        <v>4.99903317535545</v>
      </c>
    </row>
    <row r="48" spans="1:47" ht="12.75" customHeight="1" x14ac:dyDescent="0.3">
      <c r="A48" s="112">
        <f>Design!$D$13</f>
        <v>85</v>
      </c>
      <c r="B48" s="113">
        <f t="shared" si="12"/>
        <v>11.784999999999995</v>
      </c>
      <c r="C48" s="114">
        <f>Design!$D$7</f>
        <v>2</v>
      </c>
      <c r="D48" s="114">
        <f ca="1">FORECAST(C48, OFFSET(Design!$C$15:$C$17,MATCH(C48,Design!$B$15:$B$17,1)-1,0,2), OFFSET(Design!$B$15:$B$17,MATCH(C48,Design!$B$15:$B$17,1)-1,0,2))+(M48-25)*Design!$B$18/1000</f>
        <v>0.38744326010731289</v>
      </c>
      <c r="E48" s="173">
        <f ca="1">IF(100*(Design!$C$29+D48+C48*IF(ISBLANK(Design!$B$43),Constants!$C$6,Design!$B$43)/1000*(1+Constants!$C$36/100*(N48-25)))/($B48+D48-C48*O48/1000)&gt;Design!$B$36,Design!$B$37,100*(Design!$C$29+D48+C48*IF(ISBLANK(Design!$B$43),Constants!$C$6,Design!$B$43)/1000*(1+Constants!$C$36/100*(N48-25)))/($B48+D48-C48*O48/1000))</f>
        <v>46.782917645663602</v>
      </c>
      <c r="F48" s="115">
        <f ca="1">IF(($B48-C48*IF(ISBLANK(Design!$B$43),Constants!$C$6,Design!$B$43)/1000*(1+Constants!$C$36/100*(N48-25))-Design!$C$29)/(IF(ISBLANK(Design!$B$42),Design!$B$40,Design!$B$42)/1000000)*E48/100/(IF(ISBLANK(Design!$B$33),Design!$B$32,Design!$B$33)*1000000)&lt;0,0,($B48-C48*IF(ISBLANK(Design!$B$43),Constants!$C$6,Design!$B$43)/1000*(1+Constants!$C$36/100*(N48-25))-Design!$C$29)/(IF(ISBLANK(Design!$B$42),Design!$B$40,Design!$B$42)/1000000)*E48/100/(IF(ISBLANK(Design!$B$33),Design!$B$32,Design!$B$33)*1000000))</f>
        <v>0.45048494276728862</v>
      </c>
      <c r="G48" s="165">
        <f>B48*Constants!$C$21/1000+IF(ISBLANK(Design!$B$33),Design!$B$32,Design!$B$33)*1000000*Constants!$D$25/1000000000*(B48-Constants!$C$24)</f>
        <v>0.12797024999999992</v>
      </c>
      <c r="H48" s="165">
        <f>B48*C48*(B48/(Constants!$C$26*1000000000)*IF(ISBLANK(Design!$B$33),Design!$B$32,Design!$B$33)*1000000/2+B48/(Constants!$C$27*1000000000)*IF(ISBLANK(Design!$B$33),Design!$B$32,Design!$B$33)*1000000/2)</f>
        <v>0.72360357408675735</v>
      </c>
      <c r="I48" s="165">
        <f t="shared" ca="1" si="13"/>
        <v>0.39216903356261873</v>
      </c>
      <c r="J48" s="165">
        <f>Constants!$D$25/1000000000*Constants!$C$24*IF(ISBLANK(Design!$B$33),Design!$B$32,Design!$B$33)*1000000</f>
        <v>6.8250000000000005E-2</v>
      </c>
      <c r="K48" s="165">
        <f t="shared" ref="K48" ca="1" si="16">SUM(G48:J48)</f>
        <v>1.311992857649376</v>
      </c>
      <c r="L48" s="165">
        <f t="shared" ref="L48:L87" ca="1" si="17">C48*D48*(1-E48/100)</f>
        <v>0.41237199761526894</v>
      </c>
      <c r="M48" s="166">
        <f ca="1">$A48+L48*Design!$B$19</f>
        <v>105.61859988076344</v>
      </c>
      <c r="N48" s="166">
        <f ca="1">K48*Design!$C$12+A48</f>
        <v>129.60775716007879</v>
      </c>
      <c r="O48" s="166">
        <f ca="1">Constants!$D$22+Constants!$D$22*Constants!$C$23/100*(N48-25)</f>
        <v>208.68620572806304</v>
      </c>
      <c r="P48" s="165">
        <f ca="1">IF(100*(Design!$C$29+D48+C48*IF(ISBLANK(Design!$B$43),Constants!$C$6,Design!$B$43)/1000*(1+Constants!$C$36/100*(N48-25)))/($B48+D48-C48*O48/1000)&gt;Design!$B$36,   (1-Constants!$D$20/1000000000*IF(ISBLANK(Design!$B$33),Design!$B$32/4,Design!$B$33/4)*1000000) * ($B48+D48-C48*O48/1000) - (D48+C48*(1+($A48-25)*Constants!$C$36/100)*IF(ISBLANK(Design!$B$43),Constants!$C$6/1000,Design!$B$43/1000)),  (1-Constants!$D$20/1000000000*IF(ISBLANK(Design!$B$33),Design!$B$32,Design!$B$33)*1000000) * ($B48+D48-C48*O48/1000) - (D48+C48*(1+($A48-25)*Constants!$C$36/100)*IF(ISBLANK(Design!$B$43),Constants!$C$6/1000,Design!$B$43/1000)))</f>
        <v>8.0596292468620945</v>
      </c>
      <c r="Q48" s="115">
        <f ca="1">IF(P48&gt;Design!$C$29,Design!$C$29,P48)</f>
        <v>4.99903317535545</v>
      </c>
      <c r="R48" s="116">
        <f>2*Design!$D$7/3</f>
        <v>1.3333333333333333</v>
      </c>
      <c r="S48" s="116">
        <f ca="1">FORECAST(R48, OFFSET(Design!$C$15:$C$17,MATCH(R48,Design!$B$15:$B$17,1)-1,0,2), OFFSET(Design!$B$15:$B$17,MATCH(R48,Design!$B$15:$B$17,1)-1,0,2))+(AB48-25)*Design!$B$18/1000</f>
        <v>0.34654846581854937</v>
      </c>
      <c r="T48" s="182">
        <f ca="1">IF(100*(Design!$C$29+S48+R48*IF(ISBLANK(Design!$B$43),Constants!$C$6,Design!$B$43)/1000*(1+Constants!$C$36/100*(AC48-25)))/($B48+S48-R48*AD48/1000)&gt;Design!$B$36,Design!$B$37,100*(Design!$C$29+S48+R48*IF(ISBLANK(Design!$B$43),Constants!$C$6,Design!$B$43)/1000*(1+Constants!$C$36/100*(AC48-25)))/($B48+S48-R48*AD48/1000))</f>
        <v>45.63826252217558</v>
      </c>
      <c r="U48" s="117">
        <f ca="1">IF(($B48-R48*IF(ISBLANK(Design!$B$43),Constants!$C$6,Design!$B$43)/1000*(1+Constants!$C$36/100*(AC48-25))-Design!$C$29)/(IF(ISBLANK(Design!$B$42),Design!$B$40,Design!$B$42)/1000000)*T48/100/(IF(ISBLANK(Design!$B$33),Design!$B$32,Design!$B$33)*1000000)&lt;0,0,($B48-R48*IF(ISBLANK(Design!$B$43),Constants!$C$6,Design!$B$43)/1000*(1+Constants!$C$36/100*(AC48-25))-Design!$C$29)/(IF(ISBLANK(Design!$B$42),Design!$B$40,Design!$B$42)/1000000)*T48/100/(IF(ISBLANK(Design!$B$33),Design!$B$32,Design!$B$33)*1000000))</f>
        <v>0.44216289860546515</v>
      </c>
      <c r="V48" s="183">
        <f>$B48*Constants!$C$21/1000+IF(ISBLANK(Design!$B$33),Design!$B$32,Design!$B$33)*1000000*Constants!$D$25/1000000000*($B48-Constants!$C$24)</f>
        <v>0.12797024999999992</v>
      </c>
      <c r="W48" s="183">
        <f>$B48*R48*($B48/(Constants!$C$26*1000000000)*IF(ISBLANK(Design!$B$33),Design!$B$32,Design!$B$33)*1000000/2+$B48/(Constants!$C$27*1000000000)*IF(ISBLANK(Design!$B$33),Design!$B$32,Design!$B$33)*1000000/2)</f>
        <v>0.48240238272450486</v>
      </c>
      <c r="X48" s="183">
        <f t="shared" ca="1" si="14"/>
        <v>0.160333656649712</v>
      </c>
      <c r="Y48" s="183">
        <f>Constants!$D$25/1000000000*Constants!$C$24*IF(ISBLANK(Design!$B$33),Design!$B$32,Design!$B$33)*1000000</f>
        <v>6.8250000000000005E-2</v>
      </c>
      <c r="Z48" s="183">
        <f t="shared" ref="Z48" ca="1" si="18">SUM(V48:Y48)</f>
        <v>0.83895628937421685</v>
      </c>
      <c r="AA48" s="183">
        <f t="shared" ref="AA48:AA87" ca="1" si="19">R48*S48*(1-T48/100)</f>
        <v>0.25118635629561054</v>
      </c>
      <c r="AB48" s="184">
        <f ca="1">$A48+AA48*Design!$B$19</f>
        <v>97.559317814780528</v>
      </c>
      <c r="AC48" s="184">
        <f ca="1">Z48*Design!$C$12+$A48</f>
        <v>113.52451383872338</v>
      </c>
      <c r="AD48" s="184">
        <f ca="1">Constants!$D$22+Constants!$D$22*Constants!$C$23/100*(AC48-25)</f>
        <v>195.81961107097871</v>
      </c>
      <c r="AE48" s="183">
        <f ca="1">IF(100*(Design!$C$29+S48+R48*IF(ISBLANK(Design!$B$43),Constants!$C$6,Design!$B$43)/1000*(1+Constants!$C$36/100*(AC48-25)))/($B48+S48-R48*AD48/1000)&gt;Design!$B$36,   (1-Constants!$D$20/1000000000*IF(ISBLANK(Design!$B$33),Design!$B$32/4,Design!$B$33/4)*1000000) * ($B48+S48-R48*AD48/1000) - (S48+R48*(1+($A48-25)*Constants!$C$36/100)*IF(ISBLANK(Design!$B$43),Constants!$C$6/1000,Design!$B$43/1000)),  (1-Constants!$D$20/1000000000*IF(ISBLANK(Design!$B$33),Design!$B$32,Design!$B$33)*1000000) * ($B48+S48-R48*AD48/1000) - (S48+R48*(1+($A48-25)*Constants!$C$36/100)*IF(ISBLANK(Design!$B$43),Constants!$C$6/1000,Design!$B$43/1000)))</f>
        <v>8.2173634591667302</v>
      </c>
      <c r="AF48" s="117">
        <f ca="1">IF(AE48&gt;Design!$C$29,Design!$C$29,AE48)</f>
        <v>4.99903317535545</v>
      </c>
      <c r="AG48" s="118">
        <f>Design!$D$7/3</f>
        <v>0.66666666666666663</v>
      </c>
      <c r="AH48" s="118">
        <f ca="1">FORECAST(AG48, OFFSET(Design!$C$15:$C$17,MATCH(AG48,Design!$B$15:$B$17,1)-1,0,2), OFFSET(Design!$B$15:$B$17,MATCH(AG48,Design!$B$15:$B$17,1)-1,0,2))+(AQ48-25)*Design!$B$18/1000</f>
        <v>0.30464180123099455</v>
      </c>
      <c r="AI48" s="194">
        <f ca="1">IF(100*(Design!$C$29+AH48+AG48*IF(ISBLANK(Design!$B$43),Constants!$C$6,Design!$B$43)/1000*(1+Constants!$C$36/100*(AR48-25)))/($B48+AH48-AG48*AS48/1000)&gt;Design!$B$36,Design!$B$37,100*(Design!$C$29+AH48+AG48*IF(ISBLANK(Design!$B$43),Constants!$C$6,Design!$B$43)/1000*(1+Constants!$C$36/100*(AR48-25)))/($B48+AH48-AG48*AS48/1000))</f>
        <v>44.613614500099089</v>
      </c>
      <c r="AJ48" s="119">
        <f ca="1">IF(($B48-AG48*IF(ISBLANK(Design!$B$43),Constants!$C$6,Design!$B$43)/1000*(1+Constants!$C$36/100*(AR48-25))-Design!$C$29)/(IF(ISBLANK(Design!$B$42),Design!$B$40,Design!$B$42)/1000000)*AI48/100/(IF(ISBLANK(Design!$B$33),Design!$B$32,Design!$B$33)*1000000)&lt;0,0,($B48-AG48*IF(ISBLANK(Design!$B$43),Constants!$C$6,Design!$B$43)/1000*(1+Constants!$C$36/100*(AR48-25))-Design!$C$29)/(IF(ISBLANK(Design!$B$42),Design!$B$40,Design!$B$42)/1000000)*AI48/100/(IF(ISBLANK(Design!$B$33),Design!$B$32,Design!$B$33)*1000000))</f>
        <v>0.4346330116494167</v>
      </c>
      <c r="AK48" s="195">
        <f>$B48*Constants!$C$21/1000+IF(ISBLANK(Design!$B$33),Design!$B$32,Design!$B$33)*1000000*Constants!$D$25/1000000000*($B48-Constants!$C$24)</f>
        <v>0.12797024999999992</v>
      </c>
      <c r="AL48" s="195">
        <f>$B48*AG48*($B48/(Constants!$C$26*1000000000)*IF(ISBLANK(Design!$B$33),Design!$B$32,Design!$B$33)*1000000/2+$B48/(Constants!$C$27*1000000000)*IF(ISBLANK(Design!$B$33),Design!$B$32,Design!$B$33)*1000000/2)</f>
        <v>0.24120119136225243</v>
      </c>
      <c r="AM48" s="195">
        <f t="shared" ca="1" si="15"/>
        <v>3.8173792304331544E-2</v>
      </c>
      <c r="AN48" s="195">
        <f>Constants!$D$25/1000000000*Constants!$C$24*IF(ISBLANK(Design!$B$33),Design!$B$32,Design!$B$33)*1000000</f>
        <v>6.8250000000000005E-2</v>
      </c>
      <c r="AO48" s="195">
        <f t="shared" ref="AO48" ca="1" si="20">SUM(AK48:AN48)</f>
        <v>0.47559523366658385</v>
      </c>
      <c r="AP48" s="195">
        <f t="shared" ref="AP48:AP87" ca="1" si="21">AG48*AH48*(1-AI48/100)</f>
        <v>0.11248672161576036</v>
      </c>
      <c r="AQ48" s="196">
        <f ca="1">$A48+AP48*Design!$B$19</f>
        <v>90.624336080788012</v>
      </c>
      <c r="AR48" s="196">
        <f ca="1">AO48*Design!$C$12+$A48</f>
        <v>101.17023794466385</v>
      </c>
      <c r="AS48" s="196">
        <f ca="1">Constants!$D$22+Constants!$D$22*Constants!$C$23/100*(AR48-25)</f>
        <v>185.93619035573107</v>
      </c>
      <c r="AT48" s="195">
        <f ca="1">IF(100*(Design!$C$29+AH48+AG48*IF(ISBLANK(Design!$B$43),Constants!$C$6,Design!$B$43)/1000*(1+Constants!$C$36/100*(AR48-25)))/($B48+AH48-AG48*AS48/1000)&gt;Design!$B$36,   (1-Constants!$D$20/1000000000*IF(ISBLANK(Design!$B$33),Design!$B$32/4,Design!$B$33/4)*1000000) * ($B48+AH48-AG48*AS48/1000) - (AH48+AG48*(1+($A48-25)*Constants!$C$36/100)*IF(ISBLANK(Design!$B$43),Constants!$C$6/1000,Design!$B$43/1000)),  (1-Constants!$D$20/1000000000*IF(ISBLANK(Design!$B$33),Design!$B$32,Design!$B$33)*1000000) * ($B48+AH48-AG48*AS48/1000) - (AH48+AG48*(1+($A48-25)*Constants!$C$36/100)*IF(ISBLANK(Design!$B$43),Constants!$C$6/1000,Design!$B$43/1000)))</f>
        <v>8.3614560480048574</v>
      </c>
      <c r="AU48" s="119">
        <f ca="1">IF(AT48&gt;Design!$C$29,Design!$C$29,AT48)</f>
        <v>4.99903317535545</v>
      </c>
    </row>
    <row r="49" spans="1:47" ht="12.75" customHeight="1" x14ac:dyDescent="0.3">
      <c r="A49" s="112">
        <f>Design!$D$13</f>
        <v>85</v>
      </c>
      <c r="B49" s="113">
        <f t="shared" si="12"/>
        <v>11.569999999999995</v>
      </c>
      <c r="C49" s="114">
        <f>Design!$D$7</f>
        <v>2</v>
      </c>
      <c r="D49" s="114">
        <f ca="1">FORECAST(C49, OFFSET(Design!$C$15:$C$17,MATCH(C49,Design!$B$15:$B$17,1)-1,0,2), OFFSET(Design!$B$15:$B$17,MATCH(C49,Design!$B$15:$B$17,1)-1,0,2))+(M49-25)*Design!$B$18/1000</f>
        <v>0.38773143448618685</v>
      </c>
      <c r="E49" s="173">
        <f ca="1">IF(100*(Design!$C$29+D49+C49*IF(ISBLANK(Design!$B$43),Constants!$C$6,Design!$B$43)/1000*(1+Constants!$C$36/100*(N49-25)))/($B49+D49-C49*O49/1000)&gt;Design!$B$36,Design!$B$37,100*(Design!$C$29+D49+C49*IF(ISBLANK(Design!$B$43),Constants!$C$6,Design!$B$43)/1000*(1+Constants!$C$36/100*(N49-25)))/($B49+D49-C49*O49/1000))</f>
        <v>47.648283525533387</v>
      </c>
      <c r="F49" s="115">
        <f ca="1">IF(($B49-C49*IF(ISBLANK(Design!$B$43),Constants!$C$6,Design!$B$43)/1000*(1+Constants!$C$36/100*(N49-25))-Design!$C$29)/(IF(ISBLANK(Design!$B$42),Design!$B$40,Design!$B$42)/1000000)*E49/100/(IF(ISBLANK(Design!$B$33),Design!$B$32,Design!$B$33)*1000000)&lt;0,0,($B49-C49*IF(ISBLANK(Design!$B$43),Constants!$C$6,Design!$B$43)/1000*(1+Constants!$C$36/100*(N49-25))-Design!$C$29)/(IF(ISBLANK(Design!$B$42),Design!$B$40,Design!$B$42)/1000000)*E49/100/(IF(ISBLANK(Design!$B$33),Design!$B$32,Design!$B$33)*1000000))</f>
        <v>0.44405259250944817</v>
      </c>
      <c r="G49" s="165">
        <f>B49*Constants!$C$21/1000+IF(ISBLANK(Design!$B$33),Design!$B$32,Design!$B$33)*1000000*Constants!$D$25/1000000000*(B49-Constants!$C$24)</f>
        <v>0.12439049999999993</v>
      </c>
      <c r="H49" s="165">
        <f>B49*C49*(B49/(Constants!$C$26*1000000000)*IF(ISBLANK(Design!$B$33),Design!$B$32,Design!$B$33)*1000000/2+B49/(Constants!$C$27*1000000000)*IF(ISBLANK(Design!$B$33),Design!$B$32,Design!$B$33)*1000000/2)</f>
        <v>0.69744224155251089</v>
      </c>
      <c r="I49" s="165">
        <f t="shared" ca="1" si="13"/>
        <v>0.39813805365745386</v>
      </c>
      <c r="J49" s="165">
        <f>Constants!$D$25/1000000000*Constants!$C$24*IF(ISBLANK(Design!$B$33),Design!$B$32,Design!$B$33)*1000000</f>
        <v>6.8250000000000005E-2</v>
      </c>
      <c r="K49" s="165">
        <f ca="1">SUM(G49:J49)</f>
        <v>1.2882207952099647</v>
      </c>
      <c r="L49" s="165">
        <f t="shared" ca="1" si="17"/>
        <v>0.40596812252918163</v>
      </c>
      <c r="M49" s="166">
        <f ca="1">$A49+L49*Design!$B$19</f>
        <v>105.29840612645908</v>
      </c>
      <c r="N49" s="166">
        <f ca="1">K49*Design!$C$12+A49</f>
        <v>128.7995070371388</v>
      </c>
      <c r="O49" s="166">
        <f ca="1">Constants!$D$22+Constants!$D$22*Constants!$C$23/100*(N49-25)</f>
        <v>208.03960562971105</v>
      </c>
      <c r="P49" s="165">
        <f ca="1">IF(100*(Design!$C$29+D49+C49*IF(ISBLANK(Design!$B$43),Constants!$C$6,Design!$B$43)/1000*(1+Constants!$C$36/100*(N49-25)))/($B49+D49-C49*O49/1000)&gt;Design!$B$36,   (1-Constants!$D$20/1000000000*IF(ISBLANK(Design!$B$33),Design!$B$32/4,Design!$B$33/4)*1000000) * ($B49+D49-C49*O49/1000) - (D49+C49*(1+($A49-25)*Constants!$C$36/100)*IF(ISBLANK(Design!$B$43),Constants!$C$6/1000,Design!$B$43/1000)),  (1-Constants!$D$20/1000000000*IF(ISBLANK(Design!$B$33),Design!$B$32,Design!$B$33)*1000000) * ($B49+D49-C49*O49/1000) - (D49+C49*(1+($A49-25)*Constants!$C$36/100)*IF(ISBLANK(Design!$B$43),Constants!$C$6/1000,Design!$B$43/1000)))</f>
        <v>7.9041857317996662</v>
      </c>
      <c r="Q49" s="115">
        <f ca="1">IF(P49&gt;Design!$C$29,Design!$C$29,P49)</f>
        <v>4.99903317535545</v>
      </c>
      <c r="R49" s="116">
        <f>2*Design!$D$7/3</f>
        <v>1.3333333333333333</v>
      </c>
      <c r="S49" s="116">
        <f ca="1">FORECAST(R49, OFFSET(Design!$C$15:$C$17,MATCH(R49,Design!$B$15:$B$17,1)-1,0,2), OFFSET(Design!$B$15:$B$17,MATCH(R49,Design!$B$15:$B$17,1)-1,0,2))+(AB49-25)*Design!$B$18/1000</f>
        <v>0.34671745385218605</v>
      </c>
      <c r="T49" s="182">
        <f ca="1">IF(100*(Design!$C$29+S49+R49*IF(ISBLANK(Design!$B$43),Constants!$C$6,Design!$B$43)/1000*(1+Constants!$C$36/100*(AC49-25)))/($B49+S49-R49*AD49/1000)&gt;Design!$B$36,Design!$B$37,100*(Design!$C$29+S49+R49*IF(ISBLANK(Design!$B$43),Constants!$C$6,Design!$B$43)/1000*(1+Constants!$C$36/100*(AC49-25)))/($B49+S49-R49*AD49/1000))</f>
        <v>46.477081573878799</v>
      </c>
      <c r="U49" s="117">
        <f ca="1">IF(($B49-R49*IF(ISBLANK(Design!$B$43),Constants!$C$6,Design!$B$43)/1000*(1+Constants!$C$36/100*(AC49-25))-Design!$C$29)/(IF(ISBLANK(Design!$B$42),Design!$B$40,Design!$B$42)/1000000)*T49/100/(IF(ISBLANK(Design!$B$33),Design!$B$32,Design!$B$33)*1000000)&lt;0,0,($B49-R49*IF(ISBLANK(Design!$B$43),Constants!$C$6,Design!$B$43)/1000*(1+Constants!$C$36/100*(AC49-25))-Design!$C$29)/(IF(ISBLANK(Design!$B$42),Design!$B$40,Design!$B$42)/1000000)*T49/100/(IF(ISBLANK(Design!$B$33),Design!$B$32,Design!$B$33)*1000000))</f>
        <v>0.4358792968501074</v>
      </c>
      <c r="V49" s="183">
        <f>$B49*Constants!$C$21/1000+IF(ISBLANK(Design!$B$33),Design!$B$32,Design!$B$33)*1000000*Constants!$D$25/1000000000*($B49-Constants!$C$24)</f>
        <v>0.12439049999999993</v>
      </c>
      <c r="W49" s="183">
        <f>$B49*R49*($B49/(Constants!$C$26*1000000000)*IF(ISBLANK(Design!$B$33),Design!$B$32,Design!$B$33)*1000000/2+$B49/(Constants!$C$27*1000000000)*IF(ISBLANK(Design!$B$33),Design!$B$32,Design!$B$33)*1000000/2)</f>
        <v>0.46496149436834056</v>
      </c>
      <c r="X49" s="183">
        <f t="shared" ca="1" si="14"/>
        <v>0.16281841182783485</v>
      </c>
      <c r="Y49" s="183">
        <f>Constants!$D$25/1000000000*Constants!$C$24*IF(ISBLANK(Design!$B$33),Design!$B$32,Design!$B$33)*1000000</f>
        <v>6.8250000000000005E-2</v>
      </c>
      <c r="Z49" s="183">
        <f ca="1">SUM(V49:Y49)</f>
        <v>0.8204204061961754</v>
      </c>
      <c r="AA49" s="183">
        <f t="shared" ca="1" si="19"/>
        <v>0.24743106665923995</v>
      </c>
      <c r="AB49" s="184">
        <f ca="1">$A49+AA49*Design!$B$19</f>
        <v>97.371553332961994</v>
      </c>
      <c r="AC49" s="184">
        <f ca="1">Z49*Design!$C$12+$A49</f>
        <v>112.89429381066996</v>
      </c>
      <c r="AD49" s="184">
        <f ca="1">Constants!$D$22+Constants!$D$22*Constants!$C$23/100*(AC49-25)</f>
        <v>195.31543504853596</v>
      </c>
      <c r="AE49" s="183">
        <f ca="1">IF(100*(Design!$C$29+S49+R49*IF(ISBLANK(Design!$B$43),Constants!$C$6,Design!$B$43)/1000*(1+Constants!$C$36/100*(AC49-25)))/($B49+S49-R49*AD49/1000)&gt;Design!$B$36,   (1-Constants!$D$20/1000000000*IF(ISBLANK(Design!$B$33),Design!$B$32/4,Design!$B$33/4)*1000000) * ($B49+S49-R49*AD49/1000) - (S49+R49*(1+($A49-25)*Constants!$C$36/100)*IF(ISBLANK(Design!$B$43),Constants!$C$6/1000,Design!$B$43/1000)),  (1-Constants!$D$20/1000000000*IF(ISBLANK(Design!$B$33),Design!$B$32,Design!$B$33)*1000000) * ($B49+S49-R49*AD49/1000) - (S49+R49*(1+($A49-25)*Constants!$C$36/100)*IF(ISBLANK(Design!$B$43),Constants!$C$6/1000,Design!$B$43/1000)))</f>
        <v>8.0615010400579674</v>
      </c>
      <c r="AF49" s="117">
        <f ca="1">IF(AE49&gt;Design!$C$29,Design!$C$29,AE49)</f>
        <v>4.99903317535545</v>
      </c>
      <c r="AG49" s="118">
        <f>Design!$D$7/3</f>
        <v>0.66666666666666663</v>
      </c>
      <c r="AH49" s="118">
        <f ca="1">FORECAST(AG49, OFFSET(Design!$C$15:$C$17,MATCH(AG49,Design!$B$15:$B$17,1)-1,0,2), OFFSET(Design!$B$15:$B$17,MATCH(AG49,Design!$B$15:$B$17,1)-1,0,2))+(AQ49-25)*Design!$B$18/1000</f>
        <v>0.3047151269848174</v>
      </c>
      <c r="AI49" s="194">
        <f ca="1">IF(100*(Design!$C$29+AH49+AG49*IF(ISBLANK(Design!$B$43),Constants!$C$6,Design!$B$43)/1000*(1+Constants!$C$36/100*(AR49-25)))/($B49+AH49-AG49*AS49/1000)&gt;Design!$B$36,Design!$B$37,100*(Design!$C$29+AH49+AG49*IF(ISBLANK(Design!$B$43),Constants!$C$6,Design!$B$43)/1000*(1+Constants!$C$36/100*(AR49-25)))/($B49+AH49-AG49*AS49/1000))</f>
        <v>45.429066067392782</v>
      </c>
      <c r="AJ49" s="119">
        <f ca="1">IF(($B49-AG49*IF(ISBLANK(Design!$B$43),Constants!$C$6,Design!$B$43)/1000*(1+Constants!$C$36/100*(AR49-25))-Design!$C$29)/(IF(ISBLANK(Design!$B$42),Design!$B$40,Design!$B$42)/1000000)*AI49/100/(IF(ISBLANK(Design!$B$33),Design!$B$32,Design!$B$33)*1000000)&lt;0,0,($B49-AG49*IF(ISBLANK(Design!$B$43),Constants!$C$6,Design!$B$43)/1000*(1+Constants!$C$36/100*(AR49-25))-Design!$C$29)/(IF(ISBLANK(Design!$B$42),Design!$B$40,Design!$B$42)/1000000)*AI49/100/(IF(ISBLANK(Design!$B$33),Design!$B$32,Design!$B$33)*1000000))</f>
        <v>0.42848585173349418</v>
      </c>
      <c r="AK49" s="195">
        <f>$B49*Constants!$C$21/1000+IF(ISBLANK(Design!$B$33),Design!$B$32,Design!$B$33)*1000000*Constants!$D$25/1000000000*($B49-Constants!$C$24)</f>
        <v>0.12439049999999993</v>
      </c>
      <c r="AL49" s="195">
        <f>$B49*AG49*($B49/(Constants!$C$26*1000000000)*IF(ISBLANK(Design!$B$33),Design!$B$32,Design!$B$33)*1000000/2+$B49/(Constants!$C$27*1000000000)*IF(ISBLANK(Design!$B$33),Design!$B$32,Design!$B$33)*1000000/2)</f>
        <v>0.23248074718417028</v>
      </c>
      <c r="AM49" s="195">
        <f t="shared" ca="1" si="15"/>
        <v>3.8767686090511767E-2</v>
      </c>
      <c r="AN49" s="195">
        <f>Constants!$D$25/1000000000*Constants!$C$24*IF(ISBLANK(Design!$B$33),Design!$B$32,Design!$B$33)*1000000</f>
        <v>6.8250000000000005E-2</v>
      </c>
      <c r="AO49" s="195">
        <f ca="1">SUM(AK49:AN49)</f>
        <v>0.46388893327468195</v>
      </c>
      <c r="AP49" s="195">
        <f t="shared" ca="1" si="21"/>
        <v>0.11085726041969658</v>
      </c>
      <c r="AQ49" s="196">
        <f ca="1">$A49+AP49*Design!$B$19</f>
        <v>90.542863020984825</v>
      </c>
      <c r="AR49" s="196">
        <f ca="1">AO49*Design!$C$12+$A49</f>
        <v>100.77222373133918</v>
      </c>
      <c r="AS49" s="196">
        <f ca="1">Constants!$D$22+Constants!$D$22*Constants!$C$23/100*(AR49-25)</f>
        <v>185.61777898507134</v>
      </c>
      <c r="AT49" s="195">
        <f ca="1">IF(100*(Design!$C$29+AH49+AG49*IF(ISBLANK(Design!$B$43),Constants!$C$6,Design!$B$43)/1000*(1+Constants!$C$36/100*(AR49-25)))/($B49+AH49-AG49*AS49/1000)&gt;Design!$B$36,   (1-Constants!$D$20/1000000000*IF(ISBLANK(Design!$B$33),Design!$B$32/4,Design!$B$33/4)*1000000) * ($B49+AH49-AG49*AS49/1000) - (AH49+AG49*(1+($A49-25)*Constants!$C$36/100)*IF(ISBLANK(Design!$B$43),Constants!$C$6/1000,Design!$B$43/1000)),  (1-Constants!$D$20/1000000000*IF(ISBLANK(Design!$B$33),Design!$B$32,Design!$B$33)*1000000) * ($B49+AH49-AG49*AS49/1000) - (AH49+AG49*(1+($A49-25)*Constants!$C$36/100)*IF(ISBLANK(Design!$B$43),Constants!$C$6/1000,Design!$B$43/1000)))</f>
        <v>8.2052853534517087</v>
      </c>
      <c r="AU49" s="119">
        <f ca="1">IF(AT49&gt;Design!$C$29,Design!$C$29,AT49)</f>
        <v>4.99903317535545</v>
      </c>
    </row>
    <row r="50" spans="1:47" ht="12.75" customHeight="1" x14ac:dyDescent="0.3">
      <c r="A50" s="112">
        <f>Design!$D$13</f>
        <v>85</v>
      </c>
      <c r="B50" s="113">
        <f t="shared" si="12"/>
        <v>11.354999999999995</v>
      </c>
      <c r="C50" s="114">
        <f>Design!$D$7</f>
        <v>2</v>
      </c>
      <c r="D50" s="114">
        <f ca="1">FORECAST(C50, OFFSET(Design!$C$15:$C$17,MATCH(C50,Design!$B$15:$B$17,1)-1,0,2), OFFSET(Design!$B$15:$B$17,MATCH(C50,Design!$B$15:$B$17,1)-1,0,2))+(M50-25)*Design!$B$18/1000</f>
        <v>0.38803101962047581</v>
      </c>
      <c r="E50" s="173">
        <f ca="1">IF(100*(Design!$C$29+D50+C50*IF(ISBLANK(Design!$B$43),Constants!$C$6,Design!$B$43)/1000*(1+Constants!$C$36/100*(N50-25)))/($B50+D50-C50*O50/1000)&gt;Design!$B$36,Design!$B$37,100*(Design!$C$29+D50+C50*IF(ISBLANK(Design!$B$43),Constants!$C$6,Design!$B$43)/1000*(1+Constants!$C$36/100*(N50-25)))/($B50+D50-C50*O50/1000))</f>
        <v>48.546552348946982</v>
      </c>
      <c r="F50" s="115">
        <f ca="1">IF(($B50-C50*IF(ISBLANK(Design!$B$43),Constants!$C$6,Design!$B$43)/1000*(1+Constants!$C$36/100*(N50-25))-Design!$C$29)/(IF(ISBLANK(Design!$B$42),Design!$B$40,Design!$B$42)/1000000)*E50/100/(IF(ISBLANK(Design!$B$33),Design!$B$32,Design!$B$33)*1000000)&lt;0,0,($B50-C50*IF(ISBLANK(Design!$B$43),Constants!$C$6,Design!$B$43)/1000*(1+Constants!$C$36/100*(N50-25))-Design!$C$29)/(IF(ISBLANK(Design!$B$42),Design!$B$40,Design!$B$42)/1000000)*E50/100/(IF(ISBLANK(Design!$B$33),Design!$B$32,Design!$B$33)*1000000))</f>
        <v>0.43737980461065606</v>
      </c>
      <c r="G50" s="165">
        <f>B50*Constants!$C$21/1000+IF(ISBLANK(Design!$B$33),Design!$B$32,Design!$B$33)*1000000*Constants!$D$25/1000000000*(B50-Constants!$C$24)</f>
        <v>0.12081074999999993</v>
      </c>
      <c r="H50" s="165">
        <f>B50*C50*(B50/(Constants!$C$26*1000000000)*IF(ISBLANK(Design!$B$33),Design!$B$32,Design!$B$33)*1000000/2+B50/(Constants!$C$27*1000000000)*IF(ISBLANK(Design!$B$33),Design!$B$32,Design!$B$33)*1000000/2)</f>
        <v>0.67176257773972536</v>
      </c>
      <c r="I50" s="165">
        <f t="shared" ca="1" si="13"/>
        <v>0.40437332824165878</v>
      </c>
      <c r="J50" s="165">
        <f>Constants!$D$25/1000000000*Constants!$C$24*IF(ISBLANK(Design!$B$33),Design!$B$32,Design!$B$33)*1000000</f>
        <v>6.8250000000000005E-2</v>
      </c>
      <c r="K50" s="165">
        <f t="shared" ref="K50:K87" ca="1" si="22">SUM(G50:J50)</f>
        <v>1.2651966559813841</v>
      </c>
      <c r="L50" s="165">
        <f t="shared" ca="1" si="17"/>
        <v>0.39931067510053758</v>
      </c>
      <c r="M50" s="166">
        <f ca="1">$A50+L50*Design!$B$19</f>
        <v>104.96553375502688</v>
      </c>
      <c r="N50" s="166">
        <f ca="1">K50*Design!$C$12+A50</f>
        <v>128.01668630336707</v>
      </c>
      <c r="O50" s="166">
        <f ca="1">Constants!$D$22+Constants!$D$22*Constants!$C$23/100*(N50-25)</f>
        <v>207.41334904269365</v>
      </c>
      <c r="P50" s="165">
        <f ca="1">IF(100*(Design!$C$29+D50+C50*IF(ISBLANK(Design!$B$43),Constants!$C$6,Design!$B$43)/1000*(1+Constants!$C$36/100*(N50-25)))/($B50+D50-C50*O50/1000)&gt;Design!$B$36,   (1-Constants!$D$20/1000000000*IF(ISBLANK(Design!$B$33),Design!$B$32/4,Design!$B$33/4)*1000000) * ($B50+D50-C50*O50/1000) - (D50+C50*(1+($A50-25)*Constants!$C$36/100)*IF(ISBLANK(Design!$B$43),Constants!$C$6/1000,Design!$B$43/1000)),  (1-Constants!$D$20/1000000000*IF(ISBLANK(Design!$B$33),Design!$B$32,Design!$B$33)*1000000) * ($B50+D50-C50*O50/1000) - (D50+C50*(1+($A50-25)*Constants!$C$36/100)*IF(ISBLANK(Design!$B$43),Constants!$C$6/1000,Design!$B$43/1000)))</f>
        <v>7.7487095221355302</v>
      </c>
      <c r="Q50" s="115">
        <f ca="1">IF(P50&gt;Design!$C$29,Design!$C$29,P50)</f>
        <v>4.99903317535545</v>
      </c>
      <c r="R50" s="116">
        <f>2*Design!$D$7/3</f>
        <v>1.3333333333333333</v>
      </c>
      <c r="S50" s="116">
        <f ca="1">FORECAST(R50, OFFSET(Design!$C$15:$C$17,MATCH(R50,Design!$B$15:$B$17,1)-1,0,2), OFFSET(Design!$B$15:$B$17,MATCH(R50,Design!$B$15:$B$17,1)-1,0,2))+(AB50-25)*Design!$B$18/1000</f>
        <v>0.34689296614569715</v>
      </c>
      <c r="T50" s="182">
        <f ca="1">IF(100*(Design!$C$29+S50+R50*IF(ISBLANK(Design!$B$43),Constants!$C$6,Design!$B$43)/1000*(1+Constants!$C$36/100*(AC50-25)))/($B50+S50-R50*AD50/1000)&gt;Design!$B$36,Design!$B$37,100*(Design!$C$29+S50+R50*IF(ISBLANK(Design!$B$43),Constants!$C$6,Design!$B$43)/1000*(1+Constants!$C$36/100*(AC50-25)))/($B50+S50-R50*AD50/1000))</f>
        <v>47.347420406943293</v>
      </c>
      <c r="U50" s="117">
        <f ca="1">IF(($B50-R50*IF(ISBLANK(Design!$B$43),Constants!$C$6,Design!$B$43)/1000*(1+Constants!$C$36/100*(AC50-25))-Design!$C$29)/(IF(ISBLANK(Design!$B$42),Design!$B$40,Design!$B$42)/1000000)*T50/100/(IF(ISBLANK(Design!$B$33),Design!$B$32,Design!$B$33)*1000000)&lt;0,0,($B50-R50*IF(ISBLANK(Design!$B$43),Constants!$C$6,Design!$B$43)/1000*(1+Constants!$C$36/100*(AC50-25))-Design!$C$29)/(IF(ISBLANK(Design!$B$42),Design!$B$40,Design!$B$42)/1000000)*T50/100/(IF(ISBLANK(Design!$B$33),Design!$B$32,Design!$B$33)*1000000))</f>
        <v>0.42936116060756424</v>
      </c>
      <c r="V50" s="183">
        <f>$B50*Constants!$C$21/1000+IF(ISBLANK(Design!$B$33),Design!$B$32,Design!$B$33)*1000000*Constants!$D$25/1000000000*($B50-Constants!$C$24)</f>
        <v>0.12081074999999993</v>
      </c>
      <c r="W50" s="183">
        <f>$B50*R50*($B50/(Constants!$C$26*1000000000)*IF(ISBLANK(Design!$B$33),Design!$B$32,Design!$B$33)*1000000/2+$B50/(Constants!$C$27*1000000000)*IF(ISBLANK(Design!$B$33),Design!$B$32,Design!$B$33)*1000000/2)</f>
        <v>0.44784171849315024</v>
      </c>
      <c r="X50" s="183">
        <f t="shared" ca="1" si="14"/>
        <v>0.16540565254033651</v>
      </c>
      <c r="Y50" s="183">
        <f>Constants!$D$25/1000000000*Constants!$C$24*IF(ISBLANK(Design!$B$33),Design!$B$32,Design!$B$33)*1000000</f>
        <v>6.8250000000000005E-2</v>
      </c>
      <c r="Z50" s="183">
        <f t="shared" ref="Z50:Z87" ca="1" si="23">SUM(V50:Y50)</f>
        <v>0.8023081210334867</v>
      </c>
      <c r="AA50" s="183">
        <f t="shared" ca="1" si="19"/>
        <v>0.24353079347010462</v>
      </c>
      <c r="AB50" s="184">
        <f ca="1">$A50+AA50*Design!$B$19</f>
        <v>97.176539673505232</v>
      </c>
      <c r="AC50" s="184">
        <f ca="1">Z50*Design!$C$12+$A50</f>
        <v>112.27847611513855</v>
      </c>
      <c r="AD50" s="184">
        <f ca="1">Constants!$D$22+Constants!$D$22*Constants!$C$23/100*(AC50-25)</f>
        <v>194.82278089211084</v>
      </c>
      <c r="AE50" s="183">
        <f ca="1">IF(100*(Design!$C$29+S50+R50*IF(ISBLANK(Design!$B$43),Constants!$C$6,Design!$B$43)/1000*(1+Constants!$C$36/100*(AC50-25)))/($B50+S50-R50*AD50/1000)&gt;Design!$B$36,   (1-Constants!$D$20/1000000000*IF(ISBLANK(Design!$B$33),Design!$B$32/4,Design!$B$33/4)*1000000) * ($B50+S50-R50*AD50/1000) - (S50+R50*(1+($A50-25)*Constants!$C$36/100)*IF(ISBLANK(Design!$B$43),Constants!$C$6/1000,Design!$B$43/1000)),  (1-Constants!$D$20/1000000000*IF(ISBLANK(Design!$B$33),Design!$B$32,Design!$B$33)*1000000) * ($B50+S50-R50*AD50/1000) - (S50+R50*(1+($A50-25)*Constants!$C$36/100)*IF(ISBLANK(Design!$B$43),Constants!$C$6/1000,Design!$B$43/1000)))</f>
        <v>7.9056256712974688</v>
      </c>
      <c r="AF50" s="117">
        <f ca="1">IF(AE50&gt;Design!$C$29,Design!$C$29,AE50)</f>
        <v>4.99903317535545</v>
      </c>
      <c r="AG50" s="118">
        <f>Design!$D$7/3</f>
        <v>0.66666666666666663</v>
      </c>
      <c r="AH50" s="118">
        <f ca="1">FORECAST(AG50, OFFSET(Design!$C$15:$C$17,MATCH(AG50,Design!$B$15:$B$17,1)-1,0,2), OFFSET(Design!$B$15:$B$17,MATCH(AG50,Design!$B$15:$B$17,1)-1,0,2))+(AQ50-25)*Design!$B$18/1000</f>
        <v>0.30479122240747003</v>
      </c>
      <c r="AI50" s="194">
        <f ca="1">IF(100*(Design!$C$29+AH50+AG50*IF(ISBLANK(Design!$B$43),Constants!$C$6,Design!$B$43)/1000*(1+Constants!$C$36/100*(AR50-25)))/($B50+AH50-AG50*AS50/1000)&gt;Design!$B$36,Design!$B$37,100*(Design!$C$29+AH50+AG50*IF(ISBLANK(Design!$B$43),Constants!$C$6,Design!$B$43)/1000*(1+Constants!$C$36/100*(AR50-25)))/($B50+AH50-AG50*AS50/1000))</f>
        <v>46.274904097398561</v>
      </c>
      <c r="AJ50" s="119">
        <f ca="1">IF(($B50-AG50*IF(ISBLANK(Design!$B$43),Constants!$C$6,Design!$B$43)/1000*(1+Constants!$C$36/100*(AR50-25))-Design!$C$29)/(IF(ISBLANK(Design!$B$42),Design!$B$40,Design!$B$42)/1000000)*AI50/100/(IF(ISBLANK(Design!$B$33),Design!$B$32,Design!$B$33)*1000000)&lt;0,0,($B50-AG50*IF(ISBLANK(Design!$B$43),Constants!$C$6,Design!$B$43)/1000*(1+Constants!$C$36/100*(AR50-25))-Design!$C$29)/(IF(ISBLANK(Design!$B$42),Design!$B$40,Design!$B$42)/1000000)*AI50/100/(IF(ISBLANK(Design!$B$33),Design!$B$32,Design!$B$33)*1000000))</f>
        <v>0.42210994533506679</v>
      </c>
      <c r="AK50" s="195">
        <f>$B50*Constants!$C$21/1000+IF(ISBLANK(Design!$B$33),Design!$B$32,Design!$B$33)*1000000*Constants!$D$25/1000000000*($B50-Constants!$C$24)</f>
        <v>0.12081074999999993</v>
      </c>
      <c r="AL50" s="195">
        <f>$B50*AG50*($B50/(Constants!$C$26*1000000000)*IF(ISBLANK(Design!$B$33),Design!$B$32,Design!$B$33)*1000000/2+$B50/(Constants!$C$27*1000000000)*IF(ISBLANK(Design!$B$33),Design!$B$32,Design!$B$33)*1000000/2)</f>
        <v>0.22392085924657512</v>
      </c>
      <c r="AM50" s="195">
        <f t="shared" ca="1" si="15"/>
        <v>3.9384061202971769E-2</v>
      </c>
      <c r="AN50" s="195">
        <f>Constants!$D$25/1000000000*Constants!$C$24*IF(ISBLANK(Design!$B$33),Design!$B$32,Design!$B$33)*1000000</f>
        <v>6.8250000000000005E-2</v>
      </c>
      <c r="AO50" s="195">
        <f t="shared" ref="AO50:AO87" ca="1" si="24">SUM(AK50:AN50)</f>
        <v>0.45236567044954679</v>
      </c>
      <c r="AP50" s="195">
        <f t="shared" ca="1" si="21"/>
        <v>0.10916625102741634</v>
      </c>
      <c r="AQ50" s="196">
        <f ca="1">$A50+AP50*Design!$B$19</f>
        <v>90.458312551370824</v>
      </c>
      <c r="AR50" s="196">
        <f ca="1">AO50*Design!$C$12+$A50</f>
        <v>100.38043279528459</v>
      </c>
      <c r="AS50" s="196">
        <f ca="1">Constants!$D$22+Constants!$D$22*Constants!$C$23/100*(AR50-25)</f>
        <v>185.30434623622767</v>
      </c>
      <c r="AT50" s="195">
        <f ca="1">IF(100*(Design!$C$29+AH50+AG50*IF(ISBLANK(Design!$B$43),Constants!$C$6,Design!$B$43)/1000*(1+Constants!$C$36/100*(AR50-25)))/($B50+AH50-AG50*AS50/1000)&gt;Design!$B$36,   (1-Constants!$D$20/1000000000*IF(ISBLANK(Design!$B$33),Design!$B$32/4,Design!$B$33/4)*1000000) * ($B50+AH50-AG50*AS50/1000) - (AH50+AG50*(1+($A50-25)*Constants!$C$36/100)*IF(ISBLANK(Design!$B$43),Constants!$C$6/1000,Design!$B$43/1000)),  (1-Constants!$D$20/1000000000*IF(ISBLANK(Design!$B$33),Design!$B$32,Design!$B$33)*1000000) * ($B50+AH50-AG50*AS50/1000) - (AH50+AG50*(1+($A50-25)*Constants!$C$36/100)*IF(ISBLANK(Design!$B$43),Constants!$C$6/1000,Design!$B$43/1000)))</f>
        <v>8.0491114898069309</v>
      </c>
      <c r="AU50" s="119">
        <f ca="1">IF(AT50&gt;Design!$C$29,Design!$C$29,AT50)</f>
        <v>4.99903317535545</v>
      </c>
    </row>
    <row r="51" spans="1:47" ht="12.75" customHeight="1" x14ac:dyDescent="0.3">
      <c r="A51" s="112">
        <f>Design!$D$13</f>
        <v>85</v>
      </c>
      <c r="B51" s="113">
        <f t="shared" si="12"/>
        <v>11.139999999999995</v>
      </c>
      <c r="C51" s="114">
        <f>Design!$D$7</f>
        <v>2</v>
      </c>
      <c r="D51" s="114">
        <f ca="1">FORECAST(C51, OFFSET(Design!$C$15:$C$17,MATCH(C51,Design!$B$15:$B$17,1)-1,0,2), OFFSET(Design!$B$15:$B$17,MATCH(C51,Design!$B$15:$B$17,1)-1,0,2))+(M51-25)*Design!$B$18/1000</f>
        <v>0.3883427064220083</v>
      </c>
      <c r="E51" s="173">
        <f ca="1">IF(100*(Design!$C$29+D51+C51*IF(ISBLANK(Design!$B$43),Constants!$C$6,Design!$B$43)/1000*(1+Constants!$C$36/100*(N51-25)))/($B51+D51-C51*O51/1000)&gt;Design!$B$36,Design!$B$37,100*(Design!$C$29+D51+C51*IF(ISBLANK(Design!$B$43),Constants!$C$6,Design!$B$43)/1000*(1+Constants!$C$36/100*(N51-25)))/($B51+D51-C51*O51/1000))</f>
        <v>49.479635481199324</v>
      </c>
      <c r="F51" s="115">
        <f ca="1">IF(($B51-C51*IF(ISBLANK(Design!$B$43),Constants!$C$6,Design!$B$43)/1000*(1+Constants!$C$36/100*(N51-25))-Design!$C$29)/(IF(ISBLANK(Design!$B$42),Design!$B$40,Design!$B$42)/1000000)*E51/100/(IF(ISBLANK(Design!$B$33),Design!$B$32,Design!$B$33)*1000000)&lt;0,0,($B51-C51*IF(ISBLANK(Design!$B$43),Constants!$C$6,Design!$B$43)/1000*(1+Constants!$C$36/100*(N51-25))-Design!$C$29)/(IF(ISBLANK(Design!$B$42),Design!$B$40,Design!$B$42)/1000000)*E51/100/(IF(ISBLANK(Design!$B$33),Design!$B$32,Design!$B$33)*1000000))</f>
        <v>0.43045257473893811</v>
      </c>
      <c r="G51" s="165">
        <f>B51*Constants!$C$21/1000+IF(ISBLANK(Design!$B$33),Design!$B$32,Design!$B$33)*1000000*Constants!$D$25/1000000000*(B51-Constants!$C$24)</f>
        <v>0.11723099999999992</v>
      </c>
      <c r="H51" s="165">
        <f>B51*C51*(B51/(Constants!$C$26*1000000000)*IF(ISBLANK(Design!$B$33),Design!$B$32,Design!$B$33)*1000000/2+B51/(Constants!$C$27*1000000000)*IF(ISBLANK(Design!$B$33),Design!$B$32,Design!$B$33)*1000000/2)</f>
        <v>0.64656458264840122</v>
      </c>
      <c r="I51" s="165">
        <f t="shared" ca="1" si="13"/>
        <v>0.41089116085862565</v>
      </c>
      <c r="J51" s="165">
        <f>Constants!$D$25/1000000000*Constants!$C$24*IF(ISBLANK(Design!$B$33),Design!$B$32,Design!$B$33)*1000000</f>
        <v>6.8250000000000005E-2</v>
      </c>
      <c r="K51" s="165">
        <f t="shared" ca="1" si="22"/>
        <v>1.2429367435070267</v>
      </c>
      <c r="L51" s="165">
        <f t="shared" ca="1" si="17"/>
        <v>0.39238430173314909</v>
      </c>
      <c r="M51" s="166">
        <f ca="1">$A51+L51*Design!$B$19</f>
        <v>104.61921508665745</v>
      </c>
      <c r="N51" s="166">
        <f ca="1">K51*Design!$C$12+A51</f>
        <v>127.25984927923891</v>
      </c>
      <c r="O51" s="166">
        <f ca="1">Constants!$D$22+Constants!$D$22*Constants!$C$23/100*(N51-25)</f>
        <v>206.80787942339111</v>
      </c>
      <c r="P51" s="165">
        <f ca="1">IF(100*(Design!$C$29+D51+C51*IF(ISBLANK(Design!$B$43),Constants!$C$6,Design!$B$43)/1000*(1+Constants!$C$36/100*(N51-25)))/($B51+D51-C51*O51/1000)&gt;Design!$B$36,   (1-Constants!$D$20/1000000000*IF(ISBLANK(Design!$B$33),Design!$B$32/4,Design!$B$33/4)*1000000) * ($B51+D51-C51*O51/1000) - (D51+C51*(1+($A51-25)*Constants!$C$36/100)*IF(ISBLANK(Design!$B$43),Constants!$C$6/1000,Design!$B$43/1000)),  (1-Constants!$D$20/1000000000*IF(ISBLANK(Design!$B$33),Design!$B$32,Design!$B$33)*1000000) * ($B51+D51-C51*O51/1000) - (D51+C51*(1+($A51-25)*Constants!$C$36/100)*IF(ISBLANK(Design!$B$43),Constants!$C$6/1000,Design!$B$43/1000)))</f>
        <v>7.5931997844651766</v>
      </c>
      <c r="Q51" s="115">
        <f ca="1">IF(P51&gt;Design!$C$29,Design!$C$29,P51)</f>
        <v>4.99903317535545</v>
      </c>
      <c r="R51" s="116">
        <f>2*Design!$D$7/3</f>
        <v>1.3333333333333333</v>
      </c>
      <c r="S51" s="116">
        <f ca="1">FORECAST(R51, OFFSET(Design!$C$15:$C$17,MATCH(R51,Design!$B$15:$B$17,1)-1,0,2), OFFSET(Design!$B$15:$B$17,MATCH(R51,Design!$B$15:$B$17,1)-1,0,2))+(AB51-25)*Design!$B$18/1000</f>
        <v>0.34707538760415313</v>
      </c>
      <c r="T51" s="182">
        <f ca="1">IF(100*(Design!$C$29+S51+R51*IF(ISBLANK(Design!$B$43),Constants!$C$6,Design!$B$43)/1000*(1+Constants!$C$36/100*(AC51-25)))/($B51+S51-R51*AD51/1000)&gt;Design!$B$36,Design!$B$37,100*(Design!$C$29+S51+R51*IF(ISBLANK(Design!$B$43),Constants!$C$6,Design!$B$43)/1000*(1+Constants!$C$36/100*(AC51-25)))/($B51+S51-R51*AD51/1000))</f>
        <v>48.251087839598668</v>
      </c>
      <c r="U51" s="117">
        <f ca="1">IF(($B51-R51*IF(ISBLANK(Design!$B$43),Constants!$C$6,Design!$B$43)/1000*(1+Constants!$C$36/100*(AC51-25))-Design!$C$29)/(IF(ISBLANK(Design!$B$42),Design!$B$40,Design!$B$42)/1000000)*T51/100/(IF(ISBLANK(Design!$B$33),Design!$B$32,Design!$B$33)*1000000)&lt;0,0,($B51-R51*IF(ISBLANK(Design!$B$43),Constants!$C$6,Design!$B$43)/1000*(1+Constants!$C$36/100*(AC51-25))-Design!$C$29)/(IF(ISBLANK(Design!$B$42),Design!$B$40,Design!$B$42)/1000000)*T51/100/(IF(ISBLANK(Design!$B$33),Design!$B$32,Design!$B$33)*1000000))</f>
        <v>0.42259499862398797</v>
      </c>
      <c r="V51" s="183">
        <f>$B51*Constants!$C$21/1000+IF(ISBLANK(Design!$B$33),Design!$B$32,Design!$B$33)*1000000*Constants!$D$25/1000000000*($B51-Constants!$C$24)</f>
        <v>0.11723099999999992</v>
      </c>
      <c r="W51" s="183">
        <f>$B51*R51*($B51/(Constants!$C$26*1000000000)*IF(ISBLANK(Design!$B$33),Design!$B$32,Design!$B$33)*1000000/2+$B51/(Constants!$C$27*1000000000)*IF(ISBLANK(Design!$B$33),Design!$B$32,Design!$B$33)*1000000/2)</f>
        <v>0.43104305509893415</v>
      </c>
      <c r="X51" s="183">
        <f t="shared" ca="1" si="14"/>
        <v>0.16810138122929455</v>
      </c>
      <c r="Y51" s="183">
        <f>Constants!$D$25/1000000000*Constants!$C$24*IF(ISBLANK(Design!$B$33),Design!$B$32,Design!$B$33)*1000000</f>
        <v>6.8250000000000005E-2</v>
      </c>
      <c r="Z51" s="183">
        <f t="shared" ca="1" si="23"/>
        <v>0.78462543632822856</v>
      </c>
      <c r="AA51" s="183">
        <f t="shared" ca="1" si="19"/>
        <v>0.23947698328219422</v>
      </c>
      <c r="AB51" s="184">
        <f ca="1">$A51+AA51*Design!$B$19</f>
        <v>96.973849164109708</v>
      </c>
      <c r="AC51" s="184">
        <f ca="1">Z51*Design!$C$12+$A51</f>
        <v>111.67726483515978</v>
      </c>
      <c r="AD51" s="184">
        <f ca="1">Constants!$D$22+Constants!$D$22*Constants!$C$23/100*(AC51-25)</f>
        <v>194.34181186812782</v>
      </c>
      <c r="AE51" s="183">
        <f ca="1">IF(100*(Design!$C$29+S51+R51*IF(ISBLANK(Design!$B$43),Constants!$C$6,Design!$B$43)/1000*(1+Constants!$C$36/100*(AC51-25)))/($B51+S51-R51*AD51/1000)&gt;Design!$B$36,   (1-Constants!$D$20/1000000000*IF(ISBLANK(Design!$B$33),Design!$B$32/4,Design!$B$33/4)*1000000) * ($B51+S51-R51*AD51/1000) - (S51+R51*(1+($A51-25)*Constants!$C$36/100)*IF(ISBLANK(Design!$B$43),Constants!$C$6/1000,Design!$B$43/1000)),  (1-Constants!$D$20/1000000000*IF(ISBLANK(Design!$B$33),Design!$B$32,Design!$B$33)*1000000) * ($B51+S51-R51*AD51/1000) - (S51+R51*(1+($A51-25)*Constants!$C$36/100)*IF(ISBLANK(Design!$B$43),Constants!$C$6/1000,Design!$B$43/1000)))</f>
        <v>7.7497370895465574</v>
      </c>
      <c r="AF51" s="117">
        <f ca="1">IF(AE51&gt;Design!$C$29,Design!$C$29,AE51)</f>
        <v>4.99903317535545</v>
      </c>
      <c r="AG51" s="118">
        <f>Design!$D$7/3</f>
        <v>0.66666666666666663</v>
      </c>
      <c r="AH51" s="118">
        <f ca="1">FORECAST(AG51, OFFSET(Design!$C$15:$C$17,MATCH(AG51,Design!$B$15:$B$17,1)-1,0,2), OFFSET(Design!$B$15:$B$17,MATCH(AG51,Design!$B$15:$B$17,1)-1,0,2))+(AQ51-25)*Design!$B$18/1000</f>
        <v>0.30487024736851542</v>
      </c>
      <c r="AI51" s="194">
        <f ca="1">IF(100*(Design!$C$29+AH51+AG51*IF(ISBLANK(Design!$B$43),Constants!$C$6,Design!$B$43)/1000*(1+Constants!$C$36/100*(AR51-25)))/($B51+AH51-AG51*AS51/1000)&gt;Design!$B$36,Design!$B$37,100*(Design!$C$29+AH51+AG51*IF(ISBLANK(Design!$B$43),Constants!$C$6,Design!$B$43)/1000*(1+Constants!$C$36/100*(AR51-25)))/($B51+AH51-AG51*AS51/1000))</f>
        <v>47.152858449255305</v>
      </c>
      <c r="AJ51" s="119">
        <f ca="1">IF(($B51-AG51*IF(ISBLANK(Design!$B$43),Constants!$C$6,Design!$B$43)/1000*(1+Constants!$C$36/100*(AR51-25))-Design!$C$29)/(IF(ISBLANK(Design!$B$42),Design!$B$40,Design!$B$42)/1000000)*AI51/100/(IF(ISBLANK(Design!$B$33),Design!$B$32,Design!$B$33)*1000000)&lt;0,0,($B51-AG51*IF(ISBLANK(Design!$B$43),Constants!$C$6,Design!$B$43)/1000*(1+Constants!$C$36/100*(AR51-25))-Design!$C$29)/(IF(ISBLANK(Design!$B$42),Design!$B$40,Design!$B$42)/1000000)*AI51/100/(IF(ISBLANK(Design!$B$33),Design!$B$32,Design!$B$33)*1000000))</f>
        <v>0.41549225621731156</v>
      </c>
      <c r="AK51" s="195">
        <f>$B51*Constants!$C$21/1000+IF(ISBLANK(Design!$B$33),Design!$B$32,Design!$B$33)*1000000*Constants!$D$25/1000000000*($B51-Constants!$C$24)</f>
        <v>0.11723099999999992</v>
      </c>
      <c r="AL51" s="195">
        <f>$B51*AG51*($B51/(Constants!$C$26*1000000000)*IF(ISBLANK(Design!$B$33),Design!$B$32,Design!$B$33)*1000000/2+$B51/(Constants!$C$27*1000000000)*IF(ISBLANK(Design!$B$33),Design!$B$32,Design!$B$33)*1000000/2)</f>
        <v>0.21552152754946707</v>
      </c>
      <c r="AM51" s="195">
        <f t="shared" ca="1" si="15"/>
        <v>4.0024190885535681E-2</v>
      </c>
      <c r="AN51" s="195">
        <f>Constants!$D$25/1000000000*Constants!$C$24*IF(ISBLANK(Design!$B$33),Design!$B$32,Design!$B$33)*1000000</f>
        <v>6.8250000000000005E-2</v>
      </c>
      <c r="AO51" s="195">
        <f t="shared" ca="1" si="24"/>
        <v>0.44102671843500263</v>
      </c>
      <c r="AP51" s="195">
        <f t="shared" ca="1" si="21"/>
        <v>0.10741014078196325</v>
      </c>
      <c r="AQ51" s="196">
        <f ca="1">$A51+AP51*Design!$B$19</f>
        <v>90.370507039098158</v>
      </c>
      <c r="AR51" s="196">
        <f ca="1">AO51*Design!$C$12+$A51</f>
        <v>99.99490842679009</v>
      </c>
      <c r="AS51" s="196">
        <f ca="1">Constants!$D$22+Constants!$D$22*Constants!$C$23/100*(AR51-25)</f>
        <v>184.99592674143207</v>
      </c>
      <c r="AT51" s="195">
        <f ca="1">IF(100*(Design!$C$29+AH51+AG51*IF(ISBLANK(Design!$B$43),Constants!$C$6,Design!$B$43)/1000*(1+Constants!$C$36/100*(AR51-25)))/($B51+AH51-AG51*AS51/1000)&gt;Design!$B$36,   (1-Constants!$D$20/1000000000*IF(ISBLANK(Design!$B$33),Design!$B$32/4,Design!$B$33/4)*1000000) * ($B51+AH51-AG51*AS51/1000) - (AH51+AG51*(1+($A51-25)*Constants!$C$36/100)*IF(ISBLANK(Design!$B$43),Constants!$C$6/1000,Design!$B$43/1000)),  (1-Constants!$D$20/1000000000*IF(ISBLANK(Design!$B$33),Design!$B$32,Design!$B$33)*1000000) * ($B51+AH51-AG51*AS51/1000) - (AH51+AG51*(1+($A51-25)*Constants!$C$36/100)*IF(ISBLANK(Design!$B$43),Constants!$C$6/1000,Design!$B$43/1000)))</f>
        <v>7.8929343966410448</v>
      </c>
      <c r="AU51" s="119">
        <f ca="1">IF(AT51&gt;Design!$C$29,Design!$C$29,AT51)</f>
        <v>4.99903317535545</v>
      </c>
    </row>
    <row r="52" spans="1:47" ht="12.75" customHeight="1" x14ac:dyDescent="0.3">
      <c r="A52" s="112">
        <f>Design!$D$13</f>
        <v>85</v>
      </c>
      <c r="B52" s="113">
        <f t="shared" si="12"/>
        <v>10.924999999999995</v>
      </c>
      <c r="C52" s="114">
        <f>Design!$D$7</f>
        <v>2</v>
      </c>
      <c r="D52" s="114">
        <f ca="1">FORECAST(C52, OFFSET(Design!$C$15:$C$17,MATCH(C52,Design!$B$15:$B$17,1)-1,0,2), OFFSET(Design!$B$15:$B$17,MATCH(C52,Design!$B$15:$B$17,1)-1,0,2))+(M52-25)*Design!$B$18/1000</f>
        <v>0.38866724276704301</v>
      </c>
      <c r="E52" s="173">
        <f ca="1">IF(100*(Design!$C$29+D52+C52*IF(ISBLANK(Design!$B$43),Constants!$C$6,Design!$B$43)/1000*(1+Constants!$C$36/100*(N52-25)))/($B52+D52-C52*O52/1000)&gt;Design!$B$36,Design!$B$37,100*(Design!$C$29+D52+C52*IF(ISBLANK(Design!$B$43),Constants!$C$6,Design!$B$43)/1000*(1+Constants!$C$36/100*(N52-25)))/($B52+D52-C52*O52/1000))</f>
        <v>50.449595364348511</v>
      </c>
      <c r="F52" s="115">
        <f ca="1">IF(($B52-C52*IF(ISBLANK(Design!$B$43),Constants!$C$6,Design!$B$43)/1000*(1+Constants!$C$36/100*(N52-25))-Design!$C$29)/(IF(ISBLANK(Design!$B$42),Design!$B$40,Design!$B$42)/1000000)*E52/100/(IF(ISBLANK(Design!$B$33),Design!$B$32,Design!$B$33)*1000000)&lt;0,0,($B52-C52*IF(ISBLANK(Design!$B$43),Constants!$C$6,Design!$B$43)/1000*(1+Constants!$C$36/100*(N52-25))-Design!$C$29)/(IF(ISBLANK(Design!$B$42),Design!$B$40,Design!$B$42)/1000000)*E52/100/(IF(ISBLANK(Design!$B$33),Design!$B$32,Design!$B$33)*1000000))</f>
        <v>0.42325579230300248</v>
      </c>
      <c r="G52" s="165">
        <f>B52*Constants!$C$21/1000+IF(ISBLANK(Design!$B$33),Design!$B$32,Design!$B$33)*1000000*Constants!$D$25/1000000000*(B52-Constants!$C$24)</f>
        <v>0.11365124999999993</v>
      </c>
      <c r="H52" s="165">
        <f>B52*C52*(B52/(Constants!$C$26*1000000000)*IF(ISBLANK(Design!$B$33),Design!$B$32,Design!$B$33)*1000000/2+B52/(Constants!$C$27*1000000000)*IF(ISBLANK(Design!$B$33),Design!$B$32,Design!$B$33)*1000000/2)</f>
        <v>0.62184825627853835</v>
      </c>
      <c r="I52" s="165">
        <f t="shared" ca="1" si="13"/>
        <v>0.41770921947470013</v>
      </c>
      <c r="J52" s="165">
        <f>Constants!$D$25/1000000000*Constants!$C$24*IF(ISBLANK(Design!$B$33),Design!$B$32,Design!$B$33)*1000000</f>
        <v>6.8250000000000005E-2</v>
      </c>
      <c r="K52" s="165">
        <f t="shared" ca="1" si="22"/>
        <v>1.2214587257532383</v>
      </c>
      <c r="L52" s="165">
        <f t="shared" ca="1" si="17"/>
        <v>0.38517238295459943</v>
      </c>
      <c r="M52" s="166">
        <f ca="1">$A52+L52*Design!$B$19</f>
        <v>104.25861914772997</v>
      </c>
      <c r="N52" s="166">
        <f ca="1">K52*Design!$C$12+A52</f>
        <v>126.52959667561009</v>
      </c>
      <c r="O52" s="166">
        <f ca="1">Constants!$D$22+Constants!$D$22*Constants!$C$23/100*(N52-25)</f>
        <v>206.22367734048808</v>
      </c>
      <c r="P52" s="165">
        <f ca="1">IF(100*(Design!$C$29+D52+C52*IF(ISBLANK(Design!$B$43),Constants!$C$6,Design!$B$43)/1000*(1+Constants!$C$36/100*(N52-25)))/($B52+D52-C52*O52/1000)&gt;Design!$B$36,   (1-Constants!$D$20/1000000000*IF(ISBLANK(Design!$B$33),Design!$B$32/4,Design!$B$33/4)*1000000) * ($B52+D52-C52*O52/1000) - (D52+C52*(1+($A52-25)*Constants!$C$36/100)*IF(ISBLANK(Design!$B$43),Constants!$C$6/1000,Design!$B$43/1000)),  (1-Constants!$D$20/1000000000*IF(ISBLANK(Design!$B$33),Design!$B$32,Design!$B$33)*1000000) * ($B52+D52-C52*O52/1000) - (D52+C52*(1+($A52-25)*Constants!$C$36/100)*IF(ISBLANK(Design!$B$43),Constants!$C$6/1000,Design!$B$43/1000)))</f>
        <v>7.4376556158715248</v>
      </c>
      <c r="Q52" s="115">
        <f ca="1">IF(P52&gt;Design!$C$29,Design!$C$29,P52)</f>
        <v>4.99903317535545</v>
      </c>
      <c r="R52" s="116">
        <f>2*Design!$D$7/3</f>
        <v>1.3333333333333333</v>
      </c>
      <c r="S52" s="116">
        <f ca="1">FORECAST(R52, OFFSET(Design!$C$15:$C$17,MATCH(R52,Design!$B$15:$B$17,1)-1,0,2), OFFSET(Design!$B$15:$B$17,MATCH(R52,Design!$B$15:$B$17,1)-1,0,2))+(AB52-25)*Design!$B$18/1000</f>
        <v>0.34726513400676251</v>
      </c>
      <c r="T52" s="182">
        <f ca="1">IF(100*(Design!$C$29+S52+R52*IF(ISBLANK(Design!$B$43),Constants!$C$6,Design!$B$43)/1000*(1+Constants!$C$36/100*(AC52-25)))/($B52+S52-R52*AD52/1000)&gt;Design!$B$36,Design!$B$37,100*(Design!$C$29+S52+R52*IF(ISBLANK(Design!$B$43),Constants!$C$6,Design!$B$43)/1000*(1+Constants!$C$36/100*(AC52-25)))/($B52+S52-R52*AD52/1000))</f>
        <v>49.190033740986095</v>
      </c>
      <c r="U52" s="117">
        <f ca="1">IF(($B52-R52*IF(ISBLANK(Design!$B$43),Constants!$C$6,Design!$B$43)/1000*(1+Constants!$C$36/100*(AC52-25))-Design!$C$29)/(IF(ISBLANK(Design!$B$42),Design!$B$40,Design!$B$42)/1000000)*T52/100/(IF(ISBLANK(Design!$B$33),Design!$B$32,Design!$B$33)*1000000)&lt;0,0,($B52-R52*IF(ISBLANK(Design!$B$43),Constants!$C$6,Design!$B$43)/1000*(1+Constants!$C$36/100*(AC52-25))-Design!$C$29)/(IF(ISBLANK(Design!$B$42),Design!$B$40,Design!$B$42)/1000000)*T52/100/(IF(ISBLANK(Design!$B$33),Design!$B$32,Design!$B$33)*1000000))</f>
        <v>0.41556626654524464</v>
      </c>
      <c r="V52" s="183">
        <f>$B52*Constants!$C$21/1000+IF(ISBLANK(Design!$B$33),Design!$B$32,Design!$B$33)*1000000*Constants!$D$25/1000000000*($B52-Constants!$C$24)</f>
        <v>0.11365124999999993</v>
      </c>
      <c r="W52" s="183">
        <f>$B52*R52*($B52/(Constants!$C$26*1000000000)*IF(ISBLANK(Design!$B$33),Design!$B$32,Design!$B$33)*1000000/2+$B52/(Constants!$C$27*1000000000)*IF(ISBLANK(Design!$B$33),Design!$B$32,Design!$B$33)*1000000/2)</f>
        <v>0.41456550418569221</v>
      </c>
      <c r="X52" s="183">
        <f t="shared" ca="1" si="14"/>
        <v>0.17091208128961413</v>
      </c>
      <c r="Y52" s="183">
        <f>Constants!$D$25/1000000000*Constants!$C$24*IF(ISBLANK(Design!$B$33),Design!$B$32,Design!$B$33)*1000000</f>
        <v>6.8250000000000005E-2</v>
      </c>
      <c r="Z52" s="183">
        <f t="shared" ca="1" si="23"/>
        <v>0.76737883547530628</v>
      </c>
      <c r="AA52" s="183">
        <f t="shared" ca="1" si="19"/>
        <v>0.23526039655754061</v>
      </c>
      <c r="AB52" s="184">
        <f ca="1">$A52+AA52*Design!$B$19</f>
        <v>96.763019827877031</v>
      </c>
      <c r="AC52" s="184">
        <f ca="1">Z52*Design!$C$12+$A52</f>
        <v>111.09088040616041</v>
      </c>
      <c r="AD52" s="184">
        <f ca="1">Constants!$D$22+Constants!$D$22*Constants!$C$23/100*(AC52-25)</f>
        <v>193.87270432492835</v>
      </c>
      <c r="AE52" s="183">
        <f ca="1">IF(100*(Design!$C$29+S52+R52*IF(ISBLANK(Design!$B$43),Constants!$C$6,Design!$B$43)/1000*(1+Constants!$C$36/100*(AC52-25)))/($B52+S52-R52*AD52/1000)&gt;Design!$B$36,   (1-Constants!$D$20/1000000000*IF(ISBLANK(Design!$B$33),Design!$B$32/4,Design!$B$33/4)*1000000) * ($B52+S52-R52*AD52/1000) - (S52+R52*(1+($A52-25)*Constants!$C$36/100)*IF(ISBLANK(Design!$B$43),Constants!$C$6/1000,Design!$B$43/1000)),  (1-Constants!$D$20/1000000000*IF(ISBLANK(Design!$B$33),Design!$B$32,Design!$B$33)*1000000) * ($B52+S52-R52*AD52/1000) - (S52+R52*(1+($A52-25)*Constants!$C$36/100)*IF(ISBLANK(Design!$B$43),Constants!$C$6/1000,Design!$B$43/1000)))</f>
        <v>7.5938350103571866</v>
      </c>
      <c r="AF52" s="117">
        <f ca="1">IF(AE52&gt;Design!$C$29,Design!$C$29,AE52)</f>
        <v>4.99903317535545</v>
      </c>
      <c r="AG52" s="118">
        <f>Design!$D$7/3</f>
        <v>0.66666666666666663</v>
      </c>
      <c r="AH52" s="118">
        <f ca="1">FORECAST(AG52, OFFSET(Design!$C$15:$C$17,MATCH(AG52,Design!$B$15:$B$17,1)-1,0,2), OFFSET(Design!$B$15:$B$17,MATCH(AG52,Design!$B$15:$B$17,1)-1,0,2))+(AQ52-25)*Design!$B$18/1000</f>
        <v>0.3049523742787526</v>
      </c>
      <c r="AI52" s="194">
        <f ca="1">IF(100*(Design!$C$29+AH52+AG52*IF(ISBLANK(Design!$B$43),Constants!$C$6,Design!$B$43)/1000*(1+Constants!$C$36/100*(AR52-25)))/($B52+AH52-AG52*AS52/1000)&gt;Design!$B$36,Design!$B$37,100*(Design!$C$29+AH52+AG52*IF(ISBLANK(Design!$B$43),Constants!$C$6,Design!$B$43)/1000*(1+Constants!$C$36/100*(AR52-25)))/($B52+AH52-AG52*AS52/1000))</f>
        <v>48.064792781838982</v>
      </c>
      <c r="AJ52" s="119">
        <f ca="1">IF(($B52-AG52*IF(ISBLANK(Design!$B$43),Constants!$C$6,Design!$B$43)/1000*(1+Constants!$C$36/100*(AR52-25))-Design!$C$29)/(IF(ISBLANK(Design!$B$42),Design!$B$40,Design!$B$42)/1000000)*AI52/100/(IF(ISBLANK(Design!$B$33),Design!$B$32,Design!$B$33)*1000000)&lt;0,0,($B52-AG52*IF(ISBLANK(Design!$B$43),Constants!$C$6,Design!$B$43)/1000*(1+Constants!$C$36/100*(AR52-25))-Design!$C$29)/(IF(ISBLANK(Design!$B$42),Design!$B$40,Design!$B$42)/1000000)*AI52/100/(IF(ISBLANK(Design!$B$33),Design!$B$32,Design!$B$33)*1000000))</f>
        <v>0.40861873908436908</v>
      </c>
      <c r="AK52" s="195">
        <f>$B52*Constants!$C$21/1000+IF(ISBLANK(Design!$B$33),Design!$B$32,Design!$B$33)*1000000*Constants!$D$25/1000000000*($B52-Constants!$C$24)</f>
        <v>0.11365124999999993</v>
      </c>
      <c r="AL52" s="195">
        <f>$B52*AG52*($B52/(Constants!$C$26*1000000000)*IF(ISBLANK(Design!$B$33),Design!$B$32,Design!$B$33)*1000000/2+$B52/(Constants!$C$27*1000000000)*IF(ISBLANK(Design!$B$33),Design!$B$32,Design!$B$33)*1000000/2)</f>
        <v>0.20728275209284611</v>
      </c>
      <c r="AM52" s="195">
        <f t="shared" ca="1" si="15"/>
        <v>4.0689448900274441E-2</v>
      </c>
      <c r="AN52" s="195">
        <f>Constants!$D$25/1000000000*Constants!$C$24*IF(ISBLANK(Design!$B$33),Design!$B$32,Design!$B$33)*1000000</f>
        <v>6.8250000000000005E-2</v>
      </c>
      <c r="AO52" s="195">
        <f t="shared" ca="1" si="24"/>
        <v>0.42987345099312047</v>
      </c>
      <c r="AP52" s="195">
        <f t="shared" ca="1" si="21"/>
        <v>0.10558509833224808</v>
      </c>
      <c r="AQ52" s="196">
        <f ca="1">$A52+AP52*Design!$B$19</f>
        <v>90.279254916612402</v>
      </c>
      <c r="AR52" s="196">
        <f ca="1">AO52*Design!$C$12+$A52</f>
        <v>99.615697333766093</v>
      </c>
      <c r="AS52" s="196">
        <f ca="1">Constants!$D$22+Constants!$D$22*Constants!$C$23/100*(AR52-25)</f>
        <v>184.69255786701288</v>
      </c>
      <c r="AT52" s="195">
        <f ca="1">IF(100*(Design!$C$29+AH52+AG52*IF(ISBLANK(Design!$B$43),Constants!$C$6,Design!$B$43)/1000*(1+Constants!$C$36/100*(AR52-25)))/($B52+AH52-AG52*AS52/1000)&gt;Design!$B$36,   (1-Constants!$D$20/1000000000*IF(ISBLANK(Design!$B$33),Design!$B$32/4,Design!$B$33/4)*1000000) * ($B52+AH52-AG52*AS52/1000) - (AH52+AG52*(1+($A52-25)*Constants!$C$36/100)*IF(ISBLANK(Design!$B$43),Constants!$C$6/1000,Design!$B$43/1000)),  (1-Constants!$D$20/1000000000*IF(ISBLANK(Design!$B$33),Design!$B$32,Design!$B$33)*1000000) * ($B52+AH52-AG52*AS52/1000) - (AH52+AG52*(1+($A52-25)*Constants!$C$36/100)*IF(ISBLANK(Design!$B$43),Constants!$C$6/1000,Design!$B$43/1000)))</f>
        <v>7.7367540087756836</v>
      </c>
      <c r="AU52" s="119">
        <f ca="1">IF(AT52&gt;Design!$C$29,Design!$C$29,AT52)</f>
        <v>4.99903317535545</v>
      </c>
    </row>
    <row r="53" spans="1:47" ht="12.75" customHeight="1" x14ac:dyDescent="0.3">
      <c r="A53" s="112">
        <f>Design!$D$13</f>
        <v>85</v>
      </c>
      <c r="B53" s="113">
        <f t="shared" si="12"/>
        <v>10.709999999999996</v>
      </c>
      <c r="C53" s="114">
        <f>Design!$D$7</f>
        <v>2</v>
      </c>
      <c r="D53" s="114">
        <f ca="1">FORECAST(C53, OFFSET(Design!$C$15:$C$17,MATCH(C53,Design!$B$15:$B$17,1)-1,0,2), OFFSET(Design!$B$15:$B$17,MATCH(C53,Design!$B$15:$B$17,1)-1,0,2))+(M53-25)*Design!$B$18/1000</f>
        <v>0.3890054394948132</v>
      </c>
      <c r="E53" s="173">
        <f ca="1">IF(100*(Design!$C$29+D53+C53*IF(ISBLANK(Design!$B$43),Constants!$C$6,Design!$B$43)/1000*(1+Constants!$C$36/100*(N53-25)))/($B53+D53-C53*O53/1000)&gt;Design!$B$36,Design!$B$37,100*(Design!$C$29+D53+C53*IF(ISBLANK(Design!$B$43),Constants!$C$6,Design!$B$43)/1000*(1+Constants!$C$36/100*(N53-25)))/($B53+D53-C53*O53/1000))</f>
        <v>51.458660757326143</v>
      </c>
      <c r="F53" s="115">
        <f ca="1">IF(($B53-C53*IF(ISBLANK(Design!$B$43),Constants!$C$6,Design!$B$43)/1000*(1+Constants!$C$36/100*(N53-25))-Design!$C$29)/(IF(ISBLANK(Design!$B$42),Design!$B$40,Design!$B$42)/1000000)*E53/100/(IF(ISBLANK(Design!$B$33),Design!$B$32,Design!$B$33)*1000000)&lt;0,0,($B53-C53*IF(ISBLANK(Design!$B$43),Constants!$C$6,Design!$B$43)/1000*(1+Constants!$C$36/100*(N53-25))-Design!$C$29)/(IF(ISBLANK(Design!$B$42),Design!$B$40,Design!$B$42)/1000000)*E53/100/(IF(ISBLANK(Design!$B$33),Design!$B$32,Design!$B$33)*1000000))</f>
        <v>0.41577312893531637</v>
      </c>
      <c r="G53" s="165">
        <f>B53*Constants!$C$21/1000+IF(ISBLANK(Design!$B$33),Design!$B$32,Design!$B$33)*1000000*Constants!$D$25/1000000000*(B53-Constants!$C$24)</f>
        <v>0.11007149999999993</v>
      </c>
      <c r="H53" s="165">
        <f>B53*C53*(B53/(Constants!$C$26*1000000000)*IF(ISBLANK(Design!$B$33),Design!$B$32,Design!$B$33)*1000000/2+B53/(Constants!$C$27*1000000000)*IF(ISBLANK(Design!$B$33),Design!$B$32,Design!$B$33)*1000000/2)</f>
        <v>0.59761359863013652</v>
      </c>
      <c r="I53" s="165">
        <f t="shared" ca="1" si="13"/>
        <v>0.42484668268683801</v>
      </c>
      <c r="J53" s="165">
        <f>Constants!$D$25/1000000000*Constants!$C$24*IF(ISBLANK(Design!$B$33),Design!$B$32,Design!$B$33)*1000000</f>
        <v>6.8250000000000005E-2</v>
      </c>
      <c r="K53" s="165">
        <f t="shared" ca="1" si="22"/>
        <v>1.2007817813169743</v>
      </c>
      <c r="L53" s="165">
        <f t="shared" ca="1" si="17"/>
        <v>0.37765690011526332</v>
      </c>
      <c r="M53" s="166">
        <f ca="1">$A53+L53*Design!$B$19</f>
        <v>103.88284500576316</v>
      </c>
      <c r="N53" s="166">
        <f ca="1">K53*Design!$C$12+A53</f>
        <v>125.82658056477712</v>
      </c>
      <c r="O53" s="166">
        <f ca="1">Constants!$D$22+Constants!$D$22*Constants!$C$23/100*(N53-25)</f>
        <v>205.66126445182169</v>
      </c>
      <c r="P53" s="165">
        <f ca="1">IF(100*(Design!$C$29+D53+C53*IF(ISBLANK(Design!$B$43),Constants!$C$6,Design!$B$43)/1000*(1+Constants!$C$36/100*(N53-25)))/($B53+D53-C53*O53/1000)&gt;Design!$B$36,   (1-Constants!$D$20/1000000000*IF(ISBLANK(Design!$B$33),Design!$B$32/4,Design!$B$33/4)*1000000) * ($B53+D53-C53*O53/1000) - (D53+C53*(1+($A53-25)*Constants!$C$36/100)*IF(ISBLANK(Design!$B$43),Constants!$C$6/1000,Design!$B$43/1000)),  (1-Constants!$D$20/1000000000*IF(ISBLANK(Design!$B$33),Design!$B$32,Design!$B$33)*1000000) * ($B53+D53-C53*O53/1000) - (D53+C53*(1+($A53-25)*Constants!$C$36/100)*IF(ISBLANK(Design!$B$43),Constants!$C$6/1000,Design!$B$43/1000)))</f>
        <v>7.2820760365049644</v>
      </c>
      <c r="Q53" s="115">
        <f ca="1">IF(P53&gt;Design!$C$29,Design!$C$29,P53)</f>
        <v>4.99903317535545</v>
      </c>
      <c r="R53" s="116">
        <f>2*Design!$D$7/3</f>
        <v>1.3333333333333333</v>
      </c>
      <c r="S53" s="116">
        <f ca="1">FORECAST(R53, OFFSET(Design!$C$15:$C$17,MATCH(R53,Design!$B$15:$B$17,1)-1,0,2), OFFSET(Design!$B$15:$B$17,MATCH(R53,Design!$B$15:$B$17,1)-1,0,2))+(AB53-25)*Design!$B$18/1000</f>
        <v>0.34746265516473351</v>
      </c>
      <c r="T53" s="182">
        <f ca="1">IF(100*(Design!$C$29+S53+R53*IF(ISBLANK(Design!$B$43),Constants!$C$6,Design!$B$43)/1000*(1+Constants!$C$36/100*(AC53-25)))/($B53+S53-R53*AD53/1000)&gt;Design!$B$36,Design!$B$37,100*(Design!$C$29+S53+R53*IF(ISBLANK(Design!$B$43),Constants!$C$6,Design!$B$43)/1000*(1+Constants!$C$36/100*(AC53-25)))/($B53+S53-R53*AD53/1000))</f>
        <v>50.166363047981193</v>
      </c>
      <c r="U53" s="117">
        <f ca="1">IF(($B53-R53*IF(ISBLANK(Design!$B$43),Constants!$C$6,Design!$B$43)/1000*(1+Constants!$C$36/100*(AC53-25))-Design!$C$29)/(IF(ISBLANK(Design!$B$42),Design!$B$40,Design!$B$42)/1000000)*T53/100/(IF(ISBLANK(Design!$B$33),Design!$B$32,Design!$B$33)*1000000)&lt;0,0,($B53-R53*IF(ISBLANK(Design!$B$43),Constants!$C$6,Design!$B$43)/1000*(1+Constants!$C$36/100*(AC53-25))-Design!$C$29)/(IF(ISBLANK(Design!$B$42),Design!$B$40,Design!$B$42)/1000000)*T53/100/(IF(ISBLANK(Design!$B$33),Design!$B$32,Design!$B$33)*1000000))</f>
        <v>0.4082592621560458</v>
      </c>
      <c r="V53" s="183">
        <f>$B53*Constants!$C$21/1000+IF(ISBLANK(Design!$B$33),Design!$B$32,Design!$B$33)*1000000*Constants!$D$25/1000000000*($B53-Constants!$C$24)</f>
        <v>0.11007149999999993</v>
      </c>
      <c r="W53" s="183">
        <f>$B53*R53*($B53/(Constants!$C$26*1000000000)*IF(ISBLANK(Design!$B$33),Design!$B$32,Design!$B$33)*1000000/2+$B53/(Constants!$C$27*1000000000)*IF(ISBLANK(Design!$B$33),Design!$B$32,Design!$B$33)*1000000/2)</f>
        <v>0.39840906575342433</v>
      </c>
      <c r="X53" s="183">
        <f t="shared" ca="1" si="14"/>
        <v>0.17384476650182157</v>
      </c>
      <c r="Y53" s="183">
        <f>Constants!$D$25/1000000000*Constants!$C$24*IF(ISBLANK(Design!$B$33),Design!$B$32,Design!$B$33)*1000000</f>
        <v>6.8250000000000005E-2</v>
      </c>
      <c r="Z53" s="183">
        <f t="shared" ca="1" si="23"/>
        <v>0.75057533225524586</v>
      </c>
      <c r="AA53" s="183">
        <f t="shared" ca="1" si="19"/>
        <v>0.2308710374915178</v>
      </c>
      <c r="AB53" s="184">
        <f ca="1">$A53+AA53*Design!$B$19</f>
        <v>96.543551874575883</v>
      </c>
      <c r="AC53" s="184">
        <f ca="1">Z53*Design!$C$12+$A53</f>
        <v>110.51956129667836</v>
      </c>
      <c r="AD53" s="184">
        <f ca="1">Constants!$D$22+Constants!$D$22*Constants!$C$23/100*(AC53-25)</f>
        <v>193.41564903734269</v>
      </c>
      <c r="AE53" s="183">
        <f ca="1">IF(100*(Design!$C$29+S53+R53*IF(ISBLANK(Design!$B$43),Constants!$C$6,Design!$B$43)/1000*(1+Constants!$C$36/100*(AC53-25)))/($B53+S53-R53*AD53/1000)&gt;Design!$B$36,   (1-Constants!$D$20/1000000000*IF(ISBLANK(Design!$B$33),Design!$B$32/4,Design!$B$33/4)*1000000) * ($B53+S53-R53*AD53/1000) - (S53+R53*(1+($A53-25)*Constants!$C$36/100)*IF(ISBLANK(Design!$B$43),Constants!$C$6/1000,Design!$B$43/1000)),  (1-Constants!$D$20/1000000000*IF(ISBLANK(Design!$B$33),Design!$B$32,Design!$B$33)*1000000) * ($B53+S53-R53*AD53/1000) - (S53+R53*(1+($A53-25)*Constants!$C$36/100)*IF(ISBLANK(Design!$B$43),Constants!$C$6/1000,Design!$B$43/1000)))</f>
        <v>7.4379191260064923</v>
      </c>
      <c r="AF53" s="117">
        <f ca="1">IF(AE53&gt;Design!$C$29,Design!$C$29,AE53)</f>
        <v>4.99903317535545</v>
      </c>
      <c r="AG53" s="118">
        <f>Design!$D$7/3</f>
        <v>0.66666666666666663</v>
      </c>
      <c r="AH53" s="118">
        <f ca="1">FORECAST(AG53, OFFSET(Design!$C$15:$C$17,MATCH(AG53,Design!$B$15:$B$17,1)-1,0,2), OFFSET(Design!$B$15:$B$17,MATCH(AG53,Design!$B$15:$B$17,1)-1,0,2))+(AQ53-25)*Design!$B$18/1000</f>
        <v>0.30503778934417297</v>
      </c>
      <c r="AI53" s="194">
        <f ca="1">IF(100*(Design!$C$29+AH53+AG53*IF(ISBLANK(Design!$B$43),Constants!$C$6,Design!$B$43)/1000*(1+Constants!$C$36/100*(AR53-25)))/($B53+AH53-AG53*AS53/1000)&gt;Design!$B$36,Design!$B$37,100*(Design!$C$29+AH53+AG53*IF(ISBLANK(Design!$B$43),Constants!$C$6,Design!$B$43)/1000*(1+Constants!$C$36/100*(AR53-25)))/($B53+AH53-AG53*AS53/1000))</f>
        <v>49.01271774050894</v>
      </c>
      <c r="AJ53" s="119">
        <f ca="1">IF(($B53-AG53*IF(ISBLANK(Design!$B$43),Constants!$C$6,Design!$B$43)/1000*(1+Constants!$C$36/100*(AR53-25))-Design!$C$29)/(IF(ISBLANK(Design!$B$42),Design!$B$40,Design!$B$42)/1000000)*AI53/100/(IF(ISBLANK(Design!$B$33),Design!$B$32,Design!$B$33)*1000000)&lt;0,0,($B53-AG53*IF(ISBLANK(Design!$B$43),Constants!$C$6,Design!$B$43)/1000*(1+Constants!$C$36/100*(AR53-25))-Design!$C$29)/(IF(ISBLANK(Design!$B$42),Design!$B$40,Design!$B$42)/1000000)*AI53/100/(IF(ISBLANK(Design!$B$33),Design!$B$32,Design!$B$33)*1000000))</f>
        <v>0.40147424005730425</v>
      </c>
      <c r="AK53" s="195">
        <f>$B53*Constants!$C$21/1000+IF(ISBLANK(Design!$B$33),Design!$B$32,Design!$B$33)*1000000*Constants!$D$25/1000000000*($B53-Constants!$C$24)</f>
        <v>0.11007149999999993</v>
      </c>
      <c r="AL53" s="195">
        <f>$B53*AG53*($B53/(Constants!$C$26*1000000000)*IF(ISBLANK(Design!$B$33),Design!$B$32,Design!$B$33)*1000000/2+$B53/(Constants!$C$27*1000000000)*IF(ISBLANK(Design!$B$33),Design!$B$32,Design!$B$33)*1000000/2)</f>
        <v>0.19920453287671216</v>
      </c>
      <c r="AM53" s="195">
        <f t="shared" ca="1" si="15"/>
        <v>4.1381319903984519E-2</v>
      </c>
      <c r="AN53" s="195">
        <f>Constants!$D$25/1000000000*Constants!$C$24*IF(ISBLANK(Design!$B$33),Design!$B$32,Design!$B$33)*1000000</f>
        <v>6.8250000000000005E-2</v>
      </c>
      <c r="AO53" s="195">
        <f t="shared" ca="1" si="24"/>
        <v>0.41890735278069668</v>
      </c>
      <c r="AP53" s="195">
        <f t="shared" ca="1" si="21"/>
        <v>0.10368698576735015</v>
      </c>
      <c r="AQ53" s="196">
        <f ca="1">$A53+AP53*Design!$B$19</f>
        <v>90.184349288367514</v>
      </c>
      <c r="AR53" s="196">
        <f ca="1">AO53*Design!$C$12+$A53</f>
        <v>99.24284999454369</v>
      </c>
      <c r="AS53" s="196">
        <f ca="1">Constants!$D$22+Constants!$D$22*Constants!$C$23/100*(AR53-25)</f>
        <v>184.39427999563495</v>
      </c>
      <c r="AT53" s="195">
        <f ca="1">IF(100*(Design!$C$29+AH53+AG53*IF(ISBLANK(Design!$B$43),Constants!$C$6,Design!$B$43)/1000*(1+Constants!$C$36/100*(AR53-25)))/($B53+AH53-AG53*AS53/1000)&gt;Design!$B$36,   (1-Constants!$D$20/1000000000*IF(ISBLANK(Design!$B$33),Design!$B$32/4,Design!$B$33/4)*1000000) * ($B53+AH53-AG53*AS53/1000) - (AH53+AG53*(1+($A53-25)*Constants!$C$36/100)*IF(ISBLANK(Design!$B$43),Constants!$C$6/1000,Design!$B$43/1000)),  (1-Constants!$D$20/1000000000*IF(ISBLANK(Design!$B$33),Design!$B$32,Design!$B$33)*1000000) * ($B53+AH53-AG53*AS53/1000) - (AH53+AG53*(1+($A53-25)*Constants!$C$36/100)*IF(ISBLANK(Design!$B$43),Constants!$C$6/1000,Design!$B$43/1000)))</f>
        <v>7.5805702558044858</v>
      </c>
      <c r="AU53" s="119">
        <f ca="1">IF(AT53&gt;Design!$C$29,Design!$C$29,AT53)</f>
        <v>4.99903317535545</v>
      </c>
    </row>
    <row r="54" spans="1:47" ht="12.75" customHeight="1" x14ac:dyDescent="0.3">
      <c r="A54" s="112">
        <f>Design!$D$13</f>
        <v>85</v>
      </c>
      <c r="B54" s="113">
        <f t="shared" si="12"/>
        <v>10.494999999999996</v>
      </c>
      <c r="C54" s="114">
        <f>Design!$D$7</f>
        <v>2</v>
      </c>
      <c r="D54" s="114">
        <f ca="1">FORECAST(C54, OFFSET(Design!$C$15:$C$17,MATCH(C54,Design!$B$15:$B$17,1)-1,0,2), OFFSET(Design!$B$15:$B$17,MATCH(C54,Design!$B$15:$B$17,1)-1,0,2))+(M54-25)*Design!$B$18/1000</f>
        <v>0.38935817718098226</v>
      </c>
      <c r="E54" s="173">
        <f ca="1">IF(100*(Design!$C$29+D54+C54*IF(ISBLANK(Design!$B$43),Constants!$C$6,Design!$B$43)/1000*(1+Constants!$C$36/100*(N54-25)))/($B54+D54-C54*O54/1000)&gt;Design!$B$36,Design!$B$37,100*(Design!$C$29+D54+C54*IF(ISBLANK(Design!$B$43),Constants!$C$6,Design!$B$43)/1000*(1+Constants!$C$36/100*(N54-25)))/($B54+D54-C54*O54/1000))</f>
        <v>52.509243860677735</v>
      </c>
      <c r="F54" s="115">
        <f ca="1">IF(($B54-C54*IF(ISBLANK(Design!$B$43),Constants!$C$6,Design!$B$43)/1000*(1+Constants!$C$36/100*(N54-25))-Design!$C$29)/(IF(ISBLANK(Design!$B$42),Design!$B$40,Design!$B$42)/1000000)*E54/100/(IF(ISBLANK(Design!$B$33),Design!$B$32,Design!$B$33)*1000000)&lt;0,0,($B54-C54*IF(ISBLANK(Design!$B$43),Constants!$C$6,Design!$B$43)/1000*(1+Constants!$C$36/100*(N54-25))-Design!$C$29)/(IF(ISBLANK(Design!$B$42),Design!$B$40,Design!$B$42)/1000000)*E54/100/(IF(ISBLANK(Design!$B$33),Design!$B$32,Design!$B$33)*1000000))</f>
        <v>0.40798691319642305</v>
      </c>
      <c r="G54" s="165">
        <f>B54*Constants!$C$21/1000+IF(ISBLANK(Design!$B$33),Design!$B$32,Design!$B$33)*1000000*Constants!$D$25/1000000000*(B54-Constants!$C$24)</f>
        <v>0.10649174999999993</v>
      </c>
      <c r="H54" s="165">
        <f>B54*C54*(B54/(Constants!$C$26*1000000000)*IF(ISBLANK(Design!$B$33),Design!$B$32,Design!$B$33)*1000000/2+B54/(Constants!$C$27*1000000000)*IF(ISBLANK(Design!$B$33),Design!$B$32,Design!$B$33)*1000000/2)</f>
        <v>0.57386060970319597</v>
      </c>
      <c r="I54" s="165">
        <f t="shared" ca="1" si="13"/>
        <v>0.43232440520062371</v>
      </c>
      <c r="J54" s="165">
        <f>Constants!$D$25/1000000000*Constants!$C$24*IF(ISBLANK(Design!$B$33),Design!$B$32,Design!$B$33)*1000000</f>
        <v>6.8250000000000005E-2</v>
      </c>
      <c r="K54" s="165">
        <f t="shared" ca="1" si="22"/>
        <v>1.1809267649038195</v>
      </c>
      <c r="L54" s="165">
        <f t="shared" ca="1" si="17"/>
        <v>0.3698182848670612</v>
      </c>
      <c r="M54" s="166">
        <f ca="1">$A54+L54*Design!$B$19</f>
        <v>103.49091424335306</v>
      </c>
      <c r="N54" s="166">
        <f ca="1">K54*Design!$C$12+A54</f>
        <v>125.15151000672986</v>
      </c>
      <c r="O54" s="166">
        <f ca="1">Constants!$D$22+Constants!$D$22*Constants!$C$23/100*(N54-25)</f>
        <v>205.12120800538389</v>
      </c>
      <c r="P54" s="165">
        <f ca="1">IF(100*(Design!$C$29+D54+C54*IF(ISBLANK(Design!$B$43),Constants!$C$6,Design!$B$43)/1000*(1+Constants!$C$36/100*(N54-25)))/($B54+D54-C54*O54/1000)&gt;Design!$B$36,   (1-Constants!$D$20/1000000000*IF(ISBLANK(Design!$B$33),Design!$B$32/4,Design!$B$33/4)*1000000) * ($B54+D54-C54*O54/1000) - (D54+C54*(1+($A54-25)*Constants!$C$36/100)*IF(ISBLANK(Design!$B$43),Constants!$C$6/1000,Design!$B$43/1000)),  (1-Constants!$D$20/1000000000*IF(ISBLANK(Design!$B$33),Design!$B$32,Design!$B$33)*1000000) * ($B54+D54-C54*O54/1000) - (D54+C54*(1+($A54-25)*Constants!$C$36/100)*IF(ISBLANK(Design!$B$43),Constants!$C$6/1000,Design!$B$43/1000)))</f>
        <v>7.1264599811897611</v>
      </c>
      <c r="Q54" s="115">
        <f ca="1">IF(P54&gt;Design!$C$29,Design!$C$29,P54)</f>
        <v>4.99903317535545</v>
      </c>
      <c r="R54" s="116">
        <f>2*Design!$D$7/3</f>
        <v>1.3333333333333333</v>
      </c>
      <c r="S54" s="116">
        <f ca="1">FORECAST(R54, OFFSET(Design!$C$15:$C$17,MATCH(R54,Design!$B$15:$B$17,1)-1,0,2), OFFSET(Design!$B$15:$B$17,MATCH(R54,Design!$B$15:$B$17,1)-1,0,2))+(AB54-25)*Design!$B$18/1000</f>
        <v>0.3476684384746796</v>
      </c>
      <c r="T54" s="182">
        <f ca="1">IF(100*(Design!$C$29+S54+R54*IF(ISBLANK(Design!$B$43),Constants!$C$6,Design!$B$43)/1000*(1+Constants!$C$36/100*(AC54-25)))/($B54+S54-R54*AD54/1000)&gt;Design!$B$36,Design!$B$37,100*(Design!$C$29+S54+R54*IF(ISBLANK(Design!$B$43),Constants!$C$6,Design!$B$43)/1000*(1+Constants!$C$36/100*(AC54-25)))/($B54+S54-R54*AD54/1000))</f>
        <v>51.182351486712577</v>
      </c>
      <c r="U54" s="117">
        <f ca="1">IF(($B54-R54*IF(ISBLANK(Design!$B$43),Constants!$C$6,Design!$B$43)/1000*(1+Constants!$C$36/100*(AC54-25))-Design!$C$29)/(IF(ISBLANK(Design!$B$42),Design!$B$40,Design!$B$42)/1000000)*T54/100/(IF(ISBLANK(Design!$B$33),Design!$B$32,Design!$B$33)*1000000)&lt;0,0,($B54-R54*IF(ISBLANK(Design!$B$43),Constants!$C$6,Design!$B$43)/1000*(1+Constants!$C$36/100*(AC54-25))-Design!$C$29)/(IF(ISBLANK(Design!$B$42),Design!$B$40,Design!$B$42)/1000000)*T54/100/(IF(ISBLANK(Design!$B$33),Design!$B$32,Design!$B$33)*1000000))</f>
        <v>0.40065700786440789</v>
      </c>
      <c r="V54" s="183">
        <f>$B54*Constants!$C$21/1000+IF(ISBLANK(Design!$B$33),Design!$B$32,Design!$B$33)*1000000*Constants!$D$25/1000000000*($B54-Constants!$C$24)</f>
        <v>0.10649174999999993</v>
      </c>
      <c r="W54" s="183">
        <f>$B54*R54*($B54/(Constants!$C$26*1000000000)*IF(ISBLANK(Design!$B$33),Design!$B$32,Design!$B$33)*1000000/2+$B54/(Constants!$C$27*1000000000)*IF(ISBLANK(Design!$B$33),Design!$B$32,Design!$B$33)*1000000/2)</f>
        <v>0.38257373980213061</v>
      </c>
      <c r="X54" s="183">
        <f t="shared" ca="1" si="14"/>
        <v>0.17690703672476957</v>
      </c>
      <c r="Y54" s="183">
        <f>Constants!$D$25/1000000000*Constants!$C$24*IF(ISBLANK(Design!$B$33),Design!$B$32,Design!$B$33)*1000000</f>
        <v>6.8250000000000005E-2</v>
      </c>
      <c r="Z54" s="183">
        <f t="shared" ca="1" si="23"/>
        <v>0.73422252652690012</v>
      </c>
      <c r="AA54" s="183">
        <f t="shared" ca="1" si="19"/>
        <v>0.22629807504827204</v>
      </c>
      <c r="AB54" s="184">
        <f ca="1">$A54+AA54*Design!$B$19</f>
        <v>96.314903752413599</v>
      </c>
      <c r="AC54" s="184">
        <f ca="1">Z54*Design!$C$12+$A54</f>
        <v>109.96356590191461</v>
      </c>
      <c r="AD54" s="184">
        <f ca="1">Constants!$D$22+Constants!$D$22*Constants!$C$23/100*(AC54-25)</f>
        <v>192.97085272153168</v>
      </c>
      <c r="AE54" s="183">
        <f ca="1">IF(100*(Design!$C$29+S54+R54*IF(ISBLANK(Design!$B$43),Constants!$C$6,Design!$B$43)/1000*(1+Constants!$C$36/100*(AC54-25)))/($B54+S54-R54*AD54/1000)&gt;Design!$B$36,   (1-Constants!$D$20/1000000000*IF(ISBLANK(Design!$B$33),Design!$B$32/4,Design!$B$33/4)*1000000) * ($B54+S54-R54*AD54/1000) - (S54+R54*(1+($A54-25)*Constants!$C$36/100)*IF(ISBLANK(Design!$B$43),Constants!$C$6/1000,Design!$B$43/1000)),  (1-Constants!$D$20/1000000000*IF(ISBLANK(Design!$B$33),Design!$B$32,Design!$B$33)*1000000) * ($B54+S54-R54*AD54/1000) - (S54+R54*(1+($A54-25)*Constants!$C$36/100)*IF(ISBLANK(Design!$B$43),Constants!$C$6/1000,Design!$B$43/1000)))</f>
        <v>7.2819891030583372</v>
      </c>
      <c r="AF54" s="117">
        <f ca="1">IF(AE54&gt;Design!$C$29,Design!$C$29,AE54)</f>
        <v>4.99903317535545</v>
      </c>
      <c r="AG54" s="118">
        <f>Design!$D$7/3</f>
        <v>0.66666666666666663</v>
      </c>
      <c r="AH54" s="118">
        <f ca="1">FORECAST(AG54, OFFSET(Design!$C$15:$C$17,MATCH(AG54,Design!$B$15:$B$17,1)-1,0,2), OFFSET(Design!$B$15:$B$17,MATCH(AG54,Design!$B$15:$B$17,1)-1,0,2))+(AQ54-25)*Design!$B$18/1000</f>
        <v>0.30512669397338921</v>
      </c>
      <c r="AI54" s="194">
        <f ca="1">IF(100*(Design!$C$29+AH54+AG54*IF(ISBLANK(Design!$B$43),Constants!$C$6,Design!$B$43)/1000*(1+Constants!$C$36/100*(AR54-25)))/($B54+AH54-AG54*AS54/1000)&gt;Design!$B$36,Design!$B$37,100*(Design!$C$29+AH54+AG54*IF(ISBLANK(Design!$B$43),Constants!$C$6,Design!$B$43)/1000*(1+Constants!$C$36/100*(AR54-25)))/($B54+AH54-AG54*AS54/1000))</f>
        <v>49.998805734188089</v>
      </c>
      <c r="AJ54" s="119">
        <f ca="1">IF(($B54-AG54*IF(ISBLANK(Design!$B$43),Constants!$C$6,Design!$B$43)/1000*(1+Constants!$C$36/100*(AR54-25))-Design!$C$29)/(IF(ISBLANK(Design!$B$42),Design!$B$40,Design!$B$42)/1000000)*AI54/100/(IF(ISBLANK(Design!$B$33),Design!$B$32,Design!$B$33)*1000000)&lt;0,0,($B54-AG54*IF(ISBLANK(Design!$B$43),Constants!$C$6,Design!$B$43)/1000*(1+Constants!$C$36/100*(AR54-25))-Design!$C$29)/(IF(ISBLANK(Design!$B$42),Design!$B$40,Design!$B$42)/1000000)*AI54/100/(IF(ISBLANK(Design!$B$33),Design!$B$32,Design!$B$33)*1000000))</f>
        <v>0.3940423851380494</v>
      </c>
      <c r="AK54" s="195">
        <f>$B54*Constants!$C$21/1000+IF(ISBLANK(Design!$B$33),Design!$B$32,Design!$B$33)*1000000*Constants!$D$25/1000000000*($B54-Constants!$C$24)</f>
        <v>0.10649174999999993</v>
      </c>
      <c r="AL54" s="195">
        <f>$B54*AG54*($B54/(Constants!$C$26*1000000000)*IF(ISBLANK(Design!$B$33),Design!$B$32,Design!$B$33)*1000000/2+$B54/(Constants!$C$27*1000000000)*IF(ISBLANK(Design!$B$33),Design!$B$32,Design!$B$33)*1000000/2)</f>
        <v>0.1912868699010653</v>
      </c>
      <c r="AM54" s="195">
        <f t="shared" ca="1" si="15"/>
        <v>4.2101411167720933E-2</v>
      </c>
      <c r="AN54" s="195">
        <f>Constants!$D$25/1000000000*Constants!$C$24*IF(ISBLANK(Design!$B$33),Design!$B$32,Design!$B$33)*1000000</f>
        <v>6.8250000000000005E-2</v>
      </c>
      <c r="AO54" s="195">
        <f t="shared" ca="1" si="24"/>
        <v>0.4081300310687862</v>
      </c>
      <c r="AP54" s="195">
        <f t="shared" ca="1" si="21"/>
        <v>0.10171132734032248</v>
      </c>
      <c r="AQ54" s="196">
        <f ca="1">$A54+AP54*Design!$B$19</f>
        <v>90.085566367016128</v>
      </c>
      <c r="AR54" s="196">
        <f ca="1">AO54*Design!$C$12+$A54</f>
        <v>98.876421056338728</v>
      </c>
      <c r="AS54" s="196">
        <f ca="1">Constants!$D$22+Constants!$D$22*Constants!$C$23/100*(AR54-25)</f>
        <v>184.10113684507098</v>
      </c>
      <c r="AT54" s="195">
        <f ca="1">IF(100*(Design!$C$29+AH54+AG54*IF(ISBLANK(Design!$B$43),Constants!$C$6,Design!$B$43)/1000*(1+Constants!$C$36/100*(AR54-25)))/($B54+AH54-AG54*AS54/1000)&gt;Design!$B$36,   (1-Constants!$D$20/1000000000*IF(ISBLANK(Design!$B$33),Design!$B$32/4,Design!$B$33/4)*1000000) * ($B54+AH54-AG54*AS54/1000) - (AH54+AG54*(1+($A54-25)*Constants!$C$36/100)*IF(ISBLANK(Design!$B$43),Constants!$C$6/1000,Design!$B$43/1000)),  (1-Constants!$D$20/1000000000*IF(ISBLANK(Design!$B$33),Design!$B$32,Design!$B$33)*1000000) * ($B54+AH54-AG54*AS54/1000) - (AH54+AG54*(1+($A54-25)*Constants!$C$36/100)*IF(ISBLANK(Design!$B$43),Constants!$C$6/1000,Design!$B$43/1000)))</f>
        <v>7.4243830615543498</v>
      </c>
      <c r="AU54" s="119">
        <f ca="1">IF(AT54&gt;Design!$C$29,Design!$C$29,AT54)</f>
        <v>4.99903317535545</v>
      </c>
    </row>
    <row r="55" spans="1:47" ht="12.75" customHeight="1" x14ac:dyDescent="0.3">
      <c r="A55" s="112">
        <f>Design!$D$13</f>
        <v>85</v>
      </c>
      <c r="B55" s="113">
        <f t="shared" si="12"/>
        <v>10.279999999999996</v>
      </c>
      <c r="C55" s="114">
        <f>Design!$D$7</f>
        <v>2</v>
      </c>
      <c r="D55" s="114">
        <f ca="1">FORECAST(C55, OFFSET(Design!$C$15:$C$17,MATCH(C55,Design!$B$15:$B$17,1)-1,0,2), OFFSET(Design!$B$15:$B$17,MATCH(C55,Design!$B$15:$B$17,1)-1,0,2))+(M55-25)*Design!$B$18/1000</f>
        <v>0.3897264138054764</v>
      </c>
      <c r="E55" s="173">
        <f ca="1">IF(100*(Design!$C$29+D55+C55*IF(ISBLANK(Design!$B$43),Constants!$C$6,Design!$B$43)/1000*(1+Constants!$C$36/100*(N55-25)))/($B55+D55-C55*O55/1000)&gt;Design!$B$36,Design!$B$37,100*(Design!$C$29+D55+C55*IF(ISBLANK(Design!$B$43),Constants!$C$6,Design!$B$43)/1000*(1+Constants!$C$36/100*(N55-25)))/($B55+D55-C55*O55/1000))</f>
        <v>53.60395960386532</v>
      </c>
      <c r="F55" s="115">
        <f ca="1">IF(($B55-C55*IF(ISBLANK(Design!$B$43),Constants!$C$6,Design!$B$43)/1000*(1+Constants!$C$36/100*(N55-25))-Design!$C$29)/(IF(ISBLANK(Design!$B$42),Design!$B$40,Design!$B$42)/1000000)*E55/100/(IF(ISBLANK(Design!$B$33),Design!$B$32,Design!$B$33)*1000000)&lt;0,0,($B55-C55*IF(ISBLANK(Design!$B$43),Constants!$C$6,Design!$B$43)/1000*(1+Constants!$C$36/100*(N55-25))-Design!$C$29)/(IF(ISBLANK(Design!$B$42),Design!$B$40,Design!$B$42)/1000000)*E55/100/(IF(ISBLANK(Design!$B$33),Design!$B$32,Design!$B$33)*1000000))</f>
        <v>0.39987798947059527</v>
      </c>
      <c r="G55" s="165">
        <f>B55*Constants!$C$21/1000+IF(ISBLANK(Design!$B$33),Design!$B$32,Design!$B$33)*1000000*Constants!$D$25/1000000000*(B55-Constants!$C$24)</f>
        <v>0.10291199999999993</v>
      </c>
      <c r="H55" s="165">
        <f>B55*C55*(B55/(Constants!$C$26*1000000000)*IF(ISBLANK(Design!$B$33),Design!$B$32,Design!$B$33)*1000000/2+B55/(Constants!$C$27*1000000000)*IF(ISBLANK(Design!$B$33),Design!$B$32,Design!$B$33)*1000000/2)</f>
        <v>0.55058928949771646</v>
      </c>
      <c r="I55" s="165">
        <f t="shared" ca="1" si="13"/>
        <v>0.44016510561742023</v>
      </c>
      <c r="J55" s="165">
        <f>Constants!$D$25/1000000000*Constants!$C$24*IF(ISBLANK(Design!$B$33),Design!$B$32,Design!$B$33)*1000000</f>
        <v>6.8250000000000005E-2</v>
      </c>
      <c r="K55" s="165">
        <f t="shared" ca="1" si="22"/>
        <v>1.1619163951151366</v>
      </c>
      <c r="L55" s="165">
        <f t="shared" ca="1" si="17"/>
        <v>0.36163524876719161</v>
      </c>
      <c r="M55" s="166">
        <f ca="1">$A55+L55*Design!$B$19</f>
        <v>103.08176243835958</v>
      </c>
      <c r="N55" s="166">
        <f ca="1">K55*Design!$C$12+A55</f>
        <v>124.50515743391463</v>
      </c>
      <c r="O55" s="166">
        <f ca="1">Constants!$D$22+Constants!$D$22*Constants!$C$23/100*(N55-25)</f>
        <v>204.60412594713171</v>
      </c>
      <c r="P55" s="165">
        <f ca="1">IF(100*(Design!$C$29+D55+C55*IF(ISBLANK(Design!$B$43),Constants!$C$6,Design!$B$43)/1000*(1+Constants!$C$36/100*(N55-25)))/($B55+D55-C55*O55/1000)&gt;Design!$B$36,   (1-Constants!$D$20/1000000000*IF(ISBLANK(Design!$B$33),Design!$B$32/4,Design!$B$33/4)*1000000) * ($B55+D55-C55*O55/1000) - (D55+C55*(1+($A55-25)*Constants!$C$36/100)*IF(ISBLANK(Design!$B$43),Constants!$C$6/1000,Design!$B$43/1000)),  (1-Constants!$D$20/1000000000*IF(ISBLANK(Design!$B$33),Design!$B$32,Design!$B$33)*1000000) * ($B55+D55-C55*O55/1000) - (D55+C55*(1+($A55-25)*Constants!$C$36/100)*IF(ISBLANK(Design!$B$43),Constants!$C$6/1000,Design!$B$43/1000)))</f>
        <v>6.9708062899039724</v>
      </c>
      <c r="Q55" s="115">
        <f ca="1">IF(P55&gt;Design!$C$29,Design!$C$29,P55)</f>
        <v>4.99903317535545</v>
      </c>
      <c r="R55" s="116">
        <f>2*Design!$D$7/3</f>
        <v>1.3333333333333333</v>
      </c>
      <c r="S55" s="116">
        <f ca="1">FORECAST(R55, OFFSET(Design!$C$15:$C$17,MATCH(R55,Design!$B$15:$B$17,1)-1,0,2), OFFSET(Design!$B$15:$B$17,MATCH(R55,Design!$B$15:$B$17,1)-1,0,2))+(AB55-25)*Design!$B$18/1000</f>
        <v>0.34788301292658264</v>
      </c>
      <c r="T55" s="182">
        <f ca="1">IF(100*(Design!$C$29+S55+R55*IF(ISBLANK(Design!$B$43),Constants!$C$6,Design!$B$43)/1000*(1+Constants!$C$36/100*(AC55-25)))/($B55+S55-R55*AD55/1000)&gt;Design!$B$36,Design!$B$37,100*(Design!$C$29+S55+R55*IF(ISBLANK(Design!$B$43),Constants!$C$6,Design!$B$43)/1000*(1+Constants!$C$36/100*(AC55-25)))/($B55+S55-R55*AD55/1000))</f>
        <v>52.240463245551609</v>
      </c>
      <c r="U55" s="117">
        <f ca="1">IF(($B55-R55*IF(ISBLANK(Design!$B$43),Constants!$C$6,Design!$B$43)/1000*(1+Constants!$C$36/100*(AC55-25))-Design!$C$29)/(IF(ISBLANK(Design!$B$42),Design!$B$40,Design!$B$42)/1000000)*T55/100/(IF(ISBLANK(Design!$B$33),Design!$B$32,Design!$B$33)*1000000)&lt;0,0,($B55-R55*IF(ISBLANK(Design!$B$43),Constants!$C$6,Design!$B$43)/1000*(1+Constants!$C$36/100*(AC55-25))-Design!$C$29)/(IF(ISBLANK(Design!$B$42),Design!$B$40,Design!$B$42)/1000000)*T55/100/(IF(ISBLANK(Design!$B$33),Design!$B$32,Design!$B$33)*1000000))</f>
        <v>0.39274111858297994</v>
      </c>
      <c r="V55" s="183">
        <f>$B55*Constants!$C$21/1000+IF(ISBLANK(Design!$B$33),Design!$B$32,Design!$B$33)*1000000*Constants!$D$25/1000000000*($B55-Constants!$C$24)</f>
        <v>0.10291199999999993</v>
      </c>
      <c r="W55" s="183">
        <f>$B55*R55*($B55/(Constants!$C$26*1000000000)*IF(ISBLANK(Design!$B$33),Design!$B$32,Design!$B$33)*1000000/2+$B55/(Constants!$C$27*1000000000)*IF(ISBLANK(Design!$B$33),Design!$B$32,Design!$B$33)*1000000/2)</f>
        <v>0.36705952633181094</v>
      </c>
      <c r="X55" s="183">
        <f t="shared" ca="1" si="14"/>
        <v>0.18010714079821513</v>
      </c>
      <c r="Y55" s="183">
        <f>Constants!$D$25/1000000000*Constants!$C$24*IF(ISBLANK(Design!$B$33),Design!$B$32,Design!$B$33)*1000000</f>
        <v>6.8250000000000005E-2</v>
      </c>
      <c r="Z55" s="183">
        <f t="shared" ca="1" si="23"/>
        <v>0.71832866713002608</v>
      </c>
      <c r="AA55" s="183">
        <f t="shared" ca="1" si="19"/>
        <v>0.22152975389487159</v>
      </c>
      <c r="AB55" s="184">
        <f ca="1">$A55+AA55*Design!$B$19</f>
        <v>96.076487694743577</v>
      </c>
      <c r="AC55" s="184">
        <f ca="1">Z55*Design!$C$12+$A55</f>
        <v>109.42317468242089</v>
      </c>
      <c r="AD55" s="184">
        <f ca="1">Constants!$D$22+Constants!$D$22*Constants!$C$23/100*(AC55-25)</f>
        <v>192.5385397459367</v>
      </c>
      <c r="AE55" s="183">
        <f ca="1">IF(100*(Design!$C$29+S55+R55*IF(ISBLANK(Design!$B$43),Constants!$C$6,Design!$B$43)/1000*(1+Constants!$C$36/100*(AC55-25)))/($B55+S55-R55*AD55/1000)&gt;Design!$B$36,   (1-Constants!$D$20/1000000000*IF(ISBLANK(Design!$B$33),Design!$B$32/4,Design!$B$33/4)*1000000) * ($B55+S55-R55*AD55/1000) - (S55+R55*(1+($A55-25)*Constants!$C$36/100)*IF(ISBLANK(Design!$B$43),Constants!$C$6/1000,Design!$B$43/1000)),  (1-Constants!$D$20/1000000000*IF(ISBLANK(Design!$B$33),Design!$B$32,Design!$B$33)*1000000) * ($B55+S55-R55*AD55/1000) - (S55+R55*(1+($A55-25)*Constants!$C$36/100)*IF(ISBLANK(Design!$B$43),Constants!$C$6/1000,Design!$B$43/1000)))</f>
        <v>7.1260445796106451</v>
      </c>
      <c r="AF55" s="117">
        <f ca="1">IF(AE55&gt;Design!$C$29,Design!$C$29,AE55)</f>
        <v>4.99903317535545</v>
      </c>
      <c r="AG55" s="118">
        <f>Design!$D$7/3</f>
        <v>0.66666666666666663</v>
      </c>
      <c r="AH55" s="118">
        <f ca="1">FORECAST(AG55, OFFSET(Design!$C$15:$C$17,MATCH(AG55,Design!$B$15:$B$17,1)-1,0,2), OFFSET(Design!$B$15:$B$17,MATCH(AG55,Design!$B$15:$B$17,1)-1,0,2))+(AQ55-25)*Design!$B$18/1000</f>
        <v>0.30521930636089872</v>
      </c>
      <c r="AI55" s="194">
        <f ca="1">IF(100*(Design!$C$29+AH55+AG55*IF(ISBLANK(Design!$B$43),Constants!$C$6,Design!$B$43)/1000*(1+Constants!$C$36/100*(AR55-25)))/($B55+AH55-AG55*AS55/1000)&gt;Design!$B$36,Design!$B$37,100*(Design!$C$29+AH55+AG55*IF(ISBLANK(Design!$B$43),Constants!$C$6,Design!$B$43)/1000*(1+Constants!$C$36/100*(AR55-25)))/($B55+AH55-AG55*AS55/1000))</f>
        <v>51.025407531040862</v>
      </c>
      <c r="AJ55" s="119">
        <f ca="1">IF(($B55-AG55*IF(ISBLANK(Design!$B$43),Constants!$C$6,Design!$B$43)/1000*(1+Constants!$C$36/100*(AR55-25))-Design!$C$29)/(IF(ISBLANK(Design!$B$42),Design!$B$40,Design!$B$42)/1000000)*AI55/100/(IF(ISBLANK(Design!$B$33),Design!$B$32,Design!$B$33)*1000000)&lt;0,0,($B55-AG55*IF(ISBLANK(Design!$B$43),Constants!$C$6,Design!$B$43)/1000*(1+Constants!$C$36/100*(AR55-25))-Design!$C$29)/(IF(ISBLANK(Design!$B$42),Design!$B$40,Design!$B$42)/1000000)*AI55/100/(IF(ISBLANK(Design!$B$33),Design!$B$32,Design!$B$33)*1000000))</f>
        <v>0.38630545493583568</v>
      </c>
      <c r="AK55" s="195">
        <f>$B55*Constants!$C$21/1000+IF(ISBLANK(Design!$B$33),Design!$B$32,Design!$B$33)*1000000*Constants!$D$25/1000000000*($B55-Constants!$C$24)</f>
        <v>0.10291199999999993</v>
      </c>
      <c r="AL55" s="195">
        <f>$B55*AG55*($B55/(Constants!$C$26*1000000000)*IF(ISBLANK(Design!$B$33),Design!$B$32,Design!$B$33)*1000000/2+$B55/(Constants!$C$27*1000000000)*IF(ISBLANK(Design!$B$33),Design!$B$32,Design!$B$33)*1000000/2)</f>
        <v>0.18352976316590547</v>
      </c>
      <c r="AM55" s="195">
        <f t="shared" ca="1" si="15"/>
        <v>4.2851465850728111E-2</v>
      </c>
      <c r="AN55" s="195">
        <f>Constants!$D$25/1000000000*Constants!$C$24*IF(ISBLANK(Design!$B$33),Design!$B$32,Design!$B$33)*1000000</f>
        <v>6.8250000000000005E-2</v>
      </c>
      <c r="AO55" s="195">
        <f t="shared" ca="1" si="24"/>
        <v>0.39754322901663353</v>
      </c>
      <c r="AP55" s="195">
        <f t="shared" ca="1" si="21"/>
        <v>9.9653274284556004E-2</v>
      </c>
      <c r="AQ55" s="196">
        <f ca="1">$A55+AP55*Design!$B$19</f>
        <v>89.982663714227797</v>
      </c>
      <c r="AR55" s="196">
        <f ca="1">AO55*Design!$C$12+$A55</f>
        <v>98.516469786565537</v>
      </c>
      <c r="AS55" s="196">
        <f ca="1">Constants!$D$22+Constants!$D$22*Constants!$C$23/100*(AR55-25)</f>
        <v>183.81317582925243</v>
      </c>
      <c r="AT55" s="195">
        <f ca="1">IF(100*(Design!$C$29+AH55+AG55*IF(ISBLANK(Design!$B$43),Constants!$C$6,Design!$B$43)/1000*(1+Constants!$C$36/100*(AR55-25)))/($B55+AH55-AG55*AS55/1000)&gt;Design!$B$36,   (1-Constants!$D$20/1000000000*IF(ISBLANK(Design!$B$33),Design!$B$32/4,Design!$B$33/4)*1000000) * ($B55+AH55-AG55*AS55/1000) - (AH55+AG55*(1+($A55-25)*Constants!$C$36/100)*IF(ISBLANK(Design!$B$43),Constants!$C$6/1000,Design!$B$43/1000)),  (1-Constants!$D$20/1000000000*IF(ISBLANK(Design!$B$33),Design!$B$32,Design!$B$33)*1000000) * ($B55+AH55-AG55*AS55/1000) - (AH55+AG55*(1+($A55-25)*Constants!$C$36/100)*IF(ISBLANK(Design!$B$43),Constants!$C$6/1000,Design!$B$43/1000)))</f>
        <v>7.2681923434782272</v>
      </c>
      <c r="AU55" s="119">
        <f ca="1">IF(AT55&gt;Design!$C$29,Design!$C$29,AT55)</f>
        <v>4.99903317535545</v>
      </c>
    </row>
    <row r="56" spans="1:47" ht="12.75" customHeight="1" x14ac:dyDescent="0.3">
      <c r="A56" s="112">
        <f>Design!$D$13</f>
        <v>85</v>
      </c>
      <c r="B56" s="113">
        <f t="shared" si="12"/>
        <v>10.064999999999996</v>
      </c>
      <c r="C56" s="114">
        <f>Design!$D$7</f>
        <v>2</v>
      </c>
      <c r="D56" s="114">
        <f ca="1">FORECAST(C56, OFFSET(Design!$C$15:$C$17,MATCH(C56,Design!$B$15:$B$17,1)-1,0,2), OFFSET(Design!$B$15:$B$17,MATCH(C56,Design!$B$15:$B$17,1)-1,0,2))+(M56-25)*Design!$B$18/1000</f>
        <v>0.39011119345569883</v>
      </c>
      <c r="E56" s="173">
        <f ca="1">IF(100*(Design!$C$29+D56+C56*IF(ISBLANK(Design!$B$43),Constants!$C$6,Design!$B$43)/1000*(1+Constants!$C$36/100*(N56-25)))/($B56+D56-C56*O56/1000)&gt;Design!$B$36,Design!$B$37,100*(Design!$C$29+D56+C56*IF(ISBLANK(Design!$B$43),Constants!$C$6,Design!$B$43)/1000*(1+Constants!$C$36/100*(N56-25)))/($B56+D56-C56*O56/1000))</f>
        <v>54.745647420976177</v>
      </c>
      <c r="F56" s="115">
        <f ca="1">IF(($B56-C56*IF(ISBLANK(Design!$B$43),Constants!$C$6,Design!$B$43)/1000*(1+Constants!$C$36/100*(N56-25))-Design!$C$29)/(IF(ISBLANK(Design!$B$42),Design!$B$40,Design!$B$42)/1000000)*E56/100/(IF(ISBLANK(Design!$B$33),Design!$B$32,Design!$B$33)*1000000)&lt;0,0,($B56-C56*IF(ISBLANK(Design!$B$43),Constants!$C$6,Design!$B$43)/1000*(1+Constants!$C$36/100*(N56-25))-Design!$C$29)/(IF(ISBLANK(Design!$B$42),Design!$B$40,Design!$B$42)/1000000)*E56/100/(IF(ISBLANK(Design!$B$33),Design!$B$32,Design!$B$33)*1000000))</f>
        <v>0.39142555867340245</v>
      </c>
      <c r="G56" s="165">
        <f>B56*Constants!$C$21/1000+IF(ISBLANK(Design!$B$33),Design!$B$32,Design!$B$33)*1000000*Constants!$D$25/1000000000*(B56-Constants!$C$24)</f>
        <v>9.9332249999999928E-2</v>
      </c>
      <c r="H56" s="165">
        <f>B56*C56*(B56/(Constants!$C$26*1000000000)*IF(ISBLANK(Design!$B$33),Design!$B$32,Design!$B$33)*1000000/2+B56/(Constants!$C$27*1000000000)*IF(ISBLANK(Design!$B$33),Design!$B$32,Design!$B$33)*1000000/2)</f>
        <v>0.52779963801369822</v>
      </c>
      <c r="I56" s="165">
        <f t="shared" ca="1" si="13"/>
        <v>0.44839358013133251</v>
      </c>
      <c r="J56" s="165">
        <f>Constants!$D$25/1000000000*Constants!$C$24*IF(ISBLANK(Design!$B$33),Design!$B$32,Design!$B$33)*1000000</f>
        <v>6.8250000000000005E-2</v>
      </c>
      <c r="K56" s="165">
        <f t="shared" ca="1" si="22"/>
        <v>1.1437754681450305</v>
      </c>
      <c r="L56" s="165">
        <f t="shared" ca="1" si="17"/>
        <v>0.35308458987335933</v>
      </c>
      <c r="M56" s="166">
        <f ca="1">$A56+L56*Design!$B$19</f>
        <v>102.65422949366797</v>
      </c>
      <c r="N56" s="166">
        <f ca="1">K56*Design!$C$12+A56</f>
        <v>123.88836591693104</v>
      </c>
      <c r="O56" s="166">
        <f ca="1">Constants!$D$22+Constants!$D$22*Constants!$C$23/100*(N56-25)</f>
        <v>204.11069273354485</v>
      </c>
      <c r="P56" s="165">
        <f ca="1">IF(100*(Design!$C$29+D56+C56*IF(ISBLANK(Design!$B$43),Constants!$C$6,Design!$B$43)/1000*(1+Constants!$C$36/100*(N56-25)))/($B56+D56-C56*O56/1000)&gt;Design!$B$36,   (1-Constants!$D$20/1000000000*IF(ISBLANK(Design!$B$33),Design!$B$32/4,Design!$B$33/4)*1000000) * ($B56+D56-C56*O56/1000) - (D56+C56*(1+($A56-25)*Constants!$C$36/100)*IF(ISBLANK(Design!$B$43),Constants!$C$6/1000,Design!$B$43/1000)),  (1-Constants!$D$20/1000000000*IF(ISBLANK(Design!$B$33),Design!$B$32,Design!$B$33)*1000000) * ($B56+D56-C56*O56/1000) - (D56+C56*(1+($A56-25)*Constants!$C$36/100)*IF(ISBLANK(Design!$B$43),Constants!$C$6/1000,Design!$B$43/1000)))</f>
        <v>6.8151136969520163</v>
      </c>
      <c r="Q56" s="115">
        <f ca="1">IF(P56&gt;Design!$C$29,Design!$C$29,P56)</f>
        <v>4.99903317535545</v>
      </c>
      <c r="R56" s="116">
        <f>2*Design!$D$7/3</f>
        <v>1.3333333333333333</v>
      </c>
      <c r="S56" s="116">
        <f ca="1">FORECAST(R56, OFFSET(Design!$C$15:$C$17,MATCH(R56,Design!$B$15:$B$17,1)-1,0,2), OFFSET(Design!$B$15:$B$17,MATCH(R56,Design!$B$15:$B$17,1)-1,0,2))+(AB56-25)*Design!$B$18/1000</f>
        <v>0.34810695363560495</v>
      </c>
      <c r="T56" s="182">
        <f ca="1">IF(100*(Design!$C$29+S56+R56*IF(ISBLANK(Design!$B$43),Constants!$C$6,Design!$B$43)/1000*(1+Constants!$C$36/100*(AC56-25)))/($B56+S56-R56*AD56/1000)&gt;Design!$B$36,Design!$B$37,100*(Design!$C$29+S56+R56*IF(ISBLANK(Design!$B$43),Constants!$C$6,Design!$B$43)/1000*(1+Constants!$C$36/100*(AC56-25)))/($B56+S56-R56*AD56/1000))</f>
        <v>53.343370888018327</v>
      </c>
      <c r="U56" s="117">
        <f ca="1">IF(($B56-R56*IF(ISBLANK(Design!$B$43),Constants!$C$6,Design!$B$43)/1000*(1+Constants!$C$36/100*(AC56-25))-Design!$C$29)/(IF(ISBLANK(Design!$B$42),Design!$B$40,Design!$B$42)/1000000)*T56/100/(IF(ISBLANK(Design!$B$33),Design!$B$32,Design!$B$33)*1000000)&lt;0,0,($B56-R56*IF(ISBLANK(Design!$B$43),Constants!$C$6,Design!$B$43)/1000*(1+Constants!$C$36/100*(AC56-25))-Design!$C$29)/(IF(ISBLANK(Design!$B$42),Design!$B$40,Design!$B$42)/1000000)*T56/100/(IF(ISBLANK(Design!$B$33),Design!$B$32,Design!$B$33)*1000000))</f>
        <v>0.38449165284626752</v>
      </c>
      <c r="V56" s="183">
        <f>$B56*Constants!$C$21/1000+IF(ISBLANK(Design!$B$33),Design!$B$32,Design!$B$33)*1000000*Constants!$D$25/1000000000*($B56-Constants!$C$24)</f>
        <v>9.9332249999999928E-2</v>
      </c>
      <c r="W56" s="183">
        <f>$B56*R56*($B56/(Constants!$C$26*1000000000)*IF(ISBLANK(Design!$B$33),Design!$B$32,Design!$B$33)*1000000/2+$B56/(Constants!$C$27*1000000000)*IF(ISBLANK(Design!$B$33),Design!$B$32,Design!$B$33)*1000000/2)</f>
        <v>0.35186642534246548</v>
      </c>
      <c r="X56" s="183">
        <f t="shared" ca="1" si="14"/>
        <v>0.18345404777450894</v>
      </c>
      <c r="Y56" s="183">
        <f>Constants!$D$25/1000000000*Constants!$C$24*IF(ISBLANK(Design!$B$33),Design!$B$32,Design!$B$33)*1000000</f>
        <v>6.8250000000000005E-2</v>
      </c>
      <c r="Z56" s="183">
        <f t="shared" ca="1" si="23"/>
        <v>0.70290272311697433</v>
      </c>
      <c r="AA56" s="183">
        <f t="shared" ca="1" si="19"/>
        <v>0.21655329369437629</v>
      </c>
      <c r="AB56" s="184">
        <f ca="1">$A56+AA56*Design!$B$19</f>
        <v>95.827664684718812</v>
      </c>
      <c r="AC56" s="184">
        <f ca="1">Z56*Design!$C$12+$A56</f>
        <v>108.89869258597713</v>
      </c>
      <c r="AD56" s="184">
        <f ca="1">Constants!$D$22+Constants!$D$22*Constants!$C$23/100*(AC56-25)</f>
        <v>192.1189540687817</v>
      </c>
      <c r="AE56" s="183">
        <f ca="1">IF(100*(Design!$C$29+S56+R56*IF(ISBLANK(Design!$B$43),Constants!$C$6,Design!$B$43)/1000*(1+Constants!$C$36/100*(AC56-25)))/($B56+S56-R56*AD56/1000)&gt;Design!$B$36,   (1-Constants!$D$20/1000000000*IF(ISBLANK(Design!$B$33),Design!$B$32/4,Design!$B$33/4)*1000000) * ($B56+S56-R56*AD56/1000) - (S56+R56*(1+($A56-25)*Constants!$C$36/100)*IF(ISBLANK(Design!$B$43),Constants!$C$6/1000,Design!$B$43/1000)),  (1-Constants!$D$20/1000000000*IF(ISBLANK(Design!$B$33),Design!$B$32,Design!$B$33)*1000000) * ($B56+S56-R56*AD56/1000) - (S56+R56*(1+($A56-25)*Constants!$C$36/100)*IF(ISBLANK(Design!$B$43),Constants!$C$6/1000,Design!$B$43/1000)))</f>
        <v>6.9700851621801378</v>
      </c>
      <c r="AF56" s="117">
        <f ca="1">IF(AE56&gt;Design!$C$29,Design!$C$29,AE56)</f>
        <v>4.99903317535545</v>
      </c>
      <c r="AG56" s="118">
        <f>Design!$D$7/3</f>
        <v>0.66666666666666663</v>
      </c>
      <c r="AH56" s="118">
        <f ca="1">FORECAST(AG56, OFFSET(Design!$C$15:$C$17,MATCH(AG56,Design!$B$15:$B$17,1)-1,0,2), OFFSET(Design!$B$15:$B$17,MATCH(AG56,Design!$B$15:$B$17,1)-1,0,2))+(AQ56-25)*Design!$B$18/1000</f>
        <v>0.30531586327234661</v>
      </c>
      <c r="AI56" s="194">
        <f ca="1">IF(100*(Design!$C$29+AH56+AG56*IF(ISBLANK(Design!$B$43),Constants!$C$6,Design!$B$43)/1000*(1+Constants!$C$36/100*(AR56-25)))/($B56+AH56-AG56*AS56/1000)&gt;Design!$B$36,Design!$B$37,100*(Design!$C$29+AH56+AG56*IF(ISBLANK(Design!$B$43),Constants!$C$6,Design!$B$43)/1000*(1+Constants!$C$36/100*(AR56-25)))/($B56+AH56-AG56*AS56/1000))</f>
        <v>52.095070939226929</v>
      </c>
      <c r="AJ56" s="119">
        <f ca="1">IF(($B56-AG56*IF(ISBLANK(Design!$B$43),Constants!$C$6,Design!$B$43)/1000*(1+Constants!$C$36/100*(AR56-25))-Design!$C$29)/(IF(ISBLANK(Design!$B$42),Design!$B$40,Design!$B$42)/1000000)*AI56/100/(IF(ISBLANK(Design!$B$33),Design!$B$32,Design!$B$33)*1000000)&lt;0,0,($B56-AG56*IF(ISBLANK(Design!$B$43),Constants!$C$6,Design!$B$43)/1000*(1+Constants!$C$36/100*(AR56-25))-Design!$C$29)/(IF(ISBLANK(Design!$B$42),Design!$B$40,Design!$B$42)/1000000)*AI56/100/(IF(ISBLANK(Design!$B$33),Design!$B$32,Design!$B$33)*1000000))</f>
        <v>0.37824424364154591</v>
      </c>
      <c r="AK56" s="195">
        <f>$B56*Constants!$C$21/1000+IF(ISBLANK(Design!$B$33),Design!$B$32,Design!$B$33)*1000000*Constants!$D$25/1000000000*($B56-Constants!$C$24)</f>
        <v>9.9332249999999928E-2</v>
      </c>
      <c r="AL56" s="195">
        <f>$B56*AG56*($B56/(Constants!$C$26*1000000000)*IF(ISBLANK(Design!$B$33),Design!$B$32,Design!$B$33)*1000000/2+$B56/(Constants!$C$27*1000000000)*IF(ISBLANK(Design!$B$33),Design!$B$32,Design!$B$33)*1000000/2)</f>
        <v>0.17593321267123274</v>
      </c>
      <c r="AM56" s="195">
        <f t="shared" ca="1" si="15"/>
        <v>4.3633378079584242E-2</v>
      </c>
      <c r="AN56" s="195">
        <f>Constants!$D$25/1000000000*Constants!$C$24*IF(ISBLANK(Design!$B$33),Design!$B$32,Design!$B$33)*1000000</f>
        <v>6.8250000000000005E-2</v>
      </c>
      <c r="AO56" s="195">
        <f t="shared" ca="1" si="24"/>
        <v>0.3871488407508169</v>
      </c>
      <c r="AP56" s="195">
        <f t="shared" ca="1" si="21"/>
        <v>9.7507565141269695E-2</v>
      </c>
      <c r="AQ56" s="196">
        <f ca="1">$A56+AP56*Design!$B$19</f>
        <v>89.875378257063488</v>
      </c>
      <c r="AR56" s="196">
        <f ca="1">AO56*Design!$C$12+$A56</f>
        <v>98.163060585527774</v>
      </c>
      <c r="AS56" s="196">
        <f ca="1">Constants!$D$22+Constants!$D$22*Constants!$C$23/100*(AR56-25)</f>
        <v>183.53044846842221</v>
      </c>
      <c r="AT56" s="195">
        <f ca="1">IF(100*(Design!$C$29+AH56+AG56*IF(ISBLANK(Design!$B$43),Constants!$C$6,Design!$B$43)/1000*(1+Constants!$C$36/100*(AR56-25)))/($B56+AH56-AG56*AS56/1000)&gt;Design!$B$36,   (1-Constants!$D$20/1000000000*IF(ISBLANK(Design!$B$33),Design!$B$32/4,Design!$B$33/4)*1000000) * ($B56+AH56-AG56*AS56/1000) - (AH56+AG56*(1+($A56-25)*Constants!$C$36/100)*IF(ISBLANK(Design!$B$43),Constants!$C$6/1000,Design!$B$43/1000)),  (1-Constants!$D$20/1000000000*IF(ISBLANK(Design!$B$33),Design!$B$32,Design!$B$33)*1000000) * ($B56+AH56-AG56*AS56/1000) - (AH56+AG56*(1+($A56-25)*Constants!$C$36/100)*IF(ISBLANK(Design!$B$43),Constants!$C$6/1000,Design!$B$43/1000)))</f>
        <v>7.111998011968951</v>
      </c>
      <c r="AU56" s="119">
        <f ca="1">IF(AT56&gt;Design!$C$29,Design!$C$29,AT56)</f>
        <v>4.99903317535545</v>
      </c>
    </row>
    <row r="57" spans="1:47" ht="12.75" customHeight="1" x14ac:dyDescent="0.3">
      <c r="A57" s="112">
        <f>Design!$D$13</f>
        <v>85</v>
      </c>
      <c r="B57" s="113">
        <f t="shared" si="12"/>
        <v>9.8499999999999961</v>
      </c>
      <c r="C57" s="114">
        <f>Design!$D$7</f>
        <v>2</v>
      </c>
      <c r="D57" s="114">
        <f ca="1">FORECAST(C57, OFFSET(Design!$C$15:$C$17,MATCH(C57,Design!$B$15:$B$17,1)-1,0,2), OFFSET(Design!$B$15:$B$17,MATCH(C57,Design!$B$15:$B$17,1)-1,0,2))+(M57-25)*Design!$B$18/1000</f>
        <v>0.39051365623215362</v>
      </c>
      <c r="E57" s="173">
        <f ca="1">IF(100*(Design!$C$29+D57+C57*IF(ISBLANK(Design!$B$43),Constants!$C$6,Design!$B$43)/1000*(1+Constants!$C$36/100*(N57-25)))/($B57+D57-C57*O57/1000)&gt;Design!$B$36,Design!$B$37,100*(Design!$C$29+D57+C57*IF(ISBLANK(Design!$B$43),Constants!$C$6,Design!$B$43)/1000*(1+Constants!$C$36/100*(N57-25)))/($B57+D57-C57*O57/1000))</f>
        <v>55.937395898106132</v>
      </c>
      <c r="F57" s="115">
        <f ca="1">IF(($B57-C57*IF(ISBLANK(Design!$B$43),Constants!$C$6,Design!$B$43)/1000*(1+Constants!$C$36/100*(N57-25))-Design!$C$29)/(IF(ISBLANK(Design!$B$42),Design!$B$40,Design!$B$42)/1000000)*E57/100/(IF(ISBLANK(Design!$B$33),Design!$B$32,Design!$B$33)*1000000)&lt;0,0,($B57-C57*IF(ISBLANK(Design!$B$43),Constants!$C$6,Design!$B$43)/1000*(1+Constants!$C$36/100*(N57-25))-Design!$C$29)/(IF(ISBLANK(Design!$B$42),Design!$B$40,Design!$B$42)/1000000)*E57/100/(IF(ISBLANK(Design!$B$33),Design!$B$32,Design!$B$33)*1000000))</f>
        <v>0.38260699797299413</v>
      </c>
      <c r="G57" s="165">
        <f>B57*Constants!$C$21/1000+IF(ISBLANK(Design!$B$33),Design!$B$32,Design!$B$33)*1000000*Constants!$D$25/1000000000*(B57-Constants!$C$24)</f>
        <v>9.5752499999999949E-2</v>
      </c>
      <c r="H57" s="165">
        <f>B57*C57*(B57/(Constants!$C$26*1000000000)*IF(ISBLANK(Design!$B$33),Design!$B$32,Design!$B$33)*1000000/2+B57/(Constants!$C$27*1000000000)*IF(ISBLANK(Design!$B$33),Design!$B$32,Design!$B$33)*1000000/2)</f>
        <v>0.50549165525114115</v>
      </c>
      <c r="I57" s="165">
        <f t="shared" ca="1" si="13"/>
        <v>0.45703694641857928</v>
      </c>
      <c r="J57" s="165">
        <f>Constants!$D$25/1000000000*Constants!$C$24*IF(ISBLANK(Design!$B$33),Design!$B$32,Design!$B$33)*1000000</f>
        <v>6.8250000000000005E-2</v>
      </c>
      <c r="K57" s="165">
        <f t="shared" ca="1" si="22"/>
        <v>1.1265311016697201</v>
      </c>
      <c r="L57" s="165">
        <f t="shared" ca="1" si="17"/>
        <v>0.34414097261880927</v>
      </c>
      <c r="M57" s="166">
        <f ca="1">$A57+L57*Design!$B$19</f>
        <v>102.20704863094046</v>
      </c>
      <c r="N57" s="166">
        <f ca="1">K57*Design!$C$12+A57</f>
        <v>123.30205745677048</v>
      </c>
      <c r="O57" s="166">
        <f ca="1">Constants!$D$22+Constants!$D$22*Constants!$C$23/100*(N57-25)</f>
        <v>203.64164596541639</v>
      </c>
      <c r="P57" s="165">
        <f ca="1">IF(100*(Design!$C$29+D57+C57*IF(ISBLANK(Design!$B$43),Constants!$C$6,Design!$B$43)/1000*(1+Constants!$C$36/100*(N57-25)))/($B57+D57-C57*O57/1000)&gt;Design!$B$36,   (1-Constants!$D$20/1000000000*IF(ISBLANK(Design!$B$33),Design!$B$32/4,Design!$B$33/4)*1000000) * ($B57+D57-C57*O57/1000) - (D57+C57*(1+($A57-25)*Constants!$C$36/100)*IF(ISBLANK(Design!$B$43),Constants!$C$6/1000,Design!$B$43/1000)),  (1-Constants!$D$20/1000000000*IF(ISBLANK(Design!$B$33),Design!$B$32,Design!$B$33)*1000000) * ($B57+D57-C57*O57/1000) - (D57+C57*(1+($A57-25)*Constants!$C$36/100)*IF(ISBLANK(Design!$B$43),Constants!$C$6/1000,Design!$B$43/1000)))</f>
        <v>6.6593808186149035</v>
      </c>
      <c r="Q57" s="115">
        <f ca="1">IF(P57&gt;Design!$C$29,Design!$C$29,P57)</f>
        <v>4.99903317535545</v>
      </c>
      <c r="R57" s="116">
        <f>2*Design!$D$7/3</f>
        <v>1.3333333333333333</v>
      </c>
      <c r="S57" s="116">
        <f ca="1">FORECAST(R57, OFFSET(Design!$C$15:$C$17,MATCH(R57,Design!$B$15:$B$17,1)-1,0,2), OFFSET(Design!$B$15:$B$17,MATCH(R57,Design!$B$15:$B$17,1)-1,0,2))+(AB57-25)*Design!$B$18/1000</f>
        <v>0.34834088697937649</v>
      </c>
      <c r="T57" s="182">
        <f ca="1">IF(100*(Design!$C$29+S57+R57*IF(ISBLANK(Design!$B$43),Constants!$C$6,Design!$B$43)/1000*(1+Constants!$C$36/100*(AC57-25)))/($B57+S57-R57*AD57/1000)&gt;Design!$B$36,Design!$B$37,100*(Design!$C$29+S57+R57*IF(ISBLANK(Design!$B$43),Constants!$C$6,Design!$B$43)/1000*(1+Constants!$C$36/100*(AC57-25)))/($B57+S57-R57*AD57/1000))</f>
        <v>54.493977843804373</v>
      </c>
      <c r="U57" s="117">
        <f ca="1">IF(($B57-R57*IF(ISBLANK(Design!$B$43),Constants!$C$6,Design!$B$43)/1000*(1+Constants!$C$36/100*(AC57-25))-Design!$C$29)/(IF(ISBLANK(Design!$B$42),Design!$B$40,Design!$B$42)/1000000)*T57/100/(IF(ISBLANK(Design!$B$33),Design!$B$32,Design!$B$33)*1000000)&lt;0,0,($B57-R57*IF(ISBLANK(Design!$B$43),Constants!$C$6,Design!$B$43)/1000*(1+Constants!$C$36/100*(AC57-25))-Design!$C$29)/(IF(ISBLANK(Design!$B$42),Design!$B$40,Design!$B$42)/1000000)*T57/100/(IF(ISBLANK(Design!$B$33),Design!$B$32,Design!$B$33)*1000000))</f>
        <v>0.37588694462961686</v>
      </c>
      <c r="V57" s="183">
        <f>$B57*Constants!$C$21/1000+IF(ISBLANK(Design!$B$33),Design!$B$32,Design!$B$33)*1000000*Constants!$D$25/1000000000*($B57-Constants!$C$24)</f>
        <v>9.5752499999999949E-2</v>
      </c>
      <c r="W57" s="183">
        <f>$B57*R57*($B57/(Constants!$C$26*1000000000)*IF(ISBLANK(Design!$B$33),Design!$B$32,Design!$B$33)*1000000/2+$B57/(Constants!$C$27*1000000000)*IF(ISBLANK(Design!$B$33),Design!$B$32,Design!$B$33)*1000000/2)</f>
        <v>0.33699443683409408</v>
      </c>
      <c r="X57" s="183">
        <f t="shared" ca="1" si="14"/>
        <v>0.18695752780280142</v>
      </c>
      <c r="Y57" s="183">
        <f>Constants!$D$25/1000000000*Constants!$C$24*IF(ISBLANK(Design!$B$33),Design!$B$32,Design!$B$33)*1000000</f>
        <v>6.8250000000000005E-2</v>
      </c>
      <c r="Z57" s="183">
        <f t="shared" ca="1" si="23"/>
        <v>0.68795446463689547</v>
      </c>
      <c r="AA57" s="183">
        <f t="shared" ca="1" si="19"/>
        <v>0.2113547749438979</v>
      </c>
      <c r="AB57" s="184">
        <f ca="1">$A57+AA57*Design!$B$19</f>
        <v>95.567738747194895</v>
      </c>
      <c r="AC57" s="184">
        <f ca="1">Z57*Design!$C$12+$A57</f>
        <v>108.39045179765445</v>
      </c>
      <c r="AD57" s="184">
        <f ca="1">Constants!$D$22+Constants!$D$22*Constants!$C$23/100*(AC57-25)</f>
        <v>191.71236143812357</v>
      </c>
      <c r="AE57" s="183">
        <f ca="1">IF(100*(Design!$C$29+S57+R57*IF(ISBLANK(Design!$B$43),Constants!$C$6,Design!$B$43)/1000*(1+Constants!$C$36/100*(AC57-25)))/($B57+S57-R57*AD57/1000)&gt;Design!$B$36,   (1-Constants!$D$20/1000000000*IF(ISBLANK(Design!$B$33),Design!$B$32/4,Design!$B$33/4)*1000000) * ($B57+S57-R57*AD57/1000) - (S57+R57*(1+($A57-25)*Constants!$C$36/100)*IF(ISBLANK(Design!$B$43),Constants!$C$6/1000,Design!$B$43/1000)),  (1-Constants!$D$20/1000000000*IF(ISBLANK(Design!$B$33),Design!$B$32,Design!$B$33)*1000000) * ($B57+S57-R57*AD57/1000) - (S57+R57*(1+($A57-25)*Constants!$C$36/100)*IF(ISBLANK(Design!$B$43),Constants!$C$6/1000,Design!$B$43/1000)))</f>
        <v>6.8141104221672739</v>
      </c>
      <c r="AF57" s="117">
        <f ca="1">IF(AE57&gt;Design!$C$29,Design!$C$29,AE57)</f>
        <v>4.99903317535545</v>
      </c>
      <c r="AG57" s="118">
        <f>Design!$D$7/3</f>
        <v>0.66666666666666663</v>
      </c>
      <c r="AH57" s="118">
        <f ca="1">FORECAST(AG57, OFFSET(Design!$C$15:$C$17,MATCH(AG57,Design!$B$15:$B$17,1)-1,0,2), OFFSET(Design!$B$15:$B$17,MATCH(AG57,Design!$B$15:$B$17,1)-1,0,2))+(AQ57-25)*Design!$B$18/1000</f>
        <v>0.30541662206249676</v>
      </c>
      <c r="AI57" s="194">
        <f ca="1">IF(100*(Design!$C$29+AH57+AG57*IF(ISBLANK(Design!$B$43),Constants!$C$6,Design!$B$43)/1000*(1+Constants!$C$36/100*(AR57-25)))/($B57+AH57-AG57*AS57/1000)&gt;Design!$B$36,Design!$B$37,100*(Design!$C$29+AH57+AG57*IF(ISBLANK(Design!$B$43),Constants!$C$6,Design!$B$43)/1000*(1+Constants!$C$36/100*(AR57-25)))/($B57+AH57-AG57*AS57/1000))</f>
        <v>53.21056188476711</v>
      </c>
      <c r="AJ57" s="119">
        <f ca="1">IF(($B57-AG57*IF(ISBLANK(Design!$B$43),Constants!$C$6,Design!$B$43)/1000*(1+Constants!$C$36/100*(AR57-25))-Design!$C$29)/(IF(ISBLANK(Design!$B$42),Design!$B$40,Design!$B$42)/1000000)*AI57/100/(IF(ISBLANK(Design!$B$33),Design!$B$32,Design!$B$33)*1000000)&lt;0,0,($B57-AG57*IF(ISBLANK(Design!$B$43),Constants!$C$6,Design!$B$43)/1000*(1+Constants!$C$36/100*(AR57-25))-Design!$C$29)/(IF(ISBLANK(Design!$B$42),Design!$B$40,Design!$B$42)/1000000)*AI57/100/(IF(ISBLANK(Design!$B$33),Design!$B$32,Design!$B$33)*1000000))</f>
        <v>0.36983789989068461</v>
      </c>
      <c r="AK57" s="195">
        <f>$B57*Constants!$C$21/1000+IF(ISBLANK(Design!$B$33),Design!$B$32,Design!$B$33)*1000000*Constants!$D$25/1000000000*($B57-Constants!$C$24)</f>
        <v>9.5752499999999949E-2</v>
      </c>
      <c r="AL57" s="195">
        <f>$B57*AG57*($B57/(Constants!$C$26*1000000000)*IF(ISBLANK(Design!$B$33),Design!$B$32,Design!$B$33)*1000000/2+$B57/(Constants!$C$27*1000000000)*IF(ISBLANK(Design!$B$33),Design!$B$32,Design!$B$33)*1000000/2)</f>
        <v>0.16849721841704704</v>
      </c>
      <c r="AM57" s="195">
        <f t="shared" ca="1" si="15"/>
        <v>4.4449210131423181E-2</v>
      </c>
      <c r="AN57" s="195">
        <f>Constants!$D$25/1000000000*Constants!$C$24*IF(ISBLANK(Design!$B$33),Design!$B$32,Design!$B$33)*1000000</f>
        <v>6.8250000000000005E-2</v>
      </c>
      <c r="AO57" s="195">
        <f t="shared" ca="1" si="24"/>
        <v>0.37694892854847017</v>
      </c>
      <c r="AP57" s="195">
        <f t="shared" ca="1" si="21"/>
        <v>9.5268480915711107E-2</v>
      </c>
      <c r="AQ57" s="196">
        <f ca="1">$A57+AP57*Design!$B$19</f>
        <v>89.763424045785555</v>
      </c>
      <c r="AR57" s="196">
        <f ca="1">AO57*Design!$C$12+$A57</f>
        <v>97.81626357064799</v>
      </c>
      <c r="AS57" s="196">
        <f ca="1">Constants!$D$22+Constants!$D$22*Constants!$C$23/100*(AR57-25)</f>
        <v>183.25301085651839</v>
      </c>
      <c r="AT57" s="195">
        <f ca="1">IF(100*(Design!$C$29+AH57+AG57*IF(ISBLANK(Design!$B$43),Constants!$C$6,Design!$B$43)/1000*(1+Constants!$C$36/100*(AR57-25)))/($B57+AH57-AG57*AS57/1000)&gt;Design!$B$36,   (1-Constants!$D$20/1000000000*IF(ISBLANK(Design!$B$33),Design!$B$32/4,Design!$B$33/4)*1000000) * ($B57+AH57-AG57*AS57/1000) - (AH57+AG57*(1+($A57-25)*Constants!$C$36/100)*IF(ISBLANK(Design!$B$43),Constants!$C$6/1000,Design!$B$43/1000)),  (1-Constants!$D$20/1000000000*IF(ISBLANK(Design!$B$33),Design!$B$32,Design!$B$33)*1000000) * ($B57+AH57-AG57*AS57/1000) - (AH57+AG57*(1+($A57-25)*Constants!$C$36/100)*IF(ISBLANK(Design!$B$43),Constants!$C$6/1000,Design!$B$43/1000)))</f>
        <v>6.9557999695818093</v>
      </c>
      <c r="AU57" s="119">
        <f ca="1">IF(AT57&gt;Design!$C$29,Design!$C$29,AT57)</f>
        <v>4.99903317535545</v>
      </c>
    </row>
    <row r="58" spans="1:47" ht="12.75" customHeight="1" x14ac:dyDescent="0.3">
      <c r="A58" s="112">
        <f>Design!$D$13</f>
        <v>85</v>
      </c>
      <c r="B58" s="113">
        <f t="shared" si="12"/>
        <v>9.6349999999999962</v>
      </c>
      <c r="C58" s="114">
        <f>Design!$D$7</f>
        <v>2</v>
      </c>
      <c r="D58" s="114">
        <f ca="1">FORECAST(C58, OFFSET(Design!$C$15:$C$17,MATCH(C58,Design!$B$15:$B$17,1)-1,0,2), OFFSET(Design!$B$15:$B$17,MATCH(C58,Design!$B$15:$B$17,1)-1,0,2))+(M58-25)*Design!$B$18/1000</f>
        <v>0.39093504955505792</v>
      </c>
      <c r="E58" s="173">
        <f ca="1">IF(100*(Design!$C$29+D58+C58*IF(ISBLANK(Design!$B$43),Constants!$C$6,Design!$B$43)/1000*(1+Constants!$C$36/100*(N58-25)))/($B58+D58-C58*O58/1000)&gt;Design!$B$36,Design!$B$37,100*(Design!$C$29+D58+C58*IF(ISBLANK(Design!$B$43),Constants!$C$6,Design!$B$43)/1000*(1+Constants!$C$36/100*(N58-25)))/($B58+D58-C58*O58/1000))</f>
        <v>57.182570744770196</v>
      </c>
      <c r="F58" s="115">
        <f ca="1">IF(($B58-C58*IF(ISBLANK(Design!$B$43),Constants!$C$6,Design!$B$43)/1000*(1+Constants!$C$36/100*(N58-25))-Design!$C$29)/(IF(ISBLANK(Design!$B$42),Design!$B$40,Design!$B$42)/1000000)*E58/100/(IF(ISBLANK(Design!$B$33),Design!$B$32,Design!$B$33)*1000000)&lt;0,0,($B58-C58*IF(ISBLANK(Design!$B$43),Constants!$C$6,Design!$B$43)/1000*(1+Constants!$C$36/100*(N58-25))-Design!$C$29)/(IF(ISBLANK(Design!$B$42),Design!$B$40,Design!$B$42)/1000000)*E58/100/(IF(ISBLANK(Design!$B$33),Design!$B$32,Design!$B$33)*1000000))</f>
        <v>0.37339765622320981</v>
      </c>
      <c r="G58" s="165">
        <f>B58*Constants!$C$21/1000+IF(ISBLANK(Design!$B$33),Design!$B$32,Design!$B$33)*1000000*Constants!$D$25/1000000000*(B58-Constants!$C$24)</f>
        <v>9.2172749999999942E-2</v>
      </c>
      <c r="H58" s="165">
        <f>B58*C58*(B58/(Constants!$C$26*1000000000)*IF(ISBLANK(Design!$B$33),Design!$B$32,Design!$B$33)*1000000/2+B58/(Constants!$C$27*1000000000)*IF(ISBLANK(Design!$B$33),Design!$B$32,Design!$B$33)*1000000/2)</f>
        <v>0.48366534121004529</v>
      </c>
      <c r="I58" s="165">
        <f t="shared" ca="1" si="13"/>
        <v>0.46612492283304557</v>
      </c>
      <c r="J58" s="165">
        <f>Constants!$D$25/1000000000*Constants!$C$24*IF(ISBLANK(Design!$B$33),Design!$B$32,Design!$B$33)*1000000</f>
        <v>6.8250000000000005E-2</v>
      </c>
      <c r="K58" s="165">
        <f t="shared" ca="1" si="22"/>
        <v>1.1102130140430908</v>
      </c>
      <c r="L58" s="165">
        <f t="shared" ca="1" si="17"/>
        <v>0.33477667655426896</v>
      </c>
      <c r="M58" s="166">
        <f ca="1">$A58+L58*Design!$B$19</f>
        <v>101.73883382771345</v>
      </c>
      <c r="N58" s="166">
        <f ca="1">K58*Design!$C$12+A58</f>
        <v>122.74724247746508</v>
      </c>
      <c r="O58" s="166">
        <f ca="1">Constants!$D$22+Constants!$D$22*Constants!$C$23/100*(N58-25)</f>
        <v>203.19779398197207</v>
      </c>
      <c r="P58" s="165">
        <f ca="1">IF(100*(Design!$C$29+D58+C58*IF(ISBLANK(Design!$B$43),Constants!$C$6,Design!$B$43)/1000*(1+Constants!$C$36/100*(N58-25)))/($B58+D58-C58*O58/1000)&gt;Design!$B$36,   (1-Constants!$D$20/1000000000*IF(ISBLANK(Design!$B$33),Design!$B$32/4,Design!$B$33/4)*1000000) * ($B58+D58-C58*O58/1000) - (D58+C58*(1+($A58-25)*Constants!$C$36/100)*IF(ISBLANK(Design!$B$43),Constants!$C$6/1000,Design!$B$43/1000)),  (1-Constants!$D$20/1000000000*IF(ISBLANK(Design!$B$33),Design!$B$32,Design!$B$33)*1000000) * ($B58+D58-C58*O58/1000) - (D58+C58*(1+($A58-25)*Constants!$C$36/100)*IF(ISBLANK(Design!$B$43),Constants!$C$6/1000,Design!$B$43/1000)))</f>
        <v>6.5036061390216791</v>
      </c>
      <c r="Q58" s="115">
        <f ca="1">IF(P58&gt;Design!$C$29,Design!$C$29,P58)</f>
        <v>4.99903317535545</v>
      </c>
      <c r="R58" s="116">
        <f>2*Design!$D$7/3</f>
        <v>1.3333333333333333</v>
      </c>
      <c r="S58" s="116">
        <f ca="1">FORECAST(R58, OFFSET(Design!$C$15:$C$17,MATCH(R58,Design!$B$15:$B$17,1)-1,0,2), OFFSET(Design!$B$15:$B$17,MATCH(R58,Design!$B$15:$B$17,1)-1,0,2))+(AB58-25)*Design!$B$18/1000</f>
        <v>0.34858549643724557</v>
      </c>
      <c r="T58" s="182">
        <f ca="1">IF(100*(Design!$C$29+S58+R58*IF(ISBLANK(Design!$B$43),Constants!$C$6,Design!$B$43)/1000*(1+Constants!$C$36/100*(AC58-25)))/($B58+S58-R58*AD58/1000)&gt;Design!$B$36,Design!$B$37,100*(Design!$C$29+S58+R58*IF(ISBLANK(Design!$B$43),Constants!$C$6,Design!$B$43)/1000*(1+Constants!$C$36/100*(AC58-25)))/($B58+S58-R58*AD58/1000))</f>
        <v>55.695443875729886</v>
      </c>
      <c r="U58" s="117">
        <f ca="1">IF(($B58-R58*IF(ISBLANK(Design!$B$43),Constants!$C$6,Design!$B$43)/1000*(1+Constants!$C$36/100*(AC58-25))-Design!$C$29)/(IF(ISBLANK(Design!$B$42),Design!$B$40,Design!$B$42)/1000000)*T58/100/(IF(ISBLANK(Design!$B$33),Design!$B$32,Design!$B$33)*1000000)&lt;0,0,($B58-R58*IF(ISBLANK(Design!$B$43),Constants!$C$6,Design!$B$43)/1000*(1+Constants!$C$36/100*(AC58-25))-Design!$C$29)/(IF(ISBLANK(Design!$B$42),Design!$B$40,Design!$B$42)/1000000)*T58/100/(IF(ISBLANK(Design!$B$33),Design!$B$32,Design!$B$33)*1000000))</f>
        <v>0.36690341288854567</v>
      </c>
      <c r="V58" s="183">
        <f>$B58*Constants!$C$21/1000+IF(ISBLANK(Design!$B$33),Design!$B$32,Design!$B$33)*1000000*Constants!$D$25/1000000000*($B58-Constants!$C$24)</f>
        <v>9.2172749999999942E-2</v>
      </c>
      <c r="W58" s="183">
        <f>$B58*R58*($B58/(Constants!$C$26*1000000000)*IF(ISBLANK(Design!$B$33),Design!$B$32,Design!$B$33)*1000000/2+$B58/(Constants!$C$27*1000000000)*IF(ISBLANK(Design!$B$33),Design!$B$32,Design!$B$33)*1000000/2)</f>
        <v>0.32244356080669684</v>
      </c>
      <c r="X58" s="183">
        <f t="shared" ca="1" si="14"/>
        <v>0.19062824423642077</v>
      </c>
      <c r="Y58" s="183">
        <f>Constants!$D$25/1000000000*Constants!$C$24*IF(ISBLANK(Design!$B$33),Design!$B$32,Design!$B$33)*1000000</f>
        <v>6.8250000000000005E-2</v>
      </c>
      <c r="Z58" s="183">
        <f t="shared" ca="1" si="23"/>
        <v>0.67349455504311762</v>
      </c>
      <c r="AA58" s="183">
        <f t="shared" ca="1" si="19"/>
        <v>0.20591900921347339</v>
      </c>
      <c r="AB58" s="184">
        <f ca="1">$A58+AA58*Design!$B$19</f>
        <v>95.295950460673666</v>
      </c>
      <c r="AC58" s="184">
        <f ca="1">Z58*Design!$C$12+$A58</f>
        <v>107.898814871466</v>
      </c>
      <c r="AD58" s="184">
        <f ca="1">Constants!$D$22+Constants!$D$22*Constants!$C$23/100*(AC58-25)</f>
        <v>191.31905189717281</v>
      </c>
      <c r="AE58" s="183">
        <f ca="1">IF(100*(Design!$C$29+S58+R58*IF(ISBLANK(Design!$B$43),Constants!$C$6,Design!$B$43)/1000*(1+Constants!$C$36/100*(AC58-25)))/($B58+S58-R58*AD58/1000)&gt;Design!$B$36,   (1-Constants!$D$20/1000000000*IF(ISBLANK(Design!$B$33),Design!$B$32/4,Design!$B$33/4)*1000000) * ($B58+S58-R58*AD58/1000) - (S58+R58*(1+($A58-25)*Constants!$C$36/100)*IF(ISBLANK(Design!$B$43),Constants!$C$6/1000,Design!$B$43/1000)),  (1-Constants!$D$20/1000000000*IF(ISBLANK(Design!$B$33),Design!$B$32,Design!$B$33)*1000000) * ($B58+S58-R58*AD58/1000) - (S58+R58*(1+($A58-25)*Constants!$C$36/100)*IF(ISBLANK(Design!$B$43),Constants!$C$6/1000,Design!$B$43/1000)))</f>
        <v>6.6581198918336355</v>
      </c>
      <c r="AF58" s="117">
        <f ca="1">IF(AE58&gt;Design!$C$29,Design!$C$29,AE58)</f>
        <v>4.99903317535545</v>
      </c>
      <c r="AG58" s="118">
        <f>Design!$D$7/3</f>
        <v>0.66666666666666663</v>
      </c>
      <c r="AH58" s="118">
        <f ca="1">FORECAST(AG58, OFFSET(Design!$C$15:$C$17,MATCH(AG58,Design!$B$15:$B$17,1)-1,0,2), OFFSET(Design!$B$15:$B$17,MATCH(AG58,Design!$B$15:$B$17,1)-1,0,2))+(AQ58-25)*Design!$B$18/1000</f>
        <v>0.30552186296207134</v>
      </c>
      <c r="AI58" s="194">
        <f ca="1">IF(100*(Design!$C$29+AH58+AG58*IF(ISBLANK(Design!$B$43),Constants!$C$6,Design!$B$43)/1000*(1+Constants!$C$36/100*(AR58-25)))/($B58+AH58-AG58*AS58/1000)&gt;Design!$B$36,Design!$B$37,100*(Design!$C$29+AH58+AG58*IF(ISBLANK(Design!$B$43),Constants!$C$6,Design!$B$43)/1000*(1+Constants!$C$36/100*(AR58-25)))/($B58+AH58-AG58*AS58/1000))</f>
        <v>54.374888253070147</v>
      </c>
      <c r="AJ58" s="119">
        <f ca="1">IF(($B58-AG58*IF(ISBLANK(Design!$B$43),Constants!$C$6,Design!$B$43)/1000*(1+Constants!$C$36/100*(AR58-25))-Design!$C$29)/(IF(ISBLANK(Design!$B$42),Design!$B$40,Design!$B$42)/1000000)*AI58/100/(IF(ISBLANK(Design!$B$33),Design!$B$32,Design!$B$33)*1000000)&lt;0,0,($B58-AG58*IF(ISBLANK(Design!$B$43),Constants!$C$6,Design!$B$43)/1000*(1+Constants!$C$36/100*(AR58-25))-Design!$C$29)/(IF(ISBLANK(Design!$B$42),Design!$B$40,Design!$B$42)/1000000)*AI58/100/(IF(ISBLANK(Design!$B$33),Design!$B$32,Design!$B$33)*1000000))</f>
        <v>0.36106374674317387</v>
      </c>
      <c r="AK58" s="195">
        <f>$B58*Constants!$C$21/1000+IF(ISBLANK(Design!$B$33),Design!$B$32,Design!$B$33)*1000000*Constants!$D$25/1000000000*($B58-Constants!$C$24)</f>
        <v>9.2172749999999942E-2</v>
      </c>
      <c r="AL58" s="195">
        <f>$B58*AG58*($B58/(Constants!$C$26*1000000000)*IF(ISBLANK(Design!$B$33),Design!$B$32,Design!$B$33)*1000000/2+$B58/(Constants!$C$27*1000000000)*IF(ISBLANK(Design!$B$33),Design!$B$32,Design!$B$33)*1000000/2)</f>
        <v>0.16122178040334842</v>
      </c>
      <c r="AM58" s="195">
        <f t="shared" ca="1" si="15"/>
        <v>4.5301212078866525E-2</v>
      </c>
      <c r="AN58" s="195">
        <f>Constants!$D$25/1000000000*Constants!$C$24*IF(ISBLANK(Design!$B$33),Design!$B$32,Design!$B$33)*1000000</f>
        <v>6.8250000000000005E-2</v>
      </c>
      <c r="AO58" s="195">
        <f t="shared" ca="1" si="24"/>
        <v>0.3669457424822149</v>
      </c>
      <c r="AP58" s="195">
        <f t="shared" ca="1" si="21"/>
        <v>9.2929794258497969E-2</v>
      </c>
      <c r="AQ58" s="196">
        <f ca="1">$A58+AP58*Design!$B$19</f>
        <v>89.646489712924904</v>
      </c>
      <c r="AR58" s="196">
        <f ca="1">AO58*Design!$C$12+$A58</f>
        <v>97.476155244395301</v>
      </c>
      <c r="AS58" s="196">
        <f ca="1">Constants!$D$22+Constants!$D$22*Constants!$C$23/100*(AR58-25)</f>
        <v>182.98092419551625</v>
      </c>
      <c r="AT58" s="195">
        <f ca="1">IF(100*(Design!$C$29+AH58+AG58*IF(ISBLANK(Design!$B$43),Constants!$C$6,Design!$B$43)/1000*(1+Constants!$C$36/100*(AR58-25)))/($B58+AH58-AG58*AS58/1000)&gt;Design!$B$36,   (1-Constants!$D$20/1000000000*IF(ISBLANK(Design!$B$33),Design!$B$32/4,Design!$B$33/4)*1000000) * ($B58+AH58-AG58*AS58/1000) - (AH58+AG58*(1+($A58-25)*Constants!$C$36/100)*IF(ISBLANK(Design!$B$43),Constants!$C$6/1000,Design!$B$43/1000)),  (1-Constants!$D$20/1000000000*IF(ISBLANK(Design!$B$33),Design!$B$32,Design!$B$33)*1000000) * ($B58+AH58-AG58*AS58/1000) - (AH58+AG58*(1+($A58-25)*Constants!$C$36/100)*IF(ISBLANK(Design!$B$43),Constants!$C$6/1000,Design!$B$43/1000)))</f>
        <v>6.7995981101512584</v>
      </c>
      <c r="AU58" s="119">
        <f ca="1">IF(AT58&gt;Design!$C$29,Design!$C$29,AT58)</f>
        <v>4.99903317535545</v>
      </c>
    </row>
    <row r="59" spans="1:47" ht="12.75" customHeight="1" x14ac:dyDescent="0.3">
      <c r="A59" s="112">
        <f>Design!$D$13</f>
        <v>85</v>
      </c>
      <c r="B59" s="113">
        <f t="shared" si="12"/>
        <v>9.4199999999999964</v>
      </c>
      <c r="C59" s="114">
        <f>Design!$D$7</f>
        <v>2</v>
      </c>
      <c r="D59" s="114">
        <f ca="1">FORECAST(C59, OFFSET(Design!$C$15:$C$17,MATCH(C59,Design!$B$15:$B$17,1)-1,0,2), OFFSET(Design!$B$15:$B$17,MATCH(C59,Design!$B$15:$B$17,1)-1,0,2))+(M59-25)*Design!$B$18/1000</f>
        <v>0.39137674110895593</v>
      </c>
      <c r="E59" s="173">
        <f ca="1">IF(100*(Design!$C$29+D59+C59*IF(ISBLANK(Design!$B$43),Constants!$C$6,Design!$B$43)/1000*(1+Constants!$C$36/100*(N59-25)))/($B59+D59-C59*O59/1000)&gt;Design!$B$36,Design!$B$37,100*(Design!$C$29+D59+C59*IF(ISBLANK(Design!$B$43),Constants!$C$6,Design!$B$43)/1000*(1+Constants!$C$36/100*(N59-25)))/($B59+D59-C59*O59/1000))</f>
        <v>58.484846625134217</v>
      </c>
      <c r="F59" s="115">
        <f ca="1">IF(($B59-C59*IF(ISBLANK(Design!$B$43),Constants!$C$6,Design!$B$43)/1000*(1+Constants!$C$36/100*(N59-25))-Design!$C$29)/(IF(ISBLANK(Design!$B$42),Design!$B$40,Design!$B$42)/1000000)*E59/100/(IF(ISBLANK(Design!$B$33),Design!$B$32,Design!$B$33)*1000000)&lt;0,0,($B59-C59*IF(ISBLANK(Design!$B$43),Constants!$C$6,Design!$B$43)/1000*(1+Constants!$C$36/100*(N59-25))-Design!$C$29)/(IF(ISBLANK(Design!$B$42),Design!$B$40,Design!$B$42)/1000000)*E59/100/(IF(ISBLANK(Design!$B$33),Design!$B$32,Design!$B$33)*1000000))</f>
        <v>0.36377062119843628</v>
      </c>
      <c r="G59" s="165">
        <f>B59*Constants!$C$21/1000+IF(ISBLANK(Design!$B$33),Design!$B$32,Design!$B$33)*1000000*Constants!$D$25/1000000000*(B59-Constants!$C$24)</f>
        <v>8.859299999999995E-2</v>
      </c>
      <c r="H59" s="165">
        <f>B59*C59*(B59/(Constants!$C$26*1000000000)*IF(ISBLANK(Design!$B$33),Design!$B$32,Design!$B$33)*1000000/2+B59/(Constants!$C$27*1000000000)*IF(ISBLANK(Design!$B$33),Design!$B$32,Design!$B$33)*1000000/2)</f>
        <v>0.46232069589041058</v>
      </c>
      <c r="I59" s="165">
        <f t="shared" ca="1" si="13"/>
        <v>0.47569014903952589</v>
      </c>
      <c r="J59" s="165">
        <f>Constants!$D$25/1000000000*Constants!$C$24*IF(ISBLANK(Design!$B$33),Design!$B$32,Design!$B$33)*1000000</f>
        <v>6.8250000000000005E-2</v>
      </c>
      <c r="K59" s="165">
        <f t="shared" ca="1" si="22"/>
        <v>1.0948538449299363</v>
      </c>
      <c r="L59" s="165">
        <f t="shared" ca="1" si="17"/>
        <v>0.32496130868986889</v>
      </c>
      <c r="M59" s="166">
        <f ca="1">$A59+L59*Design!$B$19</f>
        <v>101.24806543449344</v>
      </c>
      <c r="N59" s="166">
        <f ca="1">K59*Design!$C$12+A59</f>
        <v>122.22503072761783</v>
      </c>
      <c r="O59" s="166">
        <f ca="1">Constants!$D$22+Constants!$D$22*Constants!$C$23/100*(N59-25)</f>
        <v>202.78002458209426</v>
      </c>
      <c r="P59" s="165">
        <f ca="1">IF(100*(Design!$C$29+D59+C59*IF(ISBLANK(Design!$B$43),Constants!$C$6,Design!$B$43)/1000*(1+Constants!$C$36/100*(N59-25)))/($B59+D59-C59*O59/1000)&gt;Design!$B$36,   (1-Constants!$D$20/1000000000*IF(ISBLANK(Design!$B$33),Design!$B$32/4,Design!$B$33/4)*1000000) * ($B59+D59-C59*O59/1000) - (D59+C59*(1+($A59-25)*Constants!$C$36/100)*IF(ISBLANK(Design!$B$43),Constants!$C$6/1000,Design!$B$43/1000)),  (1-Constants!$D$20/1000000000*IF(ISBLANK(Design!$B$33),Design!$B$32,Design!$B$33)*1000000) * ($B59+D59-C59*O59/1000) - (D59+C59*(1+($A59-25)*Constants!$C$36/100)*IF(ISBLANK(Design!$B$43),Constants!$C$6/1000,Design!$B$43/1000)))</f>
        <v>6.3477879939348876</v>
      </c>
      <c r="Q59" s="115">
        <f ca="1">IF(P59&gt;Design!$C$29,Design!$C$29,P59)</f>
        <v>4.99903317535545</v>
      </c>
      <c r="R59" s="116">
        <f>2*Design!$D$7/3</f>
        <v>1.3333333333333333</v>
      </c>
      <c r="S59" s="116">
        <f ca="1">FORECAST(R59, OFFSET(Design!$C$15:$C$17,MATCH(R59,Design!$B$15:$B$17,1)-1,0,2), OFFSET(Design!$B$15:$B$17,MATCH(R59,Design!$B$15:$B$17,1)-1,0,2))+(AB59-25)*Design!$B$18/1000</f>
        <v>0.34884152924595624</v>
      </c>
      <c r="T59" s="182">
        <f ca="1">IF(100*(Design!$C$29+S59+R59*IF(ISBLANK(Design!$B$43),Constants!$C$6,Design!$B$43)/1000*(1+Constants!$C$36/100*(AC59-25)))/($B59+S59-R59*AD59/1000)&gt;Design!$B$36,Design!$B$37,100*(Design!$C$29+S59+R59*IF(ISBLANK(Design!$B$43),Constants!$C$6,Design!$B$43)/1000*(1+Constants!$C$36/100*(AC59-25)))/($B59+S59-R59*AD59/1000))</f>
        <v>56.951213992152766</v>
      </c>
      <c r="U59" s="117">
        <f ca="1">IF(($B59-R59*IF(ISBLANK(Design!$B$43),Constants!$C$6,Design!$B$43)/1000*(1+Constants!$C$36/100*(AC59-25))-Design!$C$29)/(IF(ISBLANK(Design!$B$42),Design!$B$40,Design!$B$42)/1000000)*T59/100/(IF(ISBLANK(Design!$B$33),Design!$B$32,Design!$B$33)*1000000)&lt;0,0,($B59-R59*IF(ISBLANK(Design!$B$43),Constants!$C$6,Design!$B$43)/1000*(1+Constants!$C$36/100*(AC59-25))-Design!$C$29)/(IF(ISBLANK(Design!$B$42),Design!$B$40,Design!$B$42)/1000000)*T59/100/(IF(ISBLANK(Design!$B$33),Design!$B$32,Design!$B$33)*1000000))</f>
        <v>0.35751534529901208</v>
      </c>
      <c r="V59" s="183">
        <f>$B59*Constants!$C$21/1000+IF(ISBLANK(Design!$B$33),Design!$B$32,Design!$B$33)*1000000*Constants!$D$25/1000000000*($B59-Constants!$C$24)</f>
        <v>8.859299999999995E-2</v>
      </c>
      <c r="W59" s="183">
        <f>$B59*R59*($B59/(Constants!$C$26*1000000000)*IF(ISBLANK(Design!$B$33),Design!$B$32,Design!$B$33)*1000000/2+$B59/(Constants!$C$27*1000000000)*IF(ISBLANK(Design!$B$33),Design!$B$32,Design!$B$33)*1000000/2)</f>
        <v>0.3082137972602737</v>
      </c>
      <c r="X59" s="183">
        <f t="shared" ca="1" si="14"/>
        <v>0.19447785883481031</v>
      </c>
      <c r="Y59" s="183">
        <f>Constants!$D$25/1000000000*Constants!$C$24*IF(ISBLANK(Design!$B$33),Design!$B$32,Design!$B$33)*1000000</f>
        <v>6.8250000000000005E-2</v>
      </c>
      <c r="Z59" s="183">
        <f t="shared" ca="1" si="23"/>
        <v>0.65953465609508399</v>
      </c>
      <c r="AA59" s="183">
        <f t="shared" ca="1" si="19"/>
        <v>0.20022939124212466</v>
      </c>
      <c r="AB59" s="184">
        <f ca="1">$A59+AA59*Design!$B$19</f>
        <v>95.011469562106228</v>
      </c>
      <c r="AC59" s="184">
        <f ca="1">Z59*Design!$C$12+$A59</f>
        <v>107.42417830723286</v>
      </c>
      <c r="AD59" s="184">
        <f ca="1">Constants!$D$22+Constants!$D$22*Constants!$C$23/100*(AC59-25)</f>
        <v>190.9393426457863</v>
      </c>
      <c r="AE59" s="183">
        <f ca="1">IF(100*(Design!$C$29+S59+R59*IF(ISBLANK(Design!$B$43),Constants!$C$6,Design!$B$43)/1000*(1+Constants!$C$36/100*(AC59-25)))/($B59+S59-R59*AD59/1000)&gt;Design!$B$36,   (1-Constants!$D$20/1000000000*IF(ISBLANK(Design!$B$33),Design!$B$32/4,Design!$B$33/4)*1000000) * ($B59+S59-R59*AD59/1000) - (S59+R59*(1+($A59-25)*Constants!$C$36/100)*IF(ISBLANK(Design!$B$43),Constants!$C$6/1000,Design!$B$43/1000)),  (1-Constants!$D$20/1000000000*IF(ISBLANK(Design!$B$33),Design!$B$32,Design!$B$33)*1000000) * ($B59+S59-R59*AD59/1000) - (S59+R59*(1+($A59-25)*Constants!$C$36/100)*IF(ISBLANK(Design!$B$43),Constants!$C$6/1000,Design!$B$43/1000)))</f>
        <v>6.5021130597112018</v>
      </c>
      <c r="AF59" s="117">
        <f ca="1">IF(AE59&gt;Design!$C$29,Design!$C$29,AE59)</f>
        <v>4.99903317535545</v>
      </c>
      <c r="AG59" s="118">
        <f>Design!$D$7/3</f>
        <v>0.66666666666666663</v>
      </c>
      <c r="AH59" s="118">
        <f ca="1">FORECAST(AG59, OFFSET(Design!$C$15:$C$17,MATCH(AG59,Design!$B$15:$B$17,1)-1,0,2), OFFSET(Design!$B$15:$B$17,MATCH(AG59,Design!$B$15:$B$17,1)-1,0,2))+(AQ59-25)*Design!$B$18/1000</f>
        <v>0.30563189167618454</v>
      </c>
      <c r="AI59" s="194">
        <f ca="1">IF(100*(Design!$C$29+AH59+AG59*IF(ISBLANK(Design!$B$43),Constants!$C$6,Design!$B$43)/1000*(1+Constants!$C$36/100*(AR59-25)))/($B59+AH59-AG59*AS59/1000)&gt;Design!$B$36,Design!$B$37,100*(Design!$C$29+AH59+AG59*IF(ISBLANK(Design!$B$43),Constants!$C$6,Design!$B$43)/1000*(1+Constants!$C$36/100*(AR59-25)))/($B59+AH59-AG59*AS59/1000))</f>
        <v>55.59132692612615</v>
      </c>
      <c r="AJ59" s="119">
        <f ca="1">IF(($B59-AG59*IF(ISBLANK(Design!$B$43),Constants!$C$6,Design!$B$43)/1000*(1+Constants!$C$36/100*(AR59-25))-Design!$C$29)/(IF(ISBLANK(Design!$B$42),Design!$B$40,Design!$B$42)/1000000)*AI59/100/(IF(ISBLANK(Design!$B$33),Design!$B$32,Design!$B$33)*1000000)&lt;0,0,($B59-AG59*IF(ISBLANK(Design!$B$43),Constants!$C$6,Design!$B$43)/1000*(1+Constants!$C$36/100*(AR59-25))-Design!$C$29)/(IF(ISBLANK(Design!$B$42),Design!$B$40,Design!$B$42)/1000000)*AI59/100/(IF(ISBLANK(Design!$B$33),Design!$B$32,Design!$B$33)*1000000))</f>
        <v>0.35189707751276111</v>
      </c>
      <c r="AK59" s="195">
        <f>$B59*Constants!$C$21/1000+IF(ISBLANK(Design!$B$33),Design!$B$32,Design!$B$33)*1000000*Constants!$D$25/1000000000*($B59-Constants!$C$24)</f>
        <v>8.859299999999995E-2</v>
      </c>
      <c r="AL59" s="195">
        <f>$B59*AG59*($B59/(Constants!$C$26*1000000000)*IF(ISBLANK(Design!$B$33),Design!$B$32,Design!$B$33)*1000000/2+$B59/(Constants!$C$27*1000000000)*IF(ISBLANK(Design!$B$33),Design!$B$32,Design!$B$33)*1000000/2)</f>
        <v>0.15410689863013685</v>
      </c>
      <c r="AM59" s="195">
        <f t="shared" ca="1" si="15"/>
        <v>4.6191844326520994E-2</v>
      </c>
      <c r="AN59" s="195">
        <f>Constants!$D$25/1000000000*Constants!$C$24*IF(ISBLANK(Design!$B$33),Design!$B$32,Design!$B$33)*1000000</f>
        <v>6.8250000000000005E-2</v>
      </c>
      <c r="AO59" s="195">
        <f t="shared" ca="1" si="24"/>
        <v>0.35714174295665779</v>
      </c>
      <c r="AP59" s="195">
        <f t="shared" ca="1" si="21"/>
        <v>9.04847117226487E-2</v>
      </c>
      <c r="AQ59" s="196">
        <f ca="1">$A59+AP59*Design!$B$19</f>
        <v>89.524235586132434</v>
      </c>
      <c r="AR59" s="196">
        <f ca="1">AO59*Design!$C$12+$A59</f>
        <v>97.142819260526366</v>
      </c>
      <c r="AS59" s="196">
        <f ca="1">Constants!$D$22+Constants!$D$22*Constants!$C$23/100*(AR59-25)</f>
        <v>182.71425540842108</v>
      </c>
      <c r="AT59" s="195">
        <f ca="1">IF(100*(Design!$C$29+AH59+AG59*IF(ISBLANK(Design!$B$43),Constants!$C$6,Design!$B$43)/1000*(1+Constants!$C$36/100*(AR59-25)))/($B59+AH59-AG59*AS59/1000)&gt;Design!$B$36,   (1-Constants!$D$20/1000000000*IF(ISBLANK(Design!$B$33),Design!$B$32/4,Design!$B$33/4)*1000000) * ($B59+AH59-AG59*AS59/1000) - (AH59+AG59*(1+($A59-25)*Constants!$C$36/100)*IF(ISBLANK(Design!$B$43),Constants!$C$6/1000,Design!$B$43/1000)),  (1-Constants!$D$20/1000000000*IF(ISBLANK(Design!$B$33),Design!$B$32,Design!$B$33)*1000000) * ($B59+AH59-AG59*AS59/1000) - (AH59+AG59*(1+($A59-25)*Constants!$C$36/100)*IF(ISBLANK(Design!$B$43),Constants!$C$6/1000,Design!$B$43/1000)))</f>
        <v>6.6433923177844507</v>
      </c>
      <c r="AU59" s="119">
        <f ca="1">IF(AT59&gt;Design!$C$29,Design!$C$29,AT59)</f>
        <v>4.99903317535545</v>
      </c>
    </row>
    <row r="60" spans="1:47" ht="12.75" customHeight="1" x14ac:dyDescent="0.3">
      <c r="A60" s="112">
        <f>Design!$D$13</f>
        <v>85</v>
      </c>
      <c r="B60" s="113">
        <f t="shared" si="12"/>
        <v>9.2049999999999965</v>
      </c>
      <c r="C60" s="114">
        <f>Design!$D$7</f>
        <v>2</v>
      </c>
      <c r="D60" s="114">
        <f ca="1">FORECAST(C60, OFFSET(Design!$C$15:$C$17,MATCH(C60,Design!$B$15:$B$17,1)-1,0,2), OFFSET(Design!$B$15:$B$17,MATCH(C60,Design!$B$15:$B$17,1)-1,0,2))+(M60-25)*Design!$B$18/1000</f>
        <v>0.39184023370936288</v>
      </c>
      <c r="E60" s="173">
        <f ca="1">IF(100*(Design!$C$29+D60+C60*IF(ISBLANK(Design!$B$43),Constants!$C$6,Design!$B$43)/1000*(1+Constants!$C$36/100*(N60-25)))/($B60+D60-C60*O60/1000)&gt;Design!$B$36,Design!$B$37,100*(Design!$C$29+D60+C60*IF(ISBLANK(Design!$B$43),Constants!$C$6,Design!$B$43)/1000*(1+Constants!$C$36/100*(N60-25)))/($B60+D60-C60*O60/1000))</f>
        <v>59.848243486060518</v>
      </c>
      <c r="F60" s="115">
        <f ca="1">IF(($B60-C60*IF(ISBLANK(Design!$B$43),Constants!$C$6,Design!$B$43)/1000*(1+Constants!$C$36/100*(N60-25))-Design!$C$29)/(IF(ISBLANK(Design!$B$42),Design!$B$40,Design!$B$42)/1000000)*E60/100/(IF(ISBLANK(Design!$B$33),Design!$B$32,Design!$B$33)*1000000)&lt;0,0,($B60-C60*IF(ISBLANK(Design!$B$43),Constants!$C$6,Design!$B$43)/1000*(1+Constants!$C$36/100*(N60-25))-Design!$C$29)/(IF(ISBLANK(Design!$B$42),Design!$B$40,Design!$B$42)/1000000)*E60/100/(IF(ISBLANK(Design!$B$33),Design!$B$32,Design!$B$33)*1000000))</f>
        <v>0.35369645398274452</v>
      </c>
      <c r="G60" s="165">
        <f>B60*Constants!$C$21/1000+IF(ISBLANK(Design!$B$33),Design!$B$32,Design!$B$33)*1000000*Constants!$D$25/1000000000*(B60-Constants!$C$24)</f>
        <v>8.5013249999999943E-2</v>
      </c>
      <c r="H60" s="165">
        <f>B60*C60*(B60/(Constants!$C$26*1000000000)*IF(ISBLANK(Design!$B$33),Design!$B$32,Design!$B$33)*1000000/2+B60/(Constants!$C$27*1000000000)*IF(ISBLANK(Design!$B$33),Design!$B$32,Design!$B$33)*1000000/2)</f>
        <v>0.44145771929223715</v>
      </c>
      <c r="I60" s="165">
        <f t="shared" ca="1" si="13"/>
        <v>0.48576855546835013</v>
      </c>
      <c r="J60" s="165">
        <f>Constants!$D$25/1000000000*Constants!$C$24*IF(ISBLANK(Design!$B$33),Design!$B$32,Design!$B$33)*1000000</f>
        <v>6.8250000000000005E-2</v>
      </c>
      <c r="K60" s="165">
        <f t="shared" ca="1" si="22"/>
        <v>1.0804895247605872</v>
      </c>
      <c r="L60" s="165">
        <f t="shared" ca="1" si="17"/>
        <v>0.31466147312526965</v>
      </c>
      <c r="M60" s="166">
        <f ca="1">$A60+L60*Design!$B$19</f>
        <v>100.73307365626349</v>
      </c>
      <c r="N60" s="166">
        <f ca="1">K60*Design!$C$12+A60</f>
        <v>121.73664384185997</v>
      </c>
      <c r="O60" s="166">
        <f ca="1">Constants!$D$22+Constants!$D$22*Constants!$C$23/100*(N60-25)</f>
        <v>202.38931507348798</v>
      </c>
      <c r="P60" s="165">
        <f ca="1">IF(100*(Design!$C$29+D60+C60*IF(ISBLANK(Design!$B$43),Constants!$C$6,Design!$B$43)/1000*(1+Constants!$C$36/100*(N60-25)))/($B60+D60-C60*O60/1000)&gt;Design!$B$36,   (1-Constants!$D$20/1000000000*IF(ISBLANK(Design!$B$33),Design!$B$32/4,Design!$B$33/4)*1000000) * ($B60+D60-C60*O60/1000) - (D60+C60*(1+($A60-25)*Constants!$C$36/100)*IF(ISBLANK(Design!$B$43),Constants!$C$6/1000,Design!$B$43/1000)),  (1-Constants!$D$20/1000000000*IF(ISBLANK(Design!$B$33),Design!$B$32,Design!$B$33)*1000000) * ($B60+D60-C60*O60/1000) - (D60+C60*(1+($A60-25)*Constants!$C$36/100)*IF(ISBLANK(Design!$B$43),Constants!$C$6/1000,Design!$B$43/1000)))</f>
        <v>6.1919245520804891</v>
      </c>
      <c r="Q60" s="115">
        <f ca="1">IF(P60&gt;Design!$C$29,Design!$C$29,P60)</f>
        <v>4.99903317535545</v>
      </c>
      <c r="R60" s="116">
        <f>2*Design!$D$7/3</f>
        <v>1.3333333333333333</v>
      </c>
      <c r="S60" s="116">
        <f ca="1">FORECAST(R60, OFFSET(Design!$C$15:$C$17,MATCH(R60,Design!$B$15:$B$17,1)-1,0,2), OFFSET(Design!$B$15:$B$17,MATCH(R60,Design!$B$15:$B$17,1)-1,0,2))+(AB60-25)*Design!$B$18/1000</f>
        <v>0.34910980400804592</v>
      </c>
      <c r="T60" s="182">
        <f ca="1">IF(100*(Design!$C$29+S60+R60*IF(ISBLANK(Design!$B$43),Constants!$C$6,Design!$B$43)/1000*(1+Constants!$C$36/100*(AC60-25)))/($B60+S60-R60*AD60/1000)&gt;Design!$B$36,Design!$B$37,100*(Design!$C$29+S60+R60*IF(ISBLANK(Design!$B$43),Constants!$C$6,Design!$B$43)/1000*(1+Constants!$C$36/100*(AC60-25)))/($B60+S60-R60*AD60/1000))</f>
        <v>58.265051360915741</v>
      </c>
      <c r="U60" s="117">
        <f ca="1">IF(($B60-R60*IF(ISBLANK(Design!$B$43),Constants!$C$6,Design!$B$43)/1000*(1+Constants!$C$36/100*(AC60-25))-Design!$C$29)/(IF(ISBLANK(Design!$B$42),Design!$B$40,Design!$B$42)/1000000)*T60/100/(IF(ISBLANK(Design!$B$33),Design!$B$32,Design!$B$33)*1000000)&lt;0,0,($B60-R60*IF(ISBLANK(Design!$B$43),Constants!$C$6,Design!$B$43)/1000*(1+Constants!$C$36/100*(AC60-25))-Design!$C$29)/(IF(ISBLANK(Design!$B$42),Design!$B$40,Design!$B$42)/1000000)*T60/100/(IF(ISBLANK(Design!$B$33),Design!$B$32,Design!$B$33)*1000000))</f>
        <v>0.34769465202949051</v>
      </c>
      <c r="V60" s="183">
        <f>$B60*Constants!$C$21/1000+IF(ISBLANK(Design!$B$33),Design!$B$32,Design!$B$33)*1000000*Constants!$D$25/1000000000*($B60-Constants!$C$24)</f>
        <v>8.5013249999999943E-2</v>
      </c>
      <c r="W60" s="183">
        <f>$B60*R60*($B60/(Constants!$C$26*1000000000)*IF(ISBLANK(Design!$B$33),Design!$B$32,Design!$B$33)*1000000/2+$B60/(Constants!$C$27*1000000000)*IF(ISBLANK(Design!$B$33),Design!$B$32,Design!$B$33)*1000000/2)</f>
        <v>0.29430514619482473</v>
      </c>
      <c r="X60" s="183">
        <f t="shared" ca="1" si="14"/>
        <v>0.19851915229886072</v>
      </c>
      <c r="Y60" s="183">
        <f>Constants!$D$25/1000000000*Constants!$C$24*IF(ISBLANK(Design!$B$33),Design!$B$32,Design!$B$33)*1000000</f>
        <v>6.8250000000000005E-2</v>
      </c>
      <c r="Z60" s="183">
        <f t="shared" ca="1" si="23"/>
        <v>0.64608754849368544</v>
      </c>
      <c r="AA60" s="183">
        <f t="shared" ca="1" si="19"/>
        <v>0.19426772986235424</v>
      </c>
      <c r="AB60" s="184">
        <f ca="1">$A60+AA60*Design!$B$19</f>
        <v>94.71338649311771</v>
      </c>
      <c r="AC60" s="184">
        <f ca="1">Z60*Design!$C$12+$A60</f>
        <v>106.96697664878531</v>
      </c>
      <c r="AD60" s="184">
        <f ca="1">Constants!$D$22+Constants!$D$22*Constants!$C$23/100*(AC60-25)</f>
        <v>190.57358131902825</v>
      </c>
      <c r="AE60" s="183">
        <f ca="1">IF(100*(Design!$C$29+S60+R60*IF(ISBLANK(Design!$B$43),Constants!$C$6,Design!$B$43)/1000*(1+Constants!$C$36/100*(AC60-25)))/($B60+S60-R60*AD60/1000)&gt;Design!$B$36,   (1-Constants!$D$20/1000000000*IF(ISBLANK(Design!$B$33),Design!$B$32/4,Design!$B$33/4)*1000000) * ($B60+S60-R60*AD60/1000) - (S60+R60*(1+($A60-25)*Constants!$C$36/100)*IF(ISBLANK(Design!$B$43),Constants!$C$6/1000,Design!$B$43/1000)),  (1-Constants!$D$20/1000000000*IF(ISBLANK(Design!$B$33),Design!$B$32,Design!$B$33)*1000000) * ($B60+S60-R60*AD60/1000) - (S60+R60*(1+($A60-25)*Constants!$C$36/100)*IF(ISBLANK(Design!$B$43),Constants!$C$6/1000,Design!$B$43/1000)))</f>
        <v>6.3460893653472228</v>
      </c>
      <c r="AF60" s="117">
        <f ca="1">IF(AE60&gt;Design!$C$29,Design!$C$29,AE60)</f>
        <v>4.99903317535545</v>
      </c>
      <c r="AG60" s="118">
        <f>Design!$D$7/3</f>
        <v>0.66666666666666663</v>
      </c>
      <c r="AH60" s="118">
        <f ca="1">FORECAST(AG60, OFFSET(Design!$C$15:$C$17,MATCH(AG60,Design!$B$15:$B$17,1)-1,0,2), OFFSET(Design!$B$15:$B$17,MATCH(AG60,Design!$B$15:$B$17,1)-1,0,2))+(AQ60-25)*Design!$B$18/1000</f>
        <v>0.30574704234503181</v>
      </c>
      <c r="AI60" s="194">
        <f ca="1">IF(100*(Design!$C$29+AH60+AG60*IF(ISBLANK(Design!$B$43),Constants!$C$6,Design!$B$43)/1000*(1+Constants!$C$36/100*(AR60-25)))/($B60+AH60-AG60*AS60/1000)&gt;Design!$B$36,Design!$B$37,100*(Design!$C$29+AH60+AG60*IF(ISBLANK(Design!$B$43),Constants!$C$6,Design!$B$43)/1000*(1+Constants!$C$36/100*(AR60-25)))/($B60+AH60-AG60*AS60/1000))</f>
        <v>56.863454526275738</v>
      </c>
      <c r="AJ60" s="119">
        <f ca="1">IF(($B60-AG60*IF(ISBLANK(Design!$B$43),Constants!$C$6,Design!$B$43)/1000*(1+Constants!$C$36/100*(AR60-25))-Design!$C$29)/(IF(ISBLANK(Design!$B$42),Design!$B$40,Design!$B$42)/1000000)*AI60/100/(IF(ISBLANK(Design!$B$33),Design!$B$32,Design!$B$33)*1000000)&lt;0,0,($B60-AG60*IF(ISBLANK(Design!$B$43),Constants!$C$6,Design!$B$43)/1000*(1+Constants!$C$36/100*(AR60-25))-Design!$C$29)/(IF(ISBLANK(Design!$B$42),Design!$B$40,Design!$B$42)/1000000)*AI60/100/(IF(ISBLANK(Design!$B$33),Design!$B$32,Design!$B$33)*1000000))</f>
        <v>0.34231092358156728</v>
      </c>
      <c r="AK60" s="195">
        <f>$B60*Constants!$C$21/1000+IF(ISBLANK(Design!$B$33),Design!$B$32,Design!$B$33)*1000000*Constants!$D$25/1000000000*($B60-Constants!$C$24)</f>
        <v>8.5013249999999943E-2</v>
      </c>
      <c r="AL60" s="195">
        <f>$B60*AG60*($B60/(Constants!$C$26*1000000000)*IF(ISBLANK(Design!$B$33),Design!$B$32,Design!$B$33)*1000000/2+$B60/(Constants!$C$27*1000000000)*IF(ISBLANK(Design!$B$33),Design!$B$32,Design!$B$33)*1000000/2)</f>
        <v>0.14715257309741236</v>
      </c>
      <c r="AM60" s="195">
        <f t="shared" ca="1" si="15"/>
        <v>4.712380355810615E-2</v>
      </c>
      <c r="AN60" s="195">
        <f>Constants!$D$25/1000000000*Constants!$C$24*IF(ISBLANK(Design!$B$33),Design!$B$32,Design!$B$33)*1000000</f>
        <v>6.8250000000000005E-2</v>
      </c>
      <c r="AO60" s="195">
        <f t="shared" ca="1" si="24"/>
        <v>0.34753962665551841</v>
      </c>
      <c r="AP60" s="195">
        <f t="shared" ca="1" si="21"/>
        <v>8.792580797048774E-2</v>
      </c>
      <c r="AQ60" s="196">
        <f ca="1">$A60+AP60*Design!$B$19</f>
        <v>89.396290398524386</v>
      </c>
      <c r="AR60" s="196">
        <f ca="1">AO60*Design!$C$12+$A60</f>
        <v>96.816347306287625</v>
      </c>
      <c r="AS60" s="196">
        <f ca="1">Constants!$D$22+Constants!$D$22*Constants!$C$23/100*(AR60-25)</f>
        <v>182.45307784503009</v>
      </c>
      <c r="AT60" s="195">
        <f ca="1">IF(100*(Design!$C$29+AH60+AG60*IF(ISBLANK(Design!$B$43),Constants!$C$6,Design!$B$43)/1000*(1+Constants!$C$36/100*(AR60-25)))/($B60+AH60-AG60*AS60/1000)&gt;Design!$B$36,   (1-Constants!$D$20/1000000000*IF(ISBLANK(Design!$B$33),Design!$B$32/4,Design!$B$33/4)*1000000) * ($B60+AH60-AG60*AS60/1000) - (AH60+AG60*(1+($A60-25)*Constants!$C$36/100)*IF(ISBLANK(Design!$B$43),Constants!$C$6/1000,Design!$B$43/1000)),  (1-Constants!$D$20/1000000000*IF(ISBLANK(Design!$B$33),Design!$B$32,Design!$B$33)*1000000) * ($B60+AH60-AG60*AS60/1000) - (AH60+AG60*(1+($A60-25)*Constants!$C$36/100)*IF(ISBLANK(Design!$B$43),Constants!$C$6/1000,Design!$B$43/1000)))</f>
        <v>6.4871824657109132</v>
      </c>
      <c r="AU60" s="119">
        <f ca="1">IF(AT60&gt;Design!$C$29,Design!$C$29,AT60)</f>
        <v>4.99903317535545</v>
      </c>
    </row>
    <row r="61" spans="1:47" ht="12.75" customHeight="1" x14ac:dyDescent="0.3">
      <c r="A61" s="112">
        <f>Design!$D$13</f>
        <v>85</v>
      </c>
      <c r="B61" s="113">
        <f t="shared" si="12"/>
        <v>8.9899999999999967</v>
      </c>
      <c r="C61" s="114">
        <f>Design!$D$7</f>
        <v>2</v>
      </c>
      <c r="D61" s="114">
        <f ca="1">FORECAST(C61, OFFSET(Design!$C$15:$C$17,MATCH(C61,Design!$B$15:$B$17,1)-1,0,2), OFFSET(Design!$B$15:$B$17,MATCH(C61,Design!$B$15:$B$17,1)-1,0,2))+(M61-25)*Design!$B$18/1000</f>
        <v>0.39232718243326226</v>
      </c>
      <c r="E61" s="173">
        <f ca="1">IF(100*(Design!$C$29+D61+C61*IF(ISBLANK(Design!$B$43),Constants!$C$6,Design!$B$43)/1000*(1+Constants!$C$36/100*(N61-25)))/($B61+D61-C61*O61/1000)&gt;Design!$B$36,Design!$B$37,100*(Design!$C$29+D61+C61*IF(ISBLANK(Design!$B$43),Constants!$C$6,Design!$B$43)/1000*(1+Constants!$C$36/100*(N61-25)))/($B61+D61-C61*O61/1000))</f>
        <v>61.277168142225918</v>
      </c>
      <c r="F61" s="115">
        <f ca="1">IF(($B61-C61*IF(ISBLANK(Design!$B$43),Constants!$C$6,Design!$B$43)/1000*(1+Constants!$C$36/100*(N61-25))-Design!$C$29)/(IF(ISBLANK(Design!$B$42),Design!$B$40,Design!$B$42)/1000000)*E61/100/(IF(ISBLANK(Design!$B$33),Design!$B$32,Design!$B$33)*1000000)&lt;0,0,($B61-C61*IF(ISBLANK(Design!$B$43),Constants!$C$6,Design!$B$43)/1000*(1+Constants!$C$36/100*(N61-25))-Design!$C$29)/(IF(ISBLANK(Design!$B$42),Design!$B$40,Design!$B$42)/1000000)*E61/100/(IF(ISBLANK(Design!$B$33),Design!$B$32,Design!$B$33)*1000000))</f>
        <v>0.3431428849679431</v>
      </c>
      <c r="G61" s="165">
        <f>B61*Constants!$C$21/1000+IF(ISBLANK(Design!$B$33),Design!$B$32,Design!$B$33)*1000000*Constants!$D$25/1000000000*(B61-Constants!$C$24)</f>
        <v>8.143349999999995E-2</v>
      </c>
      <c r="H61" s="165">
        <f>B61*C61*(B61/(Constants!$C$26*1000000000)*IF(ISBLANK(Design!$B$33),Design!$B$32,Design!$B$33)*1000000/2+B61/(Constants!$C$27*1000000000)*IF(ISBLANK(Design!$B$33),Design!$B$32,Design!$B$33)*1000000/2)</f>
        <v>0.42107641141552477</v>
      </c>
      <c r="I61" s="165">
        <f t="shared" ca="1" si="13"/>
        <v>0.49639979052345506</v>
      </c>
      <c r="J61" s="165">
        <f>Constants!$D$25/1000000000*Constants!$C$24*IF(ISBLANK(Design!$B$33),Design!$B$32,Design!$B$33)*1000000</f>
        <v>6.8250000000000005E-2</v>
      </c>
      <c r="K61" s="165">
        <f t="shared" ca="1" si="22"/>
        <v>1.0671597019389798</v>
      </c>
      <c r="L61" s="165">
        <f t="shared" ca="1" si="17"/>
        <v>0.30384039037194949</v>
      </c>
      <c r="M61" s="166">
        <f ca="1">$A61+L61*Design!$B$19</f>
        <v>100.19201951859748</v>
      </c>
      <c r="N61" s="166">
        <f ca="1">K61*Design!$C$12+A61</f>
        <v>121.28342986592531</v>
      </c>
      <c r="O61" s="166">
        <f ca="1">Constants!$D$22+Constants!$D$22*Constants!$C$23/100*(N61-25)</f>
        <v>202.02674389274026</v>
      </c>
      <c r="P61" s="165">
        <f ca="1">IF(100*(Design!$C$29+D61+C61*IF(ISBLANK(Design!$B$43),Constants!$C$6,Design!$B$43)/1000*(1+Constants!$C$36/100*(N61-25)))/($B61+D61-C61*O61/1000)&gt;Design!$B$36,   (1-Constants!$D$20/1000000000*IF(ISBLANK(Design!$B$33),Design!$B$32/4,Design!$B$33/4)*1000000) * ($B61+D61-C61*O61/1000) - (D61+C61*(1+($A61-25)*Constants!$C$36/100)*IF(ISBLANK(Design!$B$43),Constants!$C$6/1000,Design!$B$43/1000)),  (1-Constants!$D$20/1000000000*IF(ISBLANK(Design!$B$33),Design!$B$32,Design!$B$33)*1000000) * ($B61+D61-C61*O61/1000) - (D61+C61*(1+($A61-25)*Constants!$C$36/100)*IF(ISBLANK(Design!$B$43),Constants!$C$6/1000,Design!$B$43/1000)))</f>
        <v>6.0360137935756732</v>
      </c>
      <c r="Q61" s="115">
        <f ca="1">IF(P61&gt;Design!$C$29,Design!$C$29,P61)</f>
        <v>4.99903317535545</v>
      </c>
      <c r="R61" s="116">
        <f>2*Design!$D$7/3</f>
        <v>1.3333333333333333</v>
      </c>
      <c r="S61" s="116">
        <f ca="1">FORECAST(R61, OFFSET(Design!$C$15:$C$17,MATCH(R61,Design!$B$15:$B$17,1)-1,0,2), OFFSET(Design!$B$15:$B$17,MATCH(R61,Design!$B$15:$B$17,1)-1,0,2))+(AB61-25)*Design!$B$18/1000</f>
        <v>0.34939121941588425</v>
      </c>
      <c r="T61" s="182">
        <f ca="1">IF(100*(Design!$C$29+S61+R61*IF(ISBLANK(Design!$B$43),Constants!$C$6,Design!$B$43)/1000*(1+Constants!$C$36/100*(AC61-25)))/($B61+S61-R61*AD61/1000)&gt;Design!$B$36,Design!$B$37,100*(Design!$C$29+S61+R61*IF(ISBLANK(Design!$B$43),Constants!$C$6,Design!$B$43)/1000*(1+Constants!$C$36/100*(AC61-25)))/($B61+S61-R61*AD61/1000))</f>
        <v>59.641074885853428</v>
      </c>
      <c r="U61" s="117">
        <f ca="1">IF(($B61-R61*IF(ISBLANK(Design!$B$43),Constants!$C$6,Design!$B$43)/1000*(1+Constants!$C$36/100*(AC61-25))-Design!$C$29)/(IF(ISBLANK(Design!$B$42),Design!$B$40,Design!$B$42)/1000000)*T61/100/(IF(ISBLANK(Design!$B$33),Design!$B$32,Design!$B$33)*1000000)&lt;0,0,($B61-R61*IF(ISBLANK(Design!$B$43),Constants!$C$6,Design!$B$43)/1000*(1+Constants!$C$36/100*(AC61-25))-Design!$C$29)/(IF(ISBLANK(Design!$B$42),Design!$B$40,Design!$B$42)/1000000)*T61/100/(IF(ISBLANK(Design!$B$33),Design!$B$32,Design!$B$33)*1000000))</f>
        <v>0.33741058458797962</v>
      </c>
      <c r="V61" s="183">
        <f>$B61*Constants!$C$21/1000+IF(ISBLANK(Design!$B$33),Design!$B$32,Design!$B$33)*1000000*Constants!$D$25/1000000000*($B61-Constants!$C$24)</f>
        <v>8.143349999999995E-2</v>
      </c>
      <c r="W61" s="183">
        <f>$B61*R61*($B61/(Constants!$C$26*1000000000)*IF(ISBLANK(Design!$B$33),Design!$B$32,Design!$B$33)*1000000/2+$B61/(Constants!$C$27*1000000000)*IF(ISBLANK(Design!$B$33),Design!$B$32,Design!$B$33)*1000000/2)</f>
        <v>0.28071760761034981</v>
      </c>
      <c r="X61" s="183">
        <f t="shared" ca="1" si="14"/>
        <v>0.20276616282956869</v>
      </c>
      <c r="Y61" s="183">
        <f>Constants!$D$25/1000000000*Constants!$C$24*IF(ISBLANK(Design!$B$33),Design!$B$32,Design!$B$33)*1000000</f>
        <v>6.8250000000000005E-2</v>
      </c>
      <c r="Z61" s="183">
        <f t="shared" ca="1" si="23"/>
        <v>0.63316727043991849</v>
      </c>
      <c r="AA61" s="183">
        <f t="shared" ca="1" si="19"/>
        <v>0.18801405413261366</v>
      </c>
      <c r="AB61" s="184">
        <f ca="1">$A61+AA61*Design!$B$19</f>
        <v>94.400702706630682</v>
      </c>
      <c r="AC61" s="184">
        <f ca="1">Z61*Design!$C$12+$A61</f>
        <v>106.52768719495722</v>
      </c>
      <c r="AD61" s="184">
        <f ca="1">Constants!$D$22+Constants!$D$22*Constants!$C$23/100*(AC61-25)</f>
        <v>190.2221497559658</v>
      </c>
      <c r="AE61" s="183">
        <f ca="1">IF(100*(Design!$C$29+S61+R61*IF(ISBLANK(Design!$B$43),Constants!$C$6,Design!$B$43)/1000*(1+Constants!$C$36/100*(AC61-25)))/($B61+S61-R61*AD61/1000)&gt;Design!$B$36,   (1-Constants!$D$20/1000000000*IF(ISBLANK(Design!$B$33),Design!$B$32/4,Design!$B$33/4)*1000000) * ($B61+S61-R61*AD61/1000) - (S61+R61*(1+($A61-25)*Constants!$C$36/100)*IF(ISBLANK(Design!$B$43),Constants!$C$6/1000,Design!$B$43/1000)),  (1-Constants!$D$20/1000000000*IF(ISBLANK(Design!$B$33),Design!$B$32,Design!$B$33)*1000000) * ($B61+S61-R61*AD61/1000) - (S61+R61*(1+($A61-25)*Constants!$C$36/100)*IF(ISBLANK(Design!$B$43),Constants!$C$6/1000,Design!$B$43/1000)))</f>
        <v>6.1900481932693445</v>
      </c>
      <c r="AF61" s="117">
        <f ca="1">IF(AE61&gt;Design!$C$29,Design!$C$29,AE61)</f>
        <v>4.99903317535545</v>
      </c>
      <c r="AG61" s="118">
        <f>Design!$D$7/3</f>
        <v>0.66666666666666663</v>
      </c>
      <c r="AH61" s="118">
        <f ca="1">FORECAST(AG61, OFFSET(Design!$C$15:$C$17,MATCH(AG61,Design!$B$15:$B$17,1)-1,0,2), OFFSET(Design!$B$15:$B$17,MATCH(AG61,Design!$B$15:$B$17,1)-1,0,2))+(AQ61-25)*Design!$B$18/1000</f>
        <v>0.30586768092712963</v>
      </c>
      <c r="AI61" s="194">
        <f ca="1">IF(100*(Design!$C$29+AH61+AG61*IF(ISBLANK(Design!$B$43),Constants!$C$6,Design!$B$43)/1000*(1+Constants!$C$36/100*(AR61-25)))/($B61+AH61-AG61*AS61/1000)&gt;Design!$B$36,Design!$B$37,100*(Design!$C$29+AH61+AG61*IF(ISBLANK(Design!$B$43),Constants!$C$6,Design!$B$43)/1000*(1+Constants!$C$36/100*(AR61-25)))/($B61+AH61-AG61*AS61/1000))</f>
        <v>58.1951824729504</v>
      </c>
      <c r="AJ61" s="119">
        <f ca="1">IF(($B61-AG61*IF(ISBLANK(Design!$B$43),Constants!$C$6,Design!$B$43)/1000*(1+Constants!$C$36/100*(AR61-25))-Design!$C$29)/(IF(ISBLANK(Design!$B$42),Design!$B$40,Design!$B$42)/1000000)*AI61/100/(IF(ISBLANK(Design!$B$33),Design!$B$32,Design!$B$33)*1000000)&lt;0,0,($B61-AG61*IF(ISBLANK(Design!$B$43),Constants!$C$6,Design!$B$43)/1000*(1+Constants!$C$36/100*(AR61-25))-Design!$C$29)/(IF(ISBLANK(Design!$B$42),Design!$B$40,Design!$B$42)/1000000)*AI61/100/(IF(ISBLANK(Design!$B$33),Design!$B$32,Design!$B$33)*1000000))</f>
        <v>0.33227578961241083</v>
      </c>
      <c r="AK61" s="195">
        <f>$B61*Constants!$C$21/1000+IF(ISBLANK(Design!$B$33),Design!$B$32,Design!$B$33)*1000000*Constants!$D$25/1000000000*($B61-Constants!$C$24)</f>
        <v>8.143349999999995E-2</v>
      </c>
      <c r="AL61" s="195">
        <f>$B61*AG61*($B61/(Constants!$C$26*1000000000)*IF(ISBLANK(Design!$B$33),Design!$B$32,Design!$B$33)*1000000/2+$B61/(Constants!$C$27*1000000000)*IF(ISBLANK(Design!$B$33),Design!$B$32,Design!$B$33)*1000000/2)</f>
        <v>0.1403588038051749</v>
      </c>
      <c r="AM61" s="195">
        <f t="shared" ca="1" si="15"/>
        <v>4.8100052724053398E-2</v>
      </c>
      <c r="AN61" s="195">
        <f>Constants!$D$25/1000000000*Constants!$C$24*IF(ISBLANK(Design!$B$33),Design!$B$32,Design!$B$33)*1000000</f>
        <v>6.8250000000000005E-2</v>
      </c>
      <c r="AO61" s="195">
        <f t="shared" ca="1" si="24"/>
        <v>0.33814235652922819</v>
      </c>
      <c r="AP61" s="195">
        <f t="shared" ca="1" si="21"/>
        <v>8.524495059053655E-2</v>
      </c>
      <c r="AQ61" s="196">
        <f ca="1">$A61+AP61*Design!$B$19</f>
        <v>89.262247529526832</v>
      </c>
      <c r="AR61" s="196">
        <f ca="1">AO61*Design!$C$12+$A61</f>
        <v>96.496840121993756</v>
      </c>
      <c r="AS61" s="196">
        <f ca="1">Constants!$D$22+Constants!$D$22*Constants!$C$23/100*(AR61-25)</f>
        <v>182.19747209759501</v>
      </c>
      <c r="AT61" s="195">
        <f ca="1">IF(100*(Design!$C$29+AH61+AG61*IF(ISBLANK(Design!$B$43),Constants!$C$6,Design!$B$43)/1000*(1+Constants!$C$36/100*(AR61-25)))/($B61+AH61-AG61*AS61/1000)&gt;Design!$B$36,   (1-Constants!$D$20/1000000000*IF(ISBLANK(Design!$B$33),Design!$B$32/4,Design!$B$33/4)*1000000) * ($B61+AH61-AG61*AS61/1000) - (AH61+AG61*(1+($A61-25)*Constants!$C$36/100)*IF(ISBLANK(Design!$B$43),Constants!$C$6/1000,Design!$B$43/1000)),  (1-Constants!$D$20/1000000000*IF(ISBLANK(Design!$B$33),Design!$B$32,Design!$B$33)*1000000) * ($B61+AH61-AG61*AS61/1000) - (AH61+AG61*(1+($A61-25)*Constants!$C$36/100)*IF(ISBLANK(Design!$B$43),Constants!$C$6/1000,Design!$B$43/1000)))</f>
        <v>6.3309684149635901</v>
      </c>
      <c r="AU61" s="119">
        <f ca="1">IF(AT61&gt;Design!$C$29,Design!$C$29,AT61)</f>
        <v>4.99903317535545</v>
      </c>
    </row>
    <row r="62" spans="1:47" ht="12.75" customHeight="1" x14ac:dyDescent="0.3">
      <c r="A62" s="112">
        <f>Design!$D$13</f>
        <v>85</v>
      </c>
      <c r="B62" s="113">
        <f t="shared" si="12"/>
        <v>8.7749999999999968</v>
      </c>
      <c r="C62" s="114">
        <f>Design!$D$7</f>
        <v>2</v>
      </c>
      <c r="D62" s="114">
        <f ca="1">FORECAST(C62, OFFSET(Design!$C$15:$C$17,MATCH(C62,Design!$B$15:$B$17,1)-1,0,2), OFFSET(Design!$B$15:$B$17,MATCH(C62,Design!$B$15:$B$17,1)-1,0,2))+(M62-25)*Design!$B$18/1000</f>
        <v>0.39283941442666598</v>
      </c>
      <c r="E62" s="173">
        <f ca="1">IF(100*(Design!$C$29+D62+C62*IF(ISBLANK(Design!$B$43),Constants!$C$6,Design!$B$43)/1000*(1+Constants!$C$36/100*(N62-25)))/($B62+D62-C62*O62/1000)&gt;Design!$B$36,Design!$B$37,100*(Design!$C$29+D62+C62*IF(ISBLANK(Design!$B$43),Constants!$C$6,Design!$B$43)/1000*(1+Constants!$C$36/100*(N62-25)))/($B62+D62-C62*O62/1000))</f>
        <v>62.776462029397955</v>
      </c>
      <c r="F62" s="115">
        <f ca="1">IF(($B62-C62*IF(ISBLANK(Design!$B$43),Constants!$C$6,Design!$B$43)/1000*(1+Constants!$C$36/100*(N62-25))-Design!$C$29)/(IF(ISBLANK(Design!$B$42),Design!$B$40,Design!$B$42)/1000000)*E62/100/(IF(ISBLANK(Design!$B$33),Design!$B$32,Design!$B$33)*1000000)&lt;0,0,($B62-C62*IF(ISBLANK(Design!$B$43),Constants!$C$6,Design!$B$43)/1000*(1+Constants!$C$36/100*(N62-25))-Design!$C$29)/(IF(ISBLANK(Design!$B$42),Design!$B$40,Design!$B$42)/1000000)*E62/100/(IF(ISBLANK(Design!$B$33),Design!$B$32,Design!$B$33)*1000000))</f>
        <v>0.33207446481694508</v>
      </c>
      <c r="G62" s="165">
        <f>B62*Constants!$C$21/1000+IF(ISBLANK(Design!$B$33),Design!$B$32,Design!$B$33)*1000000*Constants!$D$25/1000000000*(B62-Constants!$C$24)</f>
        <v>7.7853749999999944E-2</v>
      </c>
      <c r="H62" s="165">
        <f>B62*C62*(B62/(Constants!$C$26*1000000000)*IF(ISBLANK(Design!$B$33),Design!$B$32,Design!$B$33)*1000000/2+B62/(Constants!$C$27*1000000000)*IF(ISBLANK(Design!$B$33),Design!$B$32,Design!$B$33)*1000000/2)</f>
        <v>0.40117677226027371</v>
      </c>
      <c r="I62" s="165">
        <f t="shared" ca="1" si="13"/>
        <v>0.50762771640077908</v>
      </c>
      <c r="J62" s="165">
        <f>Constants!$D$25/1000000000*Constants!$C$24*IF(ISBLANK(Design!$B$33),Design!$B$32,Design!$B$33)*1000000</f>
        <v>6.8250000000000005E-2</v>
      </c>
      <c r="K62" s="165">
        <f t="shared" ca="1" si="22"/>
        <v>1.0549082386610527</v>
      </c>
      <c r="L62" s="165">
        <f t="shared" ca="1" si="17"/>
        <v>0.2924574571852015</v>
      </c>
      <c r="M62" s="166">
        <f ca="1">$A62+L62*Design!$B$19</f>
        <v>99.62287285926007</v>
      </c>
      <c r="N62" s="166">
        <f ca="1">K62*Design!$C$12+A62</f>
        <v>120.86688011447579</v>
      </c>
      <c r="O62" s="166">
        <f ca="1">Constants!$D$22+Constants!$D$22*Constants!$C$23/100*(N62-25)</f>
        <v>201.69350409158062</v>
      </c>
      <c r="P62" s="165">
        <f ca="1">IF(100*(Design!$C$29+D62+C62*IF(ISBLANK(Design!$B$43),Constants!$C$6,Design!$B$43)/1000*(1+Constants!$C$36/100*(N62-25)))/($B62+D62-C62*O62/1000)&gt;Design!$B$36,   (1-Constants!$D$20/1000000000*IF(ISBLANK(Design!$B$33),Design!$B$32/4,Design!$B$33/4)*1000000) * ($B62+D62-C62*O62/1000) - (D62+C62*(1+($A62-25)*Constants!$C$36/100)*IF(ISBLANK(Design!$B$43),Constants!$C$6/1000,Design!$B$43/1000)),  (1-Constants!$D$20/1000000000*IF(ISBLANK(Design!$B$33),Design!$B$32,Design!$B$33)*1000000) * ($B62+D62-C62*O62/1000) - (D62+C62*(1+($A62-25)*Constants!$C$36/100)*IF(ISBLANK(Design!$B$43),Constants!$C$6/1000,Design!$B$43/1000)))</f>
        <v>5.8800534849123594</v>
      </c>
      <c r="Q62" s="115">
        <f ca="1">IF(P62&gt;Design!$C$29,Design!$C$29,P62)</f>
        <v>4.99903317535545</v>
      </c>
      <c r="R62" s="116">
        <f>2*Design!$D$7/3</f>
        <v>1.3333333333333333</v>
      </c>
      <c r="S62" s="116">
        <f ca="1">FORECAST(R62, OFFSET(Design!$C$15:$C$17,MATCH(R62,Design!$B$15:$B$17,1)-1,0,2), OFFSET(Design!$B$15:$B$17,MATCH(R62,Design!$B$15:$B$17,1)-1,0,2))+(AB62-25)*Design!$B$18/1000</f>
        <v>0.34968676428689749</v>
      </c>
      <c r="T62" s="182">
        <f ca="1">IF(100*(Design!$C$29+S62+R62*IF(ISBLANK(Design!$B$43),Constants!$C$6,Design!$B$43)/1000*(1+Constants!$C$36/100*(AC62-25)))/($B62+S62-R62*AD62/1000)&gt;Design!$B$36,Design!$B$37,100*(Design!$C$29+S62+R62*IF(ISBLANK(Design!$B$43),Constants!$C$6,Design!$B$43)/1000*(1+Constants!$C$36/100*(AC62-25)))/($B62+S62-R62*AD62/1000))</f>
        <v>61.083802234622219</v>
      </c>
      <c r="U62" s="117">
        <f ca="1">IF(($B62-R62*IF(ISBLANK(Design!$B$43),Constants!$C$6,Design!$B$43)/1000*(1+Constants!$C$36/100*(AC62-25))-Design!$C$29)/(IF(ISBLANK(Design!$B$42),Design!$B$40,Design!$B$42)/1000000)*T62/100/(IF(ISBLANK(Design!$B$33),Design!$B$32,Design!$B$33)*1000000)&lt;0,0,($B62-R62*IF(ISBLANK(Design!$B$43),Constants!$C$6,Design!$B$43)/1000*(1+Constants!$C$36/100*(AC62-25))-Design!$C$29)/(IF(ISBLANK(Design!$B$42),Design!$B$40,Design!$B$42)/1000000)*T62/100/(IF(ISBLANK(Design!$B$33),Design!$B$32,Design!$B$33)*1000000))</f>
        <v>0.32662941382790217</v>
      </c>
      <c r="V62" s="183">
        <f>$B62*Constants!$C$21/1000+IF(ISBLANK(Design!$B$33),Design!$B$32,Design!$B$33)*1000000*Constants!$D$25/1000000000*($B62-Constants!$C$24)</f>
        <v>7.7853749999999944E-2</v>
      </c>
      <c r="W62" s="183">
        <f>$B62*R62*($B62/(Constants!$C$26*1000000000)*IF(ISBLANK(Design!$B$33),Design!$B$32,Design!$B$33)*1000000/2+$B62/(Constants!$C$27*1000000000)*IF(ISBLANK(Design!$B$33),Design!$B$32,Design!$B$33)*1000000/2)</f>
        <v>0.26745118150684916</v>
      </c>
      <c r="X62" s="183">
        <f t="shared" ca="1" si="14"/>
        <v>0.20723434595651663</v>
      </c>
      <c r="Y62" s="183">
        <f>Constants!$D$25/1000000000*Constants!$C$24*IF(ISBLANK(Design!$B$33),Design!$B$32,Design!$B$33)*1000000</f>
        <v>6.8250000000000005E-2</v>
      </c>
      <c r="Z62" s="183">
        <f t="shared" ca="1" si="23"/>
        <v>0.62078927746336576</v>
      </c>
      <c r="AA62" s="183">
        <f t="shared" ca="1" si="19"/>
        <v>0.18144639033231927</v>
      </c>
      <c r="AB62" s="184">
        <f ca="1">$A62+AA62*Design!$B$19</f>
        <v>94.072319516615963</v>
      </c>
      <c r="AC62" s="184">
        <f ca="1">Z62*Design!$C$12+$A62</f>
        <v>106.10683543375444</v>
      </c>
      <c r="AD62" s="184">
        <f ca="1">Constants!$D$22+Constants!$D$22*Constants!$C$23/100*(AC62-25)</f>
        <v>189.88546834700355</v>
      </c>
      <c r="AE62" s="183">
        <f ca="1">IF(100*(Design!$C$29+S62+R62*IF(ISBLANK(Design!$B$43),Constants!$C$6,Design!$B$43)/1000*(1+Constants!$C$36/100*(AC62-25)))/($B62+S62-R62*AD62/1000)&gt;Design!$B$36,   (1-Constants!$D$20/1000000000*IF(ISBLANK(Design!$B$33),Design!$B$32/4,Design!$B$33/4)*1000000) * ($B62+S62-R62*AD62/1000) - (S62+R62*(1+($A62-25)*Constants!$C$36/100)*IF(ISBLANK(Design!$B$43),Constants!$C$6/1000,Design!$B$43/1000)),  (1-Constants!$D$20/1000000000*IF(ISBLANK(Design!$B$33),Design!$B$32,Design!$B$33)*1000000) * ($B62+S62-R62*AD62/1000) - (S62+R62*(1+($A62-25)*Constants!$C$36/100)*IF(ISBLANK(Design!$B$43),Constants!$C$6/1000,Design!$B$43/1000)))</f>
        <v>6.0339888660319785</v>
      </c>
      <c r="AF62" s="117">
        <f ca="1">IF(AE62&gt;Design!$C$29,Design!$C$29,AE62)</f>
        <v>4.99903317535545</v>
      </c>
      <c r="AG62" s="118">
        <f>Design!$D$7/3</f>
        <v>0.66666666666666663</v>
      </c>
      <c r="AH62" s="118">
        <f ca="1">FORECAST(AG62, OFFSET(Design!$C$15:$C$17,MATCH(AG62,Design!$B$15:$B$17,1)-1,0,2), OFFSET(Design!$B$15:$B$17,MATCH(AG62,Design!$B$15:$B$17,1)-1,0,2))+(AQ62-25)*Design!$B$18/1000</f>
        <v>0.30599420907714447</v>
      </c>
      <c r="AI62" s="194">
        <f ca="1">IF(100*(Design!$C$29+AH62+AG62*IF(ISBLANK(Design!$B$43),Constants!$C$6,Design!$B$43)/1000*(1+Constants!$C$36/100*(AR62-25)))/($B62+AH62-AG62*AS62/1000)&gt;Design!$B$36,Design!$B$37,100*(Design!$C$29+AH62+AG62*IF(ISBLANK(Design!$B$43),Constants!$C$6,Design!$B$43)/1000*(1+Constants!$C$36/100*(AR62-25)))/($B62+AH62-AG62*AS62/1000))</f>
        <v>59.590797074811562</v>
      </c>
      <c r="AJ62" s="119">
        <f ca="1">IF(($B62-AG62*IF(ISBLANK(Design!$B$43),Constants!$C$6,Design!$B$43)/1000*(1+Constants!$C$36/100*(AR62-25))-Design!$C$29)/(IF(ISBLANK(Design!$B$42),Design!$B$40,Design!$B$42)/1000000)*AI62/100/(IF(ISBLANK(Design!$B$33),Design!$B$32,Design!$B$33)*1000000)&lt;0,0,($B62-AG62*IF(ISBLANK(Design!$B$43),Constants!$C$6,Design!$B$43)/1000*(1+Constants!$C$36/100*(AR62-25))-Design!$C$29)/(IF(ISBLANK(Design!$B$42),Design!$B$40,Design!$B$42)/1000000)*AI62/100/(IF(ISBLANK(Design!$B$33),Design!$B$32,Design!$B$33)*1000000))</f>
        <v>0.32175935069293943</v>
      </c>
      <c r="AK62" s="195">
        <f>$B62*Constants!$C$21/1000+IF(ISBLANK(Design!$B$33),Design!$B$32,Design!$B$33)*1000000*Constants!$D$25/1000000000*($B62-Constants!$C$24)</f>
        <v>7.7853749999999944E-2</v>
      </c>
      <c r="AL62" s="195">
        <f>$B62*AG62*($B62/(Constants!$C$26*1000000000)*IF(ISBLANK(Design!$B$33),Design!$B$32,Design!$B$33)*1000000/2+$B62/(Constants!$C$27*1000000000)*IF(ISBLANK(Design!$B$33),Design!$B$32,Design!$B$33)*1000000/2)</f>
        <v>0.13372559075342458</v>
      </c>
      <c r="AM62" s="195">
        <f t="shared" ca="1" si="15"/>
        <v>4.9123855837732988E-2</v>
      </c>
      <c r="AN62" s="195">
        <f>Constants!$D$25/1000000000*Constants!$C$24*IF(ISBLANK(Design!$B$33),Design!$B$32,Design!$B$33)*1000000</f>
        <v>6.8250000000000005E-2</v>
      </c>
      <c r="AO62" s="195">
        <f t="shared" ca="1" si="24"/>
        <v>0.32895319659115752</v>
      </c>
      <c r="AP62" s="195">
        <f t="shared" ca="1" si="21"/>
        <v>8.2433213923539111E-2</v>
      </c>
      <c r="AQ62" s="196">
        <f ca="1">$A62+AP62*Design!$B$19</f>
        <v>89.12166069617696</v>
      </c>
      <c r="AR62" s="196">
        <f ca="1">AO62*Design!$C$12+$A62</f>
        <v>96.184408684099353</v>
      </c>
      <c r="AS62" s="196">
        <f ca="1">Constants!$D$22+Constants!$D$22*Constants!$C$23/100*(AR62-25)</f>
        <v>181.94752694727947</v>
      </c>
      <c r="AT62" s="195">
        <f ca="1">IF(100*(Design!$C$29+AH62+AG62*IF(ISBLANK(Design!$B$43),Constants!$C$6,Design!$B$43)/1000*(1+Constants!$C$36/100*(AR62-25)))/($B62+AH62-AG62*AS62/1000)&gt;Design!$B$36,   (1-Constants!$D$20/1000000000*IF(ISBLANK(Design!$B$33),Design!$B$32/4,Design!$B$33/4)*1000000) * ($B62+AH62-AG62*AS62/1000) - (AH62+AG62*(1+($A62-25)*Constants!$C$36/100)*IF(ISBLANK(Design!$B$43),Constants!$C$6/1000,Design!$B$43/1000)),  (1-Constants!$D$20/1000000000*IF(ISBLANK(Design!$B$33),Design!$B$32,Design!$B$33)*1000000) * ($B62+AH62-AG62*AS62/1000) - (AH62+AG62*(1+($A62-25)*Constants!$C$36/100)*IF(ISBLANK(Design!$B$43),Constants!$C$6/1000,Design!$B$43/1000)))</f>
        <v>6.1747500128614892</v>
      </c>
      <c r="AU62" s="119">
        <f ca="1">IF(AT62&gt;Design!$C$29,Design!$C$29,AT62)</f>
        <v>4.99903317535545</v>
      </c>
    </row>
    <row r="63" spans="1:47" ht="12.75" customHeight="1" x14ac:dyDescent="0.3">
      <c r="A63" s="112">
        <f>Design!$D$13</f>
        <v>85</v>
      </c>
      <c r="B63" s="113">
        <f t="shared" si="12"/>
        <v>8.5599999999999969</v>
      </c>
      <c r="C63" s="114">
        <f>Design!$D$7</f>
        <v>2</v>
      </c>
      <c r="D63" s="114">
        <f ca="1">FORECAST(C63, OFFSET(Design!$C$15:$C$17,MATCH(C63,Design!$B$15:$B$17,1)-1,0,2), OFFSET(Design!$B$15:$B$17,MATCH(C63,Design!$B$15:$B$17,1)-1,0,2))+(M63-25)*Design!$B$18/1000</f>
        <v>0.39337895189108468</v>
      </c>
      <c r="E63" s="173">
        <f ca="1">IF(100*(Design!$C$29+D63+C63*IF(ISBLANK(Design!$B$43),Constants!$C$6,Design!$B$43)/1000*(1+Constants!$C$36/100*(N63-25)))/($B63+D63-C63*O63/1000)&gt;Design!$B$36,Design!$B$37,100*(Design!$C$29+D63+C63*IF(ISBLANK(Design!$B$43),Constants!$C$6,Design!$B$43)/1000*(1+Constants!$C$36/100*(N63-25)))/($B63+D63-C63*O63/1000))</f>
        <v>64.351456222379838</v>
      </c>
      <c r="F63" s="115">
        <f ca="1">IF(($B63-C63*IF(ISBLANK(Design!$B$43),Constants!$C$6,Design!$B$43)/1000*(1+Constants!$C$36/100*(N63-25))-Design!$C$29)/(IF(ISBLANK(Design!$B$42),Design!$B$40,Design!$B$42)/1000000)*E63/100/(IF(ISBLANK(Design!$B$33),Design!$B$32,Design!$B$33)*1000000)&lt;0,0,($B63-C63*IF(ISBLANK(Design!$B$43),Constants!$C$6,Design!$B$43)/1000*(1+Constants!$C$36/100*(N63-25))-Design!$C$29)/(IF(ISBLANK(Design!$B$42),Design!$B$40,Design!$B$42)/1000000)*E63/100/(IF(ISBLANK(Design!$B$33),Design!$B$32,Design!$B$33)*1000000))</f>
        <v>0.32045216239918561</v>
      </c>
      <c r="G63" s="165">
        <f>B63*Constants!$C$21/1000+IF(ISBLANK(Design!$B$33),Design!$B$32,Design!$B$33)*1000000*Constants!$D$25/1000000000*(B63-Constants!$C$24)</f>
        <v>7.4273999999999951E-2</v>
      </c>
      <c r="H63" s="165">
        <f>B63*C63*(B63/(Constants!$C$26*1000000000)*IF(ISBLANK(Design!$B$33),Design!$B$32,Design!$B$33)*1000000/2+B63/(Constants!$C$27*1000000000)*IF(ISBLANK(Design!$B$33),Design!$B$32,Design!$B$33)*1000000/2)</f>
        <v>0.38175880182648375</v>
      </c>
      <c r="I63" s="165">
        <f t="shared" ca="1" si="13"/>
        <v>0.51950098677991474</v>
      </c>
      <c r="J63" s="165">
        <f>Constants!$D$25/1000000000*Constants!$C$24*IF(ISBLANK(Design!$B$33),Design!$B$32,Design!$B$33)*1000000</f>
        <v>6.8250000000000005E-2</v>
      </c>
      <c r="K63" s="165">
        <f t="shared" ca="1" si="22"/>
        <v>1.0437837886063983</v>
      </c>
      <c r="L63" s="165">
        <f t="shared" ca="1" si="17"/>
        <v>0.2804677357536734</v>
      </c>
      <c r="M63" s="166">
        <f ca="1">$A63+L63*Design!$B$19</f>
        <v>99.023386787683677</v>
      </c>
      <c r="N63" s="166">
        <f ca="1">K63*Design!$C$12+A63</f>
        <v>120.48864881261754</v>
      </c>
      <c r="O63" s="166">
        <f ca="1">Constants!$D$22+Constants!$D$22*Constants!$C$23/100*(N63-25)</f>
        <v>201.39091905009406</v>
      </c>
      <c r="P63" s="165">
        <f ca="1">IF(100*(Design!$C$29+D63+C63*IF(ISBLANK(Design!$B$43),Constants!$C$6,Design!$B$43)/1000*(1+Constants!$C$36/100*(N63-25)))/($B63+D63-C63*O63/1000)&gt;Design!$B$36,   (1-Constants!$D$20/1000000000*IF(ISBLANK(Design!$B$33),Design!$B$32/4,Design!$B$33/4)*1000000) * ($B63+D63-C63*O63/1000) - (D63+C63*(1+($A63-25)*Constants!$C$36/100)*IF(ISBLANK(Design!$B$43),Constants!$C$6/1000,Design!$B$43/1000)),  (1-Constants!$D$20/1000000000*IF(ISBLANK(Design!$B$33),Design!$B$32,Design!$B$33)*1000000) * ($B63+D63-C63*O63/1000) - (D63+C63*(1+($A63-25)*Constants!$C$36/100)*IF(ISBLANK(Design!$B$43),Constants!$C$6/1000,Design!$B$43/1000)))</f>
        <v>5.7240411498348962</v>
      </c>
      <c r="Q63" s="115">
        <f ca="1">IF(P63&gt;Design!$C$29,Design!$C$29,P63)</f>
        <v>4.99903317535545</v>
      </c>
      <c r="R63" s="116">
        <f>2*Design!$D$7/3</f>
        <v>1.3333333333333333</v>
      </c>
      <c r="S63" s="116">
        <f ca="1">FORECAST(R63, OFFSET(Design!$C$15:$C$17,MATCH(R63,Design!$B$15:$B$17,1)-1,0,2), OFFSET(Design!$B$15:$B$17,MATCH(R63,Design!$B$15:$B$17,1)-1,0,2))+(AB63-25)*Design!$B$18/1000</f>
        <v>0.34999752914568028</v>
      </c>
      <c r="T63" s="182">
        <f ca="1">IF(100*(Design!$C$29+S63+R63*IF(ISBLANK(Design!$B$43),Constants!$C$6,Design!$B$43)/1000*(1+Constants!$C$36/100*(AC63-25)))/($B63+S63-R63*AD63/1000)&gt;Design!$B$36,Design!$B$37,100*(Design!$C$29+S63+R63*IF(ISBLANK(Design!$B$43),Constants!$C$6,Design!$B$43)/1000*(1+Constants!$C$36/100*(AC63-25)))/($B63+S63-R63*AD63/1000))</f>
        <v>62.598199262799405</v>
      </c>
      <c r="U63" s="117">
        <f ca="1">IF(($B63-R63*IF(ISBLANK(Design!$B$43),Constants!$C$6,Design!$B$43)/1000*(1+Constants!$C$36/100*(AC63-25))-Design!$C$29)/(IF(ISBLANK(Design!$B$42),Design!$B$40,Design!$B$42)/1000000)*T63/100/(IF(ISBLANK(Design!$B$33),Design!$B$32,Design!$B$33)*1000000)&lt;0,0,($B63-R63*IF(ISBLANK(Design!$B$43),Constants!$C$6,Design!$B$43)/1000*(1+Constants!$C$36/100*(AC63-25))-Design!$C$29)/(IF(ISBLANK(Design!$B$42),Design!$B$40,Design!$B$42)/1000000)*T63/100/(IF(ISBLANK(Design!$B$33),Design!$B$32,Design!$B$33)*1000000))</f>
        <v>0.31531406002384404</v>
      </c>
      <c r="V63" s="183">
        <f>$B63*Constants!$C$21/1000+IF(ISBLANK(Design!$B$33),Design!$B$32,Design!$B$33)*1000000*Constants!$D$25/1000000000*($B63-Constants!$C$24)</f>
        <v>7.4273999999999951E-2</v>
      </c>
      <c r="W63" s="183">
        <f>$B63*R63*($B63/(Constants!$C$26*1000000000)*IF(ISBLANK(Design!$B$33),Design!$B$32,Design!$B$33)*1000000/2+$B63/(Constants!$C$27*1000000000)*IF(ISBLANK(Design!$B$33),Design!$B$32,Design!$B$33)*1000000/2)</f>
        <v>0.2545058678843225</v>
      </c>
      <c r="X63" s="183">
        <f t="shared" ca="1" si="14"/>
        <v>0.21194075957295097</v>
      </c>
      <c r="Y63" s="183">
        <f>Constants!$D$25/1000000000*Constants!$C$24*IF(ISBLANK(Design!$B$33),Design!$B$32,Design!$B$33)*1000000</f>
        <v>6.8250000000000005E-2</v>
      </c>
      <c r="Z63" s="183">
        <f t="shared" ca="1" si="23"/>
        <v>0.60897062745727348</v>
      </c>
      <c r="AA63" s="183">
        <f t="shared" ca="1" si="19"/>
        <v>0.17454050458159057</v>
      </c>
      <c r="AB63" s="184">
        <f ca="1">$A63+AA63*Design!$B$19</f>
        <v>93.72702522907953</v>
      </c>
      <c r="AC63" s="184">
        <f ca="1">Z63*Design!$C$12+$A63</f>
        <v>105.7050013335473</v>
      </c>
      <c r="AD63" s="184">
        <f ca="1">Constants!$D$22+Constants!$D$22*Constants!$C$23/100*(AC63-25)</f>
        <v>189.56400106683785</v>
      </c>
      <c r="AE63" s="183">
        <f ca="1">IF(100*(Design!$C$29+S63+R63*IF(ISBLANK(Design!$B$43),Constants!$C$6,Design!$B$43)/1000*(1+Constants!$C$36/100*(AC63-25)))/($B63+S63-R63*AD63/1000)&gt;Design!$B$36,   (1-Constants!$D$20/1000000000*IF(ISBLANK(Design!$B$33),Design!$B$32/4,Design!$B$33/4)*1000000) * ($B63+S63-R63*AD63/1000) - (S63+R63*(1+($A63-25)*Constants!$C$36/100)*IF(ISBLANK(Design!$B$43),Constants!$C$6/1000,Design!$B$43/1000)),  (1-Constants!$D$20/1000000000*IF(ISBLANK(Design!$B$33),Design!$B$32,Design!$B$33)*1000000) * ($B63+S63-R63*AD63/1000) - (S63+R63*(1+($A63-25)*Constants!$C$36/100)*IF(ISBLANK(Design!$B$43),Constants!$C$6/1000,Design!$B$43/1000)))</f>
        <v>5.8779106361757725</v>
      </c>
      <c r="AF63" s="117">
        <f ca="1">IF(AE63&gt;Design!$C$29,Design!$C$29,AE63)</f>
        <v>4.99903317535545</v>
      </c>
      <c r="AG63" s="118">
        <f>Design!$D$7/3</f>
        <v>0.66666666666666663</v>
      </c>
      <c r="AH63" s="118">
        <f ca="1">FORECAST(AG63, OFFSET(Design!$C$15:$C$17,MATCH(AG63,Design!$B$15:$B$17,1)-1,0,2), OFFSET(Design!$B$15:$B$17,MATCH(AG63,Design!$B$15:$B$17,1)-1,0,2))+(AQ63-25)*Design!$B$18/1000</f>
        <v>0.3061270686047286</v>
      </c>
      <c r="AI63" s="194">
        <f ca="1">IF(100*(Design!$C$29+AH63+AG63*IF(ISBLANK(Design!$B$43),Constants!$C$6,Design!$B$43)/1000*(1+Constants!$C$36/100*(AR63-25)))/($B63+AH63-AG63*AS63/1000)&gt;Design!$B$36,Design!$B$37,100*(Design!$C$29+AH63+AG63*IF(ISBLANK(Design!$B$43),Constants!$C$6,Design!$B$43)/1000*(1+Constants!$C$36/100*(AR63-25)))/($B63+AH63-AG63*AS63/1000))</f>
        <v>61.055005521326201</v>
      </c>
      <c r="AJ63" s="119">
        <f ca="1">IF(($B63-AG63*IF(ISBLANK(Design!$B$43),Constants!$C$6,Design!$B$43)/1000*(1+Constants!$C$36/100*(AR63-25))-Design!$C$29)/(IF(ISBLANK(Design!$B$42),Design!$B$40,Design!$B$42)/1000000)*AI63/100/(IF(ISBLANK(Design!$B$33),Design!$B$32,Design!$B$33)*1000000)&lt;0,0,($B63-AG63*IF(ISBLANK(Design!$B$43),Constants!$C$6,Design!$B$43)/1000*(1+Constants!$C$36/100*(AR63-25))-Design!$C$29)/(IF(ISBLANK(Design!$B$42),Design!$B$40,Design!$B$42)/1000000)*AI63/100/(IF(ISBLANK(Design!$B$33),Design!$B$32,Design!$B$33)*1000000))</f>
        <v>0.31072610487317492</v>
      </c>
      <c r="AK63" s="195">
        <f>$B63*Constants!$C$21/1000+IF(ISBLANK(Design!$B$33),Design!$B$32,Design!$B$33)*1000000*Constants!$D$25/1000000000*($B63-Constants!$C$24)</f>
        <v>7.4273999999999951E-2</v>
      </c>
      <c r="AL63" s="195">
        <f>$B63*AG63*($B63/(Constants!$C$26*1000000000)*IF(ISBLANK(Design!$B$33),Design!$B$32,Design!$B$33)*1000000/2+$B63/(Constants!$C$27*1000000000)*IF(ISBLANK(Design!$B$33),Design!$B$32,Design!$B$33)*1000000/2)</f>
        <v>0.12725293394216125</v>
      </c>
      <c r="AM63" s="195">
        <f t="shared" ca="1" si="15"/>
        <v>5.0198818522173956E-2</v>
      </c>
      <c r="AN63" s="195">
        <f>Constants!$D$25/1000000000*Constants!$C$24*IF(ISBLANK(Design!$B$33),Design!$B$32,Design!$B$33)*1000000</f>
        <v>6.8250000000000005E-2</v>
      </c>
      <c r="AO63" s="195">
        <f t="shared" ca="1" si="24"/>
        <v>0.31997575246433518</v>
      </c>
      <c r="AP63" s="195">
        <f t="shared" ca="1" si="21"/>
        <v>7.9480779977225011E-2</v>
      </c>
      <c r="AQ63" s="196">
        <f ca="1">$A63+AP63*Design!$B$19</f>
        <v>88.974038998861246</v>
      </c>
      <c r="AR63" s="196">
        <f ca="1">AO63*Design!$C$12+$A63</f>
        <v>95.879175583787401</v>
      </c>
      <c r="AS63" s="196">
        <f ca="1">Constants!$D$22+Constants!$D$22*Constants!$C$23/100*(AR63-25)</f>
        <v>181.70334046702993</v>
      </c>
      <c r="AT63" s="195">
        <f ca="1">IF(100*(Design!$C$29+AH63+AG63*IF(ISBLANK(Design!$B$43),Constants!$C$6,Design!$B$43)/1000*(1+Constants!$C$36/100*(AR63-25)))/($B63+AH63-AG63*AS63/1000)&gt;Design!$B$36,   (1-Constants!$D$20/1000000000*IF(ISBLANK(Design!$B$33),Design!$B$32/4,Design!$B$33/4)*1000000) * ($B63+AH63-AG63*AS63/1000) - (AH63+AG63*(1+($A63-25)*Constants!$C$36/100)*IF(ISBLANK(Design!$B$43),Constants!$C$6/1000,Design!$B$43/1000)),  (1-Constants!$D$20/1000000000*IF(ISBLANK(Design!$B$33),Design!$B$32,Design!$B$33)*1000000) * ($B63+AH63-AG63*AS63/1000) - (AH63+AG63*(1+($A63-25)*Constants!$C$36/100)*IF(ISBLANK(Design!$B$43),Constants!$C$6/1000,Design!$B$43/1000)))</f>
        <v>6.0185270912578863</v>
      </c>
      <c r="AU63" s="119">
        <f ca="1">IF(AT63&gt;Design!$C$29,Design!$C$29,AT63)</f>
        <v>4.99903317535545</v>
      </c>
    </row>
    <row r="64" spans="1:47" ht="12.75" customHeight="1" x14ac:dyDescent="0.3">
      <c r="A64" s="112">
        <f>Design!$D$13</f>
        <v>85</v>
      </c>
      <c r="B64" s="113">
        <f t="shared" si="12"/>
        <v>8.3449999999999971</v>
      </c>
      <c r="C64" s="114">
        <f>Design!$D$7</f>
        <v>2</v>
      </c>
      <c r="D64" s="114">
        <f ca="1">FORECAST(C64, OFFSET(Design!$C$15:$C$17,MATCH(C64,Design!$B$15:$B$17,1)-1,0,2), OFFSET(Design!$B$15:$B$17,MATCH(C64,Design!$B$15:$B$17,1)-1,0,2))+(M64-25)*Design!$B$18/1000</f>
        <v>0.39394803886141355</v>
      </c>
      <c r="E64" s="173">
        <f ca="1">IF(100*(Design!$C$29+D64+C64*IF(ISBLANK(Design!$B$43),Constants!$C$6,Design!$B$43)/1000*(1+Constants!$C$36/100*(N64-25)))/($B64+D64-C64*O64/1000)&gt;Design!$B$36,Design!$B$37,100*(Design!$C$29+D64+C64*IF(ISBLANK(Design!$B$43),Constants!$C$6,Design!$B$43)/1000*(1+Constants!$C$36/100*(N64-25)))/($B64+D64-C64*O64/1000))</f>
        <v>66.008035043236831</v>
      </c>
      <c r="F64" s="115">
        <f ca="1">IF(($B64-C64*IF(ISBLANK(Design!$B$43),Constants!$C$6,Design!$B$43)/1000*(1+Constants!$C$36/100*(N64-25))-Design!$C$29)/(IF(ISBLANK(Design!$B$42),Design!$B$40,Design!$B$42)/1000000)*E64/100/(IF(ISBLANK(Design!$B$33),Design!$B$32,Design!$B$33)*1000000)&lt;0,0,($B64-C64*IF(ISBLANK(Design!$B$43),Constants!$C$6,Design!$B$43)/1000*(1+Constants!$C$36/100*(N64-25))-Design!$C$29)/(IF(ISBLANK(Design!$B$42),Design!$B$40,Design!$B$42)/1000000)*E64/100/(IF(ISBLANK(Design!$B$33),Design!$B$32,Design!$B$33)*1000000))</f>
        <v>0.30823290003801151</v>
      </c>
      <c r="G64" s="165">
        <f>B64*Constants!$C$21/1000+IF(ISBLANK(Design!$B$33),Design!$B$32,Design!$B$33)*1000000*Constants!$D$25/1000000000*(B64-Constants!$C$24)</f>
        <v>7.0694249999999959E-2</v>
      </c>
      <c r="H64" s="165">
        <f>B64*C64*(B64/(Constants!$C$26*1000000000)*IF(ISBLANK(Design!$B$33),Design!$B$32,Design!$B$33)*1000000/2+B64/(Constants!$C$27*1000000000)*IF(ISBLANK(Design!$B$33),Design!$B$32,Design!$B$33)*1000000/2)</f>
        <v>0.36282250011415507</v>
      </c>
      <c r="I64" s="165">
        <f t="shared" ca="1" si="13"/>
        <v>0.53207372267732389</v>
      </c>
      <c r="J64" s="165">
        <f>Constants!$D$25/1000000000*Constants!$C$24*IF(ISBLANK(Design!$B$33),Design!$B$32,Design!$B$33)*1000000</f>
        <v>6.8250000000000005E-2</v>
      </c>
      <c r="K64" s="165">
        <f t="shared" ca="1" si="22"/>
        <v>1.0338404727914789</v>
      </c>
      <c r="L64" s="165">
        <f t="shared" ca="1" si="17"/>
        <v>0.26782135863525486</v>
      </c>
      <c r="M64" s="166">
        <f ca="1">$A64+L64*Design!$B$19</f>
        <v>98.391067931762748</v>
      </c>
      <c r="N64" s="166">
        <f ca="1">K64*Design!$C$12+A64</f>
        <v>120.15057607491028</v>
      </c>
      <c r="O64" s="166">
        <f ca="1">Constants!$D$22+Constants!$D$22*Constants!$C$23/100*(N64-25)</f>
        <v>201.12046085992824</v>
      </c>
      <c r="P64" s="165">
        <f ca="1">IF(100*(Design!$C$29+D64+C64*IF(ISBLANK(Design!$B$43),Constants!$C$6,Design!$B$43)/1000*(1+Constants!$C$36/100*(N64-25)))/($B64+D64-C64*O64/1000)&gt;Design!$B$36,   (1-Constants!$D$20/1000000000*IF(ISBLANK(Design!$B$33),Design!$B$32/4,Design!$B$33/4)*1000000) * ($B64+D64-C64*O64/1000) - (D64+C64*(1+($A64-25)*Constants!$C$36/100)*IF(ISBLANK(Design!$B$43),Constants!$C$6/1000,Design!$B$43/1000)),  (1-Constants!$D$20/1000000000*IF(ISBLANK(Design!$B$33),Design!$B$32,Design!$B$33)*1000000) * ($B64+D64-C64*O64/1000) - (D64+C64*(1+($A64-25)*Constants!$C$36/100)*IF(ISBLANK(Design!$B$43),Constants!$C$6/1000,Design!$B$43/1000)))</f>
        <v>5.5679740353004963</v>
      </c>
      <c r="Q64" s="115">
        <f ca="1">IF(P64&gt;Design!$C$29,Design!$C$29,P64)</f>
        <v>4.99903317535545</v>
      </c>
      <c r="R64" s="116">
        <f>2*Design!$D$7/3</f>
        <v>1.3333333333333333</v>
      </c>
      <c r="S64" s="116">
        <f ca="1">FORECAST(R64, OFFSET(Design!$C$15:$C$17,MATCH(R64,Design!$B$15:$B$17,1)-1,0,2), OFFSET(Design!$B$15:$B$17,MATCH(R64,Design!$B$15:$B$17,1)-1,0,2))+(AB64-25)*Design!$B$18/1000</f>
        <v>0.35032471963837281</v>
      </c>
      <c r="T64" s="182">
        <f ca="1">IF(100*(Design!$C$29+S64+R64*IF(ISBLANK(Design!$B$43),Constants!$C$6,Design!$B$43)/1000*(1+Constants!$C$36/100*(AC64-25)))/($B64+S64-R64*AD64/1000)&gt;Design!$B$36,Design!$B$37,100*(Design!$C$29+S64+R64*IF(ISBLANK(Design!$B$43),Constants!$C$6,Design!$B$43)/1000*(1+Constants!$C$36/100*(AC64-25)))/($B64+S64-R64*AD64/1000))</f>
        <v>64.189736971035359</v>
      </c>
      <c r="U64" s="117">
        <f ca="1">IF(($B64-R64*IF(ISBLANK(Design!$B$43),Constants!$C$6,Design!$B$43)/1000*(1+Constants!$C$36/100*(AC64-25))-Design!$C$29)/(IF(ISBLANK(Design!$B$42),Design!$B$40,Design!$B$42)/1000000)*T64/100/(IF(ISBLANK(Design!$B$33),Design!$B$32,Design!$B$33)*1000000)&lt;0,0,($B64-R64*IF(ISBLANK(Design!$B$43),Constants!$C$6,Design!$B$43)/1000*(1+Constants!$C$36/100*(AC64-25))-Design!$C$29)/(IF(ISBLANK(Design!$B$42),Design!$B$40,Design!$B$42)/1000000)*T64/100/(IF(ISBLANK(Design!$B$33),Design!$B$32,Design!$B$33)*1000000))</f>
        <v>0.30342366648691838</v>
      </c>
      <c r="V64" s="183">
        <f>$B64*Constants!$C$21/1000+IF(ISBLANK(Design!$B$33),Design!$B$32,Design!$B$33)*1000000*Constants!$D$25/1000000000*($B64-Constants!$C$24)</f>
        <v>7.0694249999999959E-2</v>
      </c>
      <c r="W64" s="183">
        <f>$B64*R64*($B64/(Constants!$C$26*1000000000)*IF(ISBLANK(Design!$B$33),Design!$B$32,Design!$B$33)*1000000/2+$B64/(Constants!$C$27*1000000000)*IF(ISBLANK(Design!$B$33),Design!$B$32,Design!$B$33)*1000000/2)</f>
        <v>0.24188166674277001</v>
      </c>
      <c r="X64" s="183">
        <f t="shared" ca="1" si="14"/>
        <v>0.21690427897510381</v>
      </c>
      <c r="Y64" s="183">
        <f>Constants!$D$25/1000000000*Constants!$C$24*IF(ISBLANK(Design!$B$33),Design!$B$32,Design!$B$33)*1000000</f>
        <v>6.8250000000000005E-2</v>
      </c>
      <c r="Z64" s="183">
        <f t="shared" ca="1" si="23"/>
        <v>0.59773019571787378</v>
      </c>
      <c r="AA64" s="183">
        <f t="shared" ca="1" si="19"/>
        <v>0.16726960474397898</v>
      </c>
      <c r="AB64" s="184">
        <f ca="1">$A64+AA64*Design!$B$19</f>
        <v>93.363480237198957</v>
      </c>
      <c r="AC64" s="184">
        <f ca="1">Z64*Design!$C$12+$A64</f>
        <v>105.32282665440771</v>
      </c>
      <c r="AD64" s="184">
        <f ca="1">Constants!$D$22+Constants!$D$22*Constants!$C$23/100*(AC64-25)</f>
        <v>189.25826132352617</v>
      </c>
      <c r="AE64" s="183">
        <f ca="1">IF(100*(Design!$C$29+S64+R64*IF(ISBLANK(Design!$B$43),Constants!$C$6,Design!$B$43)/1000*(1+Constants!$C$36/100*(AC64-25)))/($B64+S64-R64*AD64/1000)&gt;Design!$B$36,   (1-Constants!$D$20/1000000000*IF(ISBLANK(Design!$B$33),Design!$B$32/4,Design!$B$33/4)*1000000) * ($B64+S64-R64*AD64/1000) - (S64+R64*(1+($A64-25)*Constants!$C$36/100)*IF(ISBLANK(Design!$B$43),Constants!$C$6/1000,Design!$B$43/1000)),  (1-Constants!$D$20/1000000000*IF(ISBLANK(Design!$B$33),Design!$B$32,Design!$B$33)*1000000) * ($B64+S64-R64*AD64/1000) - (S64+R64*(1+($A64-25)*Constants!$C$36/100)*IF(ISBLANK(Design!$B$43),Constants!$C$6/1000,Design!$B$43/1000)))</f>
        <v>5.7218126768957838</v>
      </c>
      <c r="AF64" s="117">
        <f ca="1">IF(AE64&gt;Design!$C$29,Design!$C$29,AE64)</f>
        <v>4.99903317535545</v>
      </c>
      <c r="AG64" s="118">
        <f>Design!$D$7/3</f>
        <v>0.66666666666666663</v>
      </c>
      <c r="AH64" s="118">
        <f ca="1">FORECAST(AG64, OFFSET(Design!$C$15:$C$17,MATCH(AG64,Design!$B$15:$B$17,1)-1,0,2), OFFSET(Design!$B$15:$B$17,MATCH(AG64,Design!$B$15:$B$17,1)-1,0,2))+(AQ64-25)*Design!$B$18/1000</f>
        <v>0.30626674661846964</v>
      </c>
      <c r="AI64" s="194">
        <f ca="1">IF(100*(Design!$C$29+AH64+AG64*IF(ISBLANK(Design!$B$43),Constants!$C$6,Design!$B$43)/1000*(1+Constants!$C$36/100*(AR64-25)))/($B64+AH64-AG64*AS64/1000)&gt;Design!$B$36,Design!$B$37,100*(Design!$C$29+AH64+AG64*IF(ISBLANK(Design!$B$43),Constants!$C$6,Design!$B$43)/1000*(1+Constants!$C$36/100*(AR64-25)))/($B64+AH64-AG64*AS64/1000))</f>
        <v>62.592988811420184</v>
      </c>
      <c r="AJ64" s="119">
        <f ca="1">IF(($B64-AG64*IF(ISBLANK(Design!$B$43),Constants!$C$6,Design!$B$43)/1000*(1+Constants!$C$36/100*(AR64-25))-Design!$C$29)/(IF(ISBLANK(Design!$B$42),Design!$B$40,Design!$B$42)/1000000)*AI64/100/(IF(ISBLANK(Design!$B$33),Design!$B$32,Design!$B$33)*1000000)&lt;0,0,($B64-AG64*IF(ISBLANK(Design!$B$43),Constants!$C$6,Design!$B$43)/1000*(1+Constants!$C$36/100*(AR64-25))-Design!$C$29)/(IF(ISBLANK(Design!$B$42),Design!$B$40,Design!$B$42)/1000000)*AI64/100/(IF(ISBLANK(Design!$B$33),Design!$B$32,Design!$B$33)*1000000))</f>
        <v>0.2991369732430959</v>
      </c>
      <c r="AK64" s="195">
        <f>$B64*Constants!$C$21/1000+IF(ISBLANK(Design!$B$33),Design!$B$32,Design!$B$33)*1000000*Constants!$D$25/1000000000*($B64-Constants!$C$24)</f>
        <v>7.0694249999999959E-2</v>
      </c>
      <c r="AL64" s="195">
        <f>$B64*AG64*($B64/(Constants!$C$26*1000000000)*IF(ISBLANK(Design!$B$33),Design!$B$32,Design!$B$33)*1000000/2+$B64/(Constants!$C$27*1000000000)*IF(ISBLANK(Design!$B$33),Design!$B$32,Design!$B$33)*1000000/2)</f>
        <v>0.120940833371385</v>
      </c>
      <c r="AM64" s="195">
        <f t="shared" ca="1" si="15"/>
        <v>5.132893546861822E-2</v>
      </c>
      <c r="AN64" s="195">
        <f>Constants!$D$25/1000000000*Constants!$C$24*IF(ISBLANK(Design!$B$33),Design!$B$32,Design!$B$33)*1000000</f>
        <v>6.8250000000000005E-2</v>
      </c>
      <c r="AO64" s="195">
        <f t="shared" ca="1" si="24"/>
        <v>0.31121401884000321</v>
      </c>
      <c r="AP64" s="195">
        <f t="shared" ca="1" si="21"/>
        <v>7.6376824116313552E-2</v>
      </c>
      <c r="AQ64" s="196">
        <f ca="1">$A64+AP64*Design!$B$19</f>
        <v>88.818841205815673</v>
      </c>
      <c r="AR64" s="196">
        <f ca="1">AO64*Design!$C$12+$A64</f>
        <v>95.581276640560105</v>
      </c>
      <c r="AS64" s="196">
        <f ca="1">Constants!$D$22+Constants!$D$22*Constants!$C$23/100*(AR64-25)</f>
        <v>181.46502131244807</v>
      </c>
      <c r="AT64" s="195">
        <f ca="1">IF(100*(Design!$C$29+AH64+AG64*IF(ISBLANK(Design!$B$43),Constants!$C$6,Design!$B$43)/1000*(1+Constants!$C$36/100*(AR64-25)))/($B64+AH64-AG64*AS64/1000)&gt;Design!$B$36,   (1-Constants!$D$20/1000000000*IF(ISBLANK(Design!$B$33),Design!$B$32/4,Design!$B$33/4)*1000000) * ($B64+AH64-AG64*AS64/1000) - (AH64+AG64*(1+($A64-25)*Constants!$C$36/100)*IF(ISBLANK(Design!$B$43),Constants!$C$6/1000,Design!$B$43/1000)),  (1-Constants!$D$20/1000000000*IF(ISBLANK(Design!$B$33),Design!$B$32,Design!$B$33)*1000000) * ($B64+AH64-AG64*AS64/1000) - (AH64+AG64*(1+($A64-25)*Constants!$C$36/100)*IF(ISBLANK(Design!$B$43),Constants!$C$6/1000,Design!$B$43/1000)))</f>
        <v>5.8622994645103885</v>
      </c>
      <c r="AU64" s="119">
        <f ca="1">IF(AT64&gt;Design!$C$29,Design!$C$29,AT64)</f>
        <v>4.99903317535545</v>
      </c>
    </row>
    <row r="65" spans="1:47" ht="12.75" customHeight="1" x14ac:dyDescent="0.3">
      <c r="A65" s="112">
        <f>Design!$D$13</f>
        <v>85</v>
      </c>
      <c r="B65" s="113">
        <f t="shared" si="12"/>
        <v>8.1299999999999972</v>
      </c>
      <c r="C65" s="114">
        <f>Design!$D$7</f>
        <v>2</v>
      </c>
      <c r="D65" s="114">
        <f ca="1">FORECAST(C65, OFFSET(Design!$C$15:$C$17,MATCH(C65,Design!$B$15:$B$17,1)-1,0,2), OFFSET(Design!$B$15:$B$17,MATCH(C65,Design!$B$15:$B$17,1)-1,0,2))+(M65-25)*Design!$B$18/1000</f>
        <v>0.39454917252667016</v>
      </c>
      <c r="E65" s="173">
        <f ca="1">IF(100*(Design!$C$29+D65+C65*IF(ISBLANK(Design!$B$43),Constants!$C$6,Design!$B$43)/1000*(1+Constants!$C$36/100*(N65-25)))/($B65+D65-C65*O65/1000)&gt;Design!$B$36,Design!$B$37,100*(Design!$C$29+D65+C65*IF(ISBLANK(Design!$B$43),Constants!$C$6,Design!$B$43)/1000*(1+Constants!$C$36/100*(N65-25)))/($B65+D65-C65*O65/1000))</f>
        <v>67.752709869963908</v>
      </c>
      <c r="F65" s="115">
        <f ca="1">IF(($B65-C65*IF(ISBLANK(Design!$B$43),Constants!$C$6,Design!$B$43)/1000*(1+Constants!$C$36/100*(N65-25))-Design!$C$29)/(IF(ISBLANK(Design!$B$42),Design!$B$40,Design!$B$42)/1000000)*E65/100/(IF(ISBLANK(Design!$B$33),Design!$B$32,Design!$B$33)*1000000)&lt;0,0,($B65-C65*IF(ISBLANK(Design!$B$43),Constants!$C$6,Design!$B$43)/1000*(1+Constants!$C$36/100*(N65-25))-Design!$C$29)/(IF(ISBLANK(Design!$B$42),Design!$B$40,Design!$B$42)/1000000)*E65/100/(IF(ISBLANK(Design!$B$33),Design!$B$32,Design!$B$33)*1000000))</f>
        <v>0.29536901434067636</v>
      </c>
      <c r="G65" s="165">
        <f>B65*Constants!$C$21/1000+IF(ISBLANK(Design!$B$33),Design!$B$32,Design!$B$33)*1000000*Constants!$D$25/1000000000*(B65-Constants!$C$24)</f>
        <v>6.7114499999999966E-2</v>
      </c>
      <c r="H65" s="165">
        <f>B65*C65*(B65/(Constants!$C$26*1000000000)*IF(ISBLANK(Design!$B$33),Design!$B$32,Design!$B$33)*1000000/2+B65/(Constants!$C$27*1000000000)*IF(ISBLANK(Design!$B$33),Design!$B$32,Design!$B$33)*1000000/2)</f>
        <v>0.34436786712328749</v>
      </c>
      <c r="I65" s="165">
        <f t="shared" ca="1" si="13"/>
        <v>0.54540630657702993</v>
      </c>
      <c r="J65" s="165">
        <f>Constants!$D$25/1000000000*Constants!$C$24*IF(ISBLANK(Design!$B$33),Design!$B$32,Design!$B$33)*1000000</f>
        <v>6.8250000000000005E-2</v>
      </c>
      <c r="K65" s="165">
        <f t="shared" ca="1" si="22"/>
        <v>1.0251386737003174</v>
      </c>
      <c r="L65" s="165">
        <f t="shared" ca="1" si="17"/>
        <v>0.25446283274066395</v>
      </c>
      <c r="M65" s="166">
        <f ca="1">$A65+L65*Design!$B$19</f>
        <v>97.723141637033194</v>
      </c>
      <c r="N65" s="166">
        <f ca="1">K65*Design!$C$12+A65</f>
        <v>119.85471490581079</v>
      </c>
      <c r="O65" s="166">
        <f ca="1">Constants!$D$22+Constants!$D$22*Constants!$C$23/100*(N65-25)</f>
        <v>200.88377192464864</v>
      </c>
      <c r="P65" s="165">
        <f ca="1">IF(100*(Design!$C$29+D65+C65*IF(ISBLANK(Design!$B$43),Constants!$C$6,Design!$B$43)/1000*(1+Constants!$C$36/100*(N65-25)))/($B65+D65-C65*O65/1000)&gt;Design!$B$36,   (1-Constants!$D$20/1000000000*IF(ISBLANK(Design!$B$33),Design!$B$32/4,Design!$B$33/4)*1000000) * ($B65+D65-C65*O65/1000) - (D65+C65*(1+($A65-25)*Constants!$C$36/100)*IF(ISBLANK(Design!$B$43),Constants!$C$6/1000,Design!$B$43/1000)),  (1-Constants!$D$20/1000000000*IF(ISBLANK(Design!$B$33),Design!$B$32,Design!$B$33)*1000000) * ($B65+D65-C65*O65/1000) - (D65+C65*(1+($A65-25)*Constants!$C$36/100)*IF(ISBLANK(Design!$B$43),Constants!$C$6/1000,Design!$B$43/1000)))</f>
        <v>5.4118490715217771</v>
      </c>
      <c r="Q65" s="115">
        <f ca="1">IF(P65&gt;Design!$C$29,Design!$C$29,P65)</f>
        <v>4.99903317535545</v>
      </c>
      <c r="R65" s="116">
        <f>2*Design!$D$7/3</f>
        <v>1.3333333333333333</v>
      </c>
      <c r="S65" s="116">
        <f ca="1">FORECAST(R65, OFFSET(Design!$C$15:$C$17,MATCH(R65,Design!$B$15:$B$17,1)-1,0,2), OFFSET(Design!$B$15:$B$17,MATCH(R65,Design!$B$15:$B$17,1)-1,0,2))+(AB65-25)*Design!$B$18/1000</f>
        <v>0.35066967212644889</v>
      </c>
      <c r="T65" s="182">
        <f ca="1">IF(100*(Design!$C$29+S65+R65*IF(ISBLANK(Design!$B$43),Constants!$C$6,Design!$B$43)/1000*(1+Constants!$C$36/100*(AC65-25)))/($B65+S65-R65*AD65/1000)&gt;Design!$B$36,Design!$B$37,100*(Design!$C$29+S65+R65*IF(ISBLANK(Design!$B$43),Constants!$C$6,Design!$B$43)/1000*(1+Constants!$C$36/100*(AC65-25)))/($B65+S65-R65*AD65/1000))</f>
        <v>65.864457368808814</v>
      </c>
      <c r="U65" s="117">
        <f ca="1">IF(($B65-R65*IF(ISBLANK(Design!$B$43),Constants!$C$6,Design!$B$43)/1000*(1+Constants!$C$36/100*(AC65-25))-Design!$C$29)/(IF(ISBLANK(Design!$B$42),Design!$B$40,Design!$B$42)/1000000)*T65/100/(IF(ISBLANK(Design!$B$33),Design!$B$32,Design!$B$33)*1000000)&lt;0,0,($B65-R65*IF(ISBLANK(Design!$B$43),Constants!$C$6,Design!$B$43)/1000*(1+Constants!$C$36/100*(AC65-25))-Design!$C$29)/(IF(ISBLANK(Design!$B$42),Design!$B$40,Design!$B$42)/1000000)*T65/100/(IF(ISBLANK(Design!$B$33),Design!$B$32,Design!$B$33)*1000000))</f>
        <v>0.29091310641040108</v>
      </c>
      <c r="V65" s="183">
        <f>$B65*Constants!$C$21/1000+IF(ISBLANK(Design!$B$33),Design!$B$32,Design!$B$33)*1000000*Constants!$D$25/1000000000*($B65-Constants!$C$24)</f>
        <v>6.7114499999999966E-2</v>
      </c>
      <c r="W65" s="183">
        <f>$B65*R65*($B65/(Constants!$C$26*1000000000)*IF(ISBLANK(Design!$B$33),Design!$B$32,Design!$B$33)*1000000/2+$B65/(Constants!$C$27*1000000000)*IF(ISBLANK(Design!$B$33),Design!$B$32,Design!$B$33)*1000000/2)</f>
        <v>0.22957857808219165</v>
      </c>
      <c r="X65" s="183">
        <f t="shared" ca="1" si="14"/>
        <v>0.22214584778324373</v>
      </c>
      <c r="Y65" s="183">
        <f>Constants!$D$25/1000000000*Constants!$C$24*IF(ISBLANK(Design!$B$33),Design!$B$32,Design!$B$33)*1000000</f>
        <v>6.8250000000000005E-2</v>
      </c>
      <c r="Z65" s="183">
        <f t="shared" ca="1" si="23"/>
        <v>0.58708892586543537</v>
      </c>
      <c r="AA65" s="183">
        <f t="shared" ca="1" si="19"/>
        <v>0.15960399389784308</v>
      </c>
      <c r="AB65" s="184">
        <f ca="1">$A65+AA65*Design!$B$19</f>
        <v>92.98019969489215</v>
      </c>
      <c r="AC65" s="184">
        <f ca="1">Z65*Design!$C$12+$A65</f>
        <v>104.9610234794248</v>
      </c>
      <c r="AD65" s="184">
        <f ca="1">Constants!$D$22+Constants!$D$22*Constants!$C$23/100*(AC65-25)</f>
        <v>188.96881878353983</v>
      </c>
      <c r="AE65" s="183">
        <f ca="1">IF(100*(Design!$C$29+S65+R65*IF(ISBLANK(Design!$B$43),Constants!$C$6,Design!$B$43)/1000*(1+Constants!$C$36/100*(AC65-25)))/($B65+S65-R65*AD65/1000)&gt;Design!$B$36,   (1-Constants!$D$20/1000000000*IF(ISBLANK(Design!$B$33),Design!$B$32/4,Design!$B$33/4)*1000000) * ($B65+S65-R65*AD65/1000) - (S65+R65*(1+($A65-25)*Constants!$C$36/100)*IF(ISBLANK(Design!$B$43),Constants!$C$6/1000,Design!$B$43/1000)),  (1-Constants!$D$20/1000000000*IF(ISBLANK(Design!$B$33),Design!$B$32,Design!$B$33)*1000000) * ($B65+S65-R65*AD65/1000) - (S65+R65*(1+($A65-25)*Constants!$C$36/100)*IF(ISBLANK(Design!$B$43),Constants!$C$6/1000,Design!$B$43/1000)))</f>
        <v>5.5656940711686325</v>
      </c>
      <c r="AF65" s="117">
        <f ca="1">IF(AE65&gt;Design!$C$29,Design!$C$29,AE65)</f>
        <v>4.99903317535545</v>
      </c>
      <c r="AG65" s="118">
        <f>Design!$D$7/3</f>
        <v>0.66666666666666663</v>
      </c>
      <c r="AH65" s="118">
        <f ca="1">FORECAST(AG65, OFFSET(Design!$C$15:$C$17,MATCH(AG65,Design!$B$15:$B$17,1)-1,0,2), OFFSET(Design!$B$15:$B$17,MATCH(AG65,Design!$B$15:$B$17,1)-1,0,2))+(AQ65-25)*Design!$B$18/1000</f>
        <v>0.30641378148093007</v>
      </c>
      <c r="AI65" s="194">
        <f ca="1">IF(100*(Design!$C$29+AH65+AG65*IF(ISBLANK(Design!$B$43),Constants!$C$6,Design!$B$43)/1000*(1+Constants!$C$36/100*(AR65-25)))/($B65+AH65-AG65*AS65/1000)&gt;Design!$B$36,Design!$B$37,100*(Design!$C$29+AH65+AG65*IF(ISBLANK(Design!$B$43),Constants!$C$6,Design!$B$43)/1000*(1+Constants!$C$36/100*(AR65-25)))/($B65+AH65-AG65*AS65/1000))</f>
        <v>64.210462870684623</v>
      </c>
      <c r="AJ65" s="119">
        <f ca="1">IF(($B65-AG65*IF(ISBLANK(Design!$B$43),Constants!$C$6,Design!$B$43)/1000*(1+Constants!$C$36/100*(AR65-25))-Design!$C$29)/(IF(ISBLANK(Design!$B$42),Design!$B$40,Design!$B$42)/1000000)*AI65/100/(IF(ISBLANK(Design!$B$33),Design!$B$32,Design!$B$33)*1000000)&lt;0,0,($B65-AG65*IF(ISBLANK(Design!$B$43),Constants!$C$6,Design!$B$43)/1000*(1+Constants!$C$36/100*(AR65-25))-Design!$C$29)/(IF(ISBLANK(Design!$B$42),Design!$B$40,Design!$B$42)/1000000)*AI65/100/(IF(ISBLANK(Design!$B$33),Design!$B$32,Design!$B$33)*1000000))</f>
        <v>0.28694883807689892</v>
      </c>
      <c r="AK65" s="195">
        <f>$B65*Constants!$C$21/1000+IF(ISBLANK(Design!$B$33),Design!$B$32,Design!$B$33)*1000000*Constants!$D$25/1000000000*($B65-Constants!$C$24)</f>
        <v>6.7114499999999966E-2</v>
      </c>
      <c r="AL65" s="195">
        <f>$B65*AG65*($B65/(Constants!$C$26*1000000000)*IF(ISBLANK(Design!$B$33),Design!$B$32,Design!$B$33)*1000000/2+$B65/(Constants!$C$27*1000000000)*IF(ISBLANK(Design!$B$33),Design!$B$32,Design!$B$33)*1000000/2)</f>
        <v>0.11478928904109582</v>
      </c>
      <c r="AM65" s="195">
        <f t="shared" ca="1" si="15"/>
        <v>5.2518646247327577E-2</v>
      </c>
      <c r="AN65" s="195">
        <f>Constants!$D$25/1000000000*Constants!$C$24*IF(ISBLANK(Design!$B$33),Design!$B$32,Design!$B$33)*1000000</f>
        <v>6.8250000000000005E-2</v>
      </c>
      <c r="AO65" s="195">
        <f t="shared" ca="1" si="24"/>
        <v>0.30267243528842336</v>
      </c>
      <c r="AP65" s="195">
        <f t="shared" ca="1" si="21"/>
        <v>7.3109382728304487E-2</v>
      </c>
      <c r="AQ65" s="196">
        <f ca="1">$A65+AP65*Design!$B$19</f>
        <v>88.655469136415221</v>
      </c>
      <c r="AR65" s="196">
        <f ca="1">AO65*Design!$C$12+$A65</f>
        <v>95.290862799806391</v>
      </c>
      <c r="AS65" s="196">
        <f ca="1">Constants!$D$22+Constants!$D$22*Constants!$C$23/100*(AR65-25)</f>
        <v>181.23269023984511</v>
      </c>
      <c r="AT65" s="195">
        <f ca="1">IF(100*(Design!$C$29+AH65+AG65*IF(ISBLANK(Design!$B$43),Constants!$C$6,Design!$B$43)/1000*(1+Constants!$C$36/100*(AR65-25)))/($B65+AH65-AG65*AS65/1000)&gt;Design!$B$36,   (1-Constants!$D$20/1000000000*IF(ISBLANK(Design!$B$33),Design!$B$32/4,Design!$B$33/4)*1000000) * ($B65+AH65-AG65*AS65/1000) - (AH65+AG65*(1+($A65-25)*Constants!$C$36/100)*IF(ISBLANK(Design!$B$43),Constants!$C$6/1000,Design!$B$43/1000)),  (1-Constants!$D$20/1000000000*IF(ISBLANK(Design!$B$33),Design!$B$32,Design!$B$33)*1000000) * ($B65+AH65-AG65*AS65/1000) - (AH65+AG65*(1+($A65-25)*Constants!$C$36/100)*IF(ISBLANK(Design!$B$43),Constants!$C$6/1000,Design!$B$43/1000)))</f>
        <v>5.7060669271194602</v>
      </c>
      <c r="AU65" s="119">
        <f ca="1">IF(AT65&gt;Design!$C$29,Design!$C$29,AT65)</f>
        <v>4.99903317535545</v>
      </c>
    </row>
    <row r="66" spans="1:47" ht="12.75" customHeight="1" x14ac:dyDescent="0.3">
      <c r="A66" s="112">
        <f>Design!$D$13</f>
        <v>85</v>
      </c>
      <c r="B66" s="113">
        <f t="shared" si="12"/>
        <v>7.9149999999999974</v>
      </c>
      <c r="C66" s="114">
        <f>Design!$D$7</f>
        <v>2</v>
      </c>
      <c r="D66" s="114">
        <f ca="1">FORECAST(C66, OFFSET(Design!$C$15:$C$17,MATCH(C66,Design!$B$15:$B$17,1)-1,0,2), OFFSET(Design!$B$15:$B$17,MATCH(C66,Design!$B$15:$B$17,1)-1,0,2))+(M66-25)*Design!$B$18/1000</f>
        <v>0.39518514002052574</v>
      </c>
      <c r="E66" s="173">
        <f ca="1">IF(100*(Design!$C$29+D66+C66*IF(ISBLANK(Design!$B$43),Constants!$C$6,Design!$B$43)/1000*(1+Constants!$C$36/100*(N66-25)))/($B66+D66-C66*O66/1000)&gt;Design!$B$36,Design!$B$37,100*(Design!$C$29+D66+C66*IF(ISBLANK(Design!$B$43),Constants!$C$6,Design!$B$43)/1000*(1+Constants!$C$36/100*(N66-25)))/($B66+D66-C66*O66/1000))</f>
        <v>69.592705111126833</v>
      </c>
      <c r="F66" s="115">
        <f ca="1">IF(($B66-C66*IF(ISBLANK(Design!$B$43),Constants!$C$6,Design!$B$43)/1000*(1+Constants!$C$36/100*(N66-25))-Design!$C$29)/(IF(ISBLANK(Design!$B$42),Design!$B$40,Design!$B$42)/1000000)*E66/100/(IF(ISBLANK(Design!$B$33),Design!$B$32,Design!$B$33)*1000000)&lt;0,0,($B66-C66*IF(ISBLANK(Design!$B$43),Constants!$C$6,Design!$B$43)/1000*(1+Constants!$C$36/100*(N66-25))-Design!$C$29)/(IF(ISBLANK(Design!$B$42),Design!$B$40,Design!$B$42)/1000000)*E66/100/(IF(ISBLANK(Design!$B$33),Design!$B$32,Design!$B$33)*1000000))</f>
        <v>0.28180762829862055</v>
      </c>
      <c r="G66" s="165">
        <f>B66*Constants!$C$21/1000+IF(ISBLANK(Design!$B$33),Design!$B$32,Design!$B$33)*1000000*Constants!$D$25/1000000000*(B66-Constants!$C$24)</f>
        <v>6.3534749999999959E-2</v>
      </c>
      <c r="H66" s="165">
        <f>B66*C66*(B66/(Constants!$C$26*1000000000)*IF(ISBLANK(Design!$B$33),Design!$B$32,Design!$B$33)*1000000/2+B66/(Constants!$C$27*1000000000)*IF(ISBLANK(Design!$B$33),Design!$B$32,Design!$B$33)*1000000/2)</f>
        <v>0.32639490285388106</v>
      </c>
      <c r="I66" s="165">
        <f t="shared" ca="1" si="13"/>
        <v>0.55956631982907301</v>
      </c>
      <c r="J66" s="165">
        <f>Constants!$D$25/1000000000*Constants!$C$24*IF(ISBLANK(Design!$B$33),Design!$B$32,Design!$B$33)*1000000</f>
        <v>6.8250000000000005E-2</v>
      </c>
      <c r="K66" s="165">
        <f t="shared" ca="1" si="22"/>
        <v>1.0177459726829541</v>
      </c>
      <c r="L66" s="165">
        <f t="shared" ca="1" si="17"/>
        <v>0.24033022176609523</v>
      </c>
      <c r="M66" s="166">
        <f ca="1">$A66+L66*Design!$B$19</f>
        <v>97.016511088304767</v>
      </c>
      <c r="N66" s="166">
        <f ca="1">K66*Design!$C$12+A66</f>
        <v>119.60336307122043</v>
      </c>
      <c r="O66" s="166">
        <f ca="1">Constants!$D$22+Constants!$D$22*Constants!$C$23/100*(N66-25)</f>
        <v>200.68269045697633</v>
      </c>
      <c r="P66" s="165">
        <f ca="1">IF(100*(Design!$C$29+D66+C66*IF(ISBLANK(Design!$B$43),Constants!$C$6,Design!$B$43)/1000*(1+Constants!$C$36/100*(N66-25)))/($B66+D66-C66*O66/1000)&gt;Design!$B$36,   (1-Constants!$D$20/1000000000*IF(ISBLANK(Design!$B$33),Design!$B$32/4,Design!$B$33/4)*1000000) * ($B66+D66-C66*O66/1000) - (D66+C66*(1+($A66-25)*Constants!$C$36/100)*IF(ISBLANK(Design!$B$43),Constants!$C$6/1000,Design!$B$43/1000)),  (1-Constants!$D$20/1000000000*IF(ISBLANK(Design!$B$33),Design!$B$32,Design!$B$33)*1000000) * ($B66+D66-C66*O66/1000) - (D66+C66*(1+($A66-25)*Constants!$C$36/100)*IF(ISBLANK(Design!$B$43),Constants!$C$6/1000,Design!$B$43/1000)))</f>
        <v>5.2556628248499511</v>
      </c>
      <c r="Q66" s="115">
        <f ca="1">IF(P66&gt;Design!$C$29,Design!$C$29,P66)</f>
        <v>4.99903317535545</v>
      </c>
      <c r="R66" s="116">
        <f>2*Design!$D$7/3</f>
        <v>1.3333333333333333</v>
      </c>
      <c r="S66" s="116">
        <f ca="1">FORECAST(R66, OFFSET(Design!$C$15:$C$17,MATCH(R66,Design!$B$15:$B$17,1)-1,0,2), OFFSET(Design!$B$15:$B$17,MATCH(R66,Design!$B$15:$B$17,1)-1,0,2))+(AB66-25)*Design!$B$18/1000</f>
        <v>0.35103387188427926</v>
      </c>
      <c r="T66" s="182">
        <f ca="1">IF(100*(Design!$C$29+S66+R66*IF(ISBLANK(Design!$B$43),Constants!$C$6,Design!$B$43)/1000*(1+Constants!$C$36/100*(AC66-25)))/($B66+S66-R66*AD66/1000)&gt;Design!$B$36,Design!$B$37,100*(Design!$C$29+S66+R66*IF(ISBLANK(Design!$B$43),Constants!$C$6,Design!$B$43)/1000*(1+Constants!$C$36/100*(AC66-25)))/($B66+S66-R66*AD66/1000))</f>
        <v>67.629049912025735</v>
      </c>
      <c r="U66" s="117">
        <f ca="1">IF(($B66-R66*IF(ISBLANK(Design!$B$43),Constants!$C$6,Design!$B$43)/1000*(1+Constants!$C$36/100*(AC66-25))-Design!$C$29)/(IF(ISBLANK(Design!$B$42),Design!$B$40,Design!$B$42)/1000000)*T66/100/(IF(ISBLANK(Design!$B$33),Design!$B$32,Design!$B$33)*1000000)&lt;0,0,($B66-R66*IF(ISBLANK(Design!$B$43),Constants!$C$6,Design!$B$43)/1000*(1+Constants!$C$36/100*(AC66-25))-Design!$C$29)/(IF(ISBLANK(Design!$B$42),Design!$B$40,Design!$B$42)/1000000)*T66/100/(IF(ISBLANK(Design!$B$33),Design!$B$32,Design!$B$33)*1000000))</f>
        <v>0.27773241042877184</v>
      </c>
      <c r="V66" s="183">
        <f>$B66*Constants!$C$21/1000+IF(ISBLANK(Design!$B$33),Design!$B$32,Design!$B$33)*1000000*Constants!$D$25/1000000000*($B66-Constants!$C$24)</f>
        <v>6.3534749999999959E-2</v>
      </c>
      <c r="W66" s="183">
        <f>$B66*R66*($B66/(Constants!$C$26*1000000000)*IF(ISBLANK(Design!$B$33),Design!$B$32,Design!$B$33)*1000000/2+$B66/(Constants!$C$27*1000000000)*IF(ISBLANK(Design!$B$33),Design!$B$32,Design!$B$33)*1000000/2)</f>
        <v>0.21759660190258734</v>
      </c>
      <c r="X66" s="183">
        <f t="shared" ca="1" si="14"/>
        <v>0.22768877198475984</v>
      </c>
      <c r="Y66" s="183">
        <f>Constants!$D$25/1000000000*Constants!$C$24*IF(ISBLANK(Design!$B$33),Design!$B$32,Design!$B$33)*1000000</f>
        <v>6.8250000000000005E-2</v>
      </c>
      <c r="Z66" s="183">
        <f t="shared" ca="1" si="23"/>
        <v>0.57707012388734713</v>
      </c>
      <c r="AA66" s="183">
        <f t="shared" ca="1" si="19"/>
        <v>0.15151066594605805</v>
      </c>
      <c r="AB66" s="184">
        <f ca="1">$A66+AA66*Design!$B$19</f>
        <v>92.575533297302897</v>
      </c>
      <c r="AC66" s="184">
        <f ca="1">Z66*Design!$C$12+$A66</f>
        <v>104.6203842121698</v>
      </c>
      <c r="AD66" s="184">
        <f ca="1">Constants!$D$22+Constants!$D$22*Constants!$C$23/100*(AC66-25)</f>
        <v>188.69630736973585</v>
      </c>
      <c r="AE66" s="183">
        <f ca="1">IF(100*(Design!$C$29+S66+R66*IF(ISBLANK(Design!$B$43),Constants!$C$6,Design!$B$43)/1000*(1+Constants!$C$36/100*(AC66-25)))/($B66+S66-R66*AD66/1000)&gt;Design!$B$36,   (1-Constants!$D$20/1000000000*IF(ISBLANK(Design!$B$33),Design!$B$32/4,Design!$B$33/4)*1000000) * ($B66+S66-R66*AD66/1000) - (S66+R66*(1+($A66-25)*Constants!$C$36/100)*IF(ISBLANK(Design!$B$43),Constants!$C$6/1000,Design!$B$43/1000)),  (1-Constants!$D$20/1000000000*IF(ISBLANK(Design!$B$33),Design!$B$32,Design!$B$33)*1000000) * ($B66+S66-R66*AD66/1000) - (S66+R66*(1+($A66-25)*Constants!$C$36/100)*IF(ISBLANK(Design!$B$43),Constants!$C$6/1000,Design!$B$43/1000)))</f>
        <v>5.4095537990318592</v>
      </c>
      <c r="AF66" s="117">
        <f ca="1">IF(AE66&gt;Design!$C$29,Design!$C$29,AE66)</f>
        <v>4.99903317535545</v>
      </c>
      <c r="AG66" s="118">
        <f>Design!$D$7/3</f>
        <v>0.66666666666666663</v>
      </c>
      <c r="AH66" s="118">
        <f ca="1">FORECAST(AG66, OFFSET(Design!$C$15:$C$17,MATCH(AG66,Design!$B$15:$B$17,1)-1,0,2), OFFSET(Design!$B$15:$B$17,MATCH(AG66,Design!$B$15:$B$17,1)-1,0,2))+(AQ66-25)*Design!$B$18/1000</f>
        <v>0.30656876972792407</v>
      </c>
      <c r="AI66" s="194">
        <f ca="1">IF(100*(Design!$C$29+AH66+AG66*IF(ISBLANK(Design!$B$43),Constants!$C$6,Design!$B$43)/1000*(1+Constants!$C$36/100*(AR66-25)))/($B66+AH66-AG66*AS66/1000)&gt;Design!$B$36,Design!$B$37,100*(Design!$C$29+AH66+AG66*IF(ISBLANK(Design!$B$43),Constants!$C$6,Design!$B$43)/1000*(1+Constants!$C$36/100*(AR66-25)))/($B66+AH66-AG66*AS66/1000))</f>
        <v>65.913749373298145</v>
      </c>
      <c r="AJ66" s="119">
        <f ca="1">IF(($B66-AG66*IF(ISBLANK(Design!$B$43),Constants!$C$6,Design!$B$43)/1000*(1+Constants!$C$36/100*(AR66-25))-Design!$C$29)/(IF(ISBLANK(Design!$B$42),Design!$B$40,Design!$B$42)/1000000)*AI66/100/(IF(ISBLANK(Design!$B$33),Design!$B$32,Design!$B$33)*1000000)&lt;0,0,($B66-AG66*IF(ISBLANK(Design!$B$43),Constants!$C$6,Design!$B$43)/1000*(1+Constants!$C$36/100*(AR66-25))-Design!$C$29)/(IF(ISBLANK(Design!$B$42),Design!$B$40,Design!$B$42)/1000000)*AI66/100/(IF(ISBLANK(Design!$B$33),Design!$B$32,Design!$B$33)*1000000))</f>
        <v>0.27411400756494886</v>
      </c>
      <c r="AK66" s="195">
        <f>$B66*Constants!$C$21/1000+IF(ISBLANK(Design!$B$33),Design!$B$32,Design!$B$33)*1000000*Constants!$D$25/1000000000*($B66-Constants!$C$24)</f>
        <v>6.3534749999999959E-2</v>
      </c>
      <c r="AL66" s="195">
        <f>$B66*AG66*($B66/(Constants!$C$26*1000000000)*IF(ISBLANK(Design!$B$33),Design!$B$32,Design!$B$33)*1000000/2+$B66/(Constants!$C$27*1000000000)*IF(ISBLANK(Design!$B$33),Design!$B$32,Design!$B$33)*1000000/2)</f>
        <v>0.10879830095129367</v>
      </c>
      <c r="AM66" s="195">
        <f t="shared" ca="1" si="15"/>
        <v>5.3772901268290943E-2</v>
      </c>
      <c r="AN66" s="195">
        <f>Constants!$D$25/1000000000*Constants!$C$24*IF(ISBLANK(Design!$B$33),Design!$B$32,Design!$B$33)*1000000</f>
        <v>6.8250000000000005E-2</v>
      </c>
      <c r="AO66" s="195">
        <f t="shared" ca="1" si="24"/>
        <v>0.29435595221958455</v>
      </c>
      <c r="AP66" s="195">
        <f t="shared" ca="1" si="21"/>
        <v>6.9665199461771118E-2</v>
      </c>
      <c r="AQ66" s="196">
        <f ca="1">$A66+AP66*Design!$B$19</f>
        <v>88.483259973088551</v>
      </c>
      <c r="AR66" s="196">
        <f ca="1">AO66*Design!$C$12+$A66</f>
        <v>95.008102375465882</v>
      </c>
      <c r="AS66" s="196">
        <f ca="1">Constants!$D$22+Constants!$D$22*Constants!$C$23/100*(AR66-25)</f>
        <v>181.00648190037271</v>
      </c>
      <c r="AT66" s="195">
        <f ca="1">IF(100*(Design!$C$29+AH66+AG66*IF(ISBLANK(Design!$B$43),Constants!$C$6,Design!$B$43)/1000*(1+Constants!$C$36/100*(AR66-25)))/($B66+AH66-AG66*AS66/1000)&gt;Design!$B$36,   (1-Constants!$D$20/1000000000*IF(ISBLANK(Design!$B$33),Design!$B$32/4,Design!$B$33/4)*1000000) * ($B66+AH66-AG66*AS66/1000) - (AH66+AG66*(1+($A66-25)*Constants!$C$36/100)*IF(ISBLANK(Design!$B$43),Constants!$C$6/1000,Design!$B$43/1000)),  (1-Constants!$D$20/1000000000*IF(ISBLANK(Design!$B$33),Design!$B$32,Design!$B$33)*1000000) * ($B66+AH66-AG66*AS66/1000) - (AH66+AG66*(1+($A66-25)*Constants!$C$36/100)*IF(ISBLANK(Design!$B$43),Constants!$C$6/1000,Design!$B$43/1000)))</f>
        <v>5.5498292509698937</v>
      </c>
      <c r="AU66" s="119">
        <f ca="1">IF(AT66&gt;Design!$C$29,Design!$C$29,AT66)</f>
        <v>4.99903317535545</v>
      </c>
    </row>
    <row r="67" spans="1:47" ht="12.75" customHeight="1" x14ac:dyDescent="0.3">
      <c r="A67" s="112">
        <f>Design!$D$13</f>
        <v>85</v>
      </c>
      <c r="B67" s="113">
        <f t="shared" si="12"/>
        <v>7.6999999999999975</v>
      </c>
      <c r="C67" s="114">
        <f>Design!$D$7</f>
        <v>2</v>
      </c>
      <c r="D67" s="114">
        <f ca="1">FORECAST(C67, OFFSET(Design!$C$15:$C$17,MATCH(C67,Design!$B$15:$B$17,1)-1,0,2), OFFSET(Design!$B$15:$B$17,MATCH(C67,Design!$B$15:$B$17,1)-1,0,2))+(M67-25)*Design!$B$18/1000</f>
        <v>0.39585906183166786</v>
      </c>
      <c r="E67" s="173">
        <f ca="1">IF(100*(Design!$C$29+D67+C67*IF(ISBLANK(Design!$B$43),Constants!$C$6,Design!$B$43)/1000*(1+Constants!$C$36/100*(N67-25)))/($B67+D67-C67*O67/1000)&gt;Design!$B$36,Design!$B$37,100*(Design!$C$29+D67+C67*IF(ISBLANK(Design!$B$43),Constants!$C$6,Design!$B$43)/1000*(1+Constants!$C$36/100*(N67-25)))/($B67+D67-C67*O67/1000))</f>
        <v>71.536058758417298</v>
      </c>
      <c r="F67" s="115">
        <f ca="1">IF(($B67-C67*IF(ISBLANK(Design!$B$43),Constants!$C$6,Design!$B$43)/1000*(1+Constants!$C$36/100*(N67-25))-Design!$C$29)/(IF(ISBLANK(Design!$B$42),Design!$B$40,Design!$B$42)/1000000)*E67/100/(IF(ISBLANK(Design!$B$33),Design!$B$32,Design!$B$33)*1000000)&lt;0,0,($B67-C67*IF(ISBLANK(Design!$B$43),Constants!$C$6,Design!$B$43)/1000*(1+Constants!$C$36/100*(N67-25))-Design!$C$29)/(IF(ISBLANK(Design!$B$42),Design!$B$40,Design!$B$42)/1000000)*E67/100/(IF(ISBLANK(Design!$B$33),Design!$B$32,Design!$B$33)*1000000))</f>
        <v>0.26748991710287046</v>
      </c>
      <c r="G67" s="165">
        <f>B67*Constants!$C$21/1000+IF(ISBLANK(Design!$B$33),Design!$B$32,Design!$B$33)*1000000*Constants!$D$25/1000000000*(B67-Constants!$C$24)</f>
        <v>5.9954999999999967E-2</v>
      </c>
      <c r="H67" s="165">
        <f>B67*C67*(B67/(Constants!$C$26*1000000000)*IF(ISBLANK(Design!$B$33),Design!$B$32,Design!$B$33)*1000000/2+B67/(Constants!$C$27*1000000000)*IF(ISBLANK(Design!$B$33),Design!$B$32,Design!$B$33)*1000000/2)</f>
        <v>0.30890360730593586</v>
      </c>
      <c r="I67" s="165">
        <f t="shared" ca="1" si="13"/>
        <v>0.574629654556438</v>
      </c>
      <c r="J67" s="165">
        <f>Constants!$D$25/1000000000*Constants!$C$24*IF(ISBLANK(Design!$B$33),Design!$B$32,Design!$B$33)*1000000</f>
        <v>6.8250000000000005E-2</v>
      </c>
      <c r="K67" s="165">
        <f t="shared" ca="1" si="22"/>
        <v>1.0117382618623738</v>
      </c>
      <c r="L67" s="165">
        <f t="shared" ca="1" si="17"/>
        <v>0.22535418151849296</v>
      </c>
      <c r="M67" s="166">
        <f ca="1">$A67+L67*Design!$B$19</f>
        <v>96.267709075924643</v>
      </c>
      <c r="N67" s="166">
        <f ca="1">K67*Design!$C$12+A67</f>
        <v>119.39910090332071</v>
      </c>
      <c r="O67" s="166">
        <f ca="1">Constants!$D$22+Constants!$D$22*Constants!$C$23/100*(N67-25)</f>
        <v>200.51928072265656</v>
      </c>
      <c r="P67" s="165">
        <f ca="1">IF(100*(Design!$C$29+D67+C67*IF(ISBLANK(Design!$B$43),Constants!$C$6,Design!$B$43)/1000*(1+Constants!$C$36/100*(N67-25)))/($B67+D67-C67*O67/1000)&gt;Design!$B$36,   (1-Constants!$D$20/1000000000*IF(ISBLANK(Design!$B$33),Design!$B$32/4,Design!$B$33/4)*1000000) * ($B67+D67-C67*O67/1000) - (D67+C67*(1+($A67-25)*Constants!$C$36/100)*IF(ISBLANK(Design!$B$43),Constants!$C$6/1000,Design!$B$43/1000)),  (1-Constants!$D$20/1000000000*IF(ISBLANK(Design!$B$33),Design!$B$32,Design!$B$33)*1000000) * ($B67+D67-C67*O67/1000) - (D67+C67*(1+($A67-25)*Constants!$C$36/100)*IF(ISBLANK(Design!$B$43),Constants!$C$6/1000,Design!$B$43/1000)))</f>
        <v>5.0994114419492105</v>
      </c>
      <c r="Q67" s="115">
        <f ca="1">IF(P67&gt;Design!$C$29,Design!$C$29,P67)</f>
        <v>4.99903317535545</v>
      </c>
      <c r="R67" s="116">
        <f>2*Design!$D$7/3</f>
        <v>1.3333333333333333</v>
      </c>
      <c r="S67" s="116">
        <f ca="1">FORECAST(R67, OFFSET(Design!$C$15:$C$17,MATCH(R67,Design!$B$15:$B$17,1)-1,0,2), OFFSET(Design!$B$15:$B$17,MATCH(R67,Design!$B$15:$B$17,1)-1,0,2))+(AB67-25)*Design!$B$18/1000</f>
        <v>0.3514189744219185</v>
      </c>
      <c r="T67" s="182">
        <f ca="1">IF(100*(Design!$C$29+S67+R67*IF(ISBLANK(Design!$B$43),Constants!$C$6,Design!$B$43)/1000*(1+Constants!$C$36/100*(AC67-25)))/($B67+S67-R67*AD67/1000)&gt;Design!$B$36,Design!$B$37,100*(Design!$C$29+S67+R67*IF(ISBLANK(Design!$B$43),Constants!$C$6,Design!$B$43)/1000*(1+Constants!$C$36/100*(AC67-25)))/($B67+S67-R67*AD67/1000))</f>
        <v>69.490940547934258</v>
      </c>
      <c r="U67" s="117">
        <f ca="1">IF(($B67-R67*IF(ISBLANK(Design!$B$43),Constants!$C$6,Design!$B$43)/1000*(1+Constants!$C$36/100*(AC67-25))-Design!$C$29)/(IF(ISBLANK(Design!$B$42),Design!$B$40,Design!$B$42)/1000000)*T67/100/(IF(ISBLANK(Design!$B$33),Design!$B$32,Design!$B$33)*1000000)&lt;0,0,($B67-R67*IF(ISBLANK(Design!$B$43),Constants!$C$6,Design!$B$43)/1000*(1+Constants!$C$36/100*(AC67-25))-Design!$C$29)/(IF(ISBLANK(Design!$B$42),Design!$B$40,Design!$B$42)/1000000)*T67/100/(IF(ISBLANK(Design!$B$33),Design!$B$32,Design!$B$33)*1000000))</f>
        <v>0.2638260996197716</v>
      </c>
      <c r="V67" s="183">
        <f>$B67*Constants!$C$21/1000+IF(ISBLANK(Design!$B$33),Design!$B$32,Design!$B$33)*1000000*Constants!$D$25/1000000000*($B67-Constants!$C$24)</f>
        <v>5.9954999999999967E-2</v>
      </c>
      <c r="W67" s="183">
        <f>$B67*R67*($B67/(Constants!$C$26*1000000000)*IF(ISBLANK(Design!$B$33),Design!$B$32,Design!$B$33)*1000000/2+$B67/(Constants!$C$27*1000000000)*IF(ISBLANK(Design!$B$33),Design!$B$32,Design!$B$33)*1000000/2)</f>
        <v>0.20593573820395722</v>
      </c>
      <c r="X67" s="183">
        <f t="shared" ca="1" si="14"/>
        <v>0.23355906607066226</v>
      </c>
      <c r="Y67" s="183">
        <f>Constants!$D$25/1000000000*Constants!$C$24*IF(ISBLANK(Design!$B$33),Design!$B$32,Design!$B$33)*1000000</f>
        <v>6.8250000000000005E-2</v>
      </c>
      <c r="Z67" s="183">
        <f t="shared" ca="1" si="23"/>
        <v>0.56769980427461952</v>
      </c>
      <c r="AA67" s="183">
        <f t="shared" ca="1" si="19"/>
        <v>0.14295283177629711</v>
      </c>
      <c r="AB67" s="184">
        <f ca="1">$A67+AA67*Design!$B$19</f>
        <v>92.147641588814849</v>
      </c>
      <c r="AC67" s="184">
        <f ca="1">Z67*Design!$C$12+$A67</f>
        <v>104.30179334533706</v>
      </c>
      <c r="AD67" s="184">
        <f ca="1">Constants!$D$22+Constants!$D$22*Constants!$C$23/100*(AC67-25)</f>
        <v>188.44143467626964</v>
      </c>
      <c r="AE67" s="183">
        <f ca="1">IF(100*(Design!$C$29+S67+R67*IF(ISBLANK(Design!$B$43),Constants!$C$6,Design!$B$43)/1000*(1+Constants!$C$36/100*(AC67-25)))/($B67+S67-R67*AD67/1000)&gt;Design!$B$36,   (1-Constants!$D$20/1000000000*IF(ISBLANK(Design!$B$33),Design!$B$32/4,Design!$B$33/4)*1000000) * ($B67+S67-R67*AD67/1000) - (S67+R67*(1+($A67-25)*Constants!$C$36/100)*IF(ISBLANK(Design!$B$43),Constants!$C$6/1000,Design!$B$43/1000)),  (1-Constants!$D$20/1000000000*IF(ISBLANK(Design!$B$33),Design!$B$32,Design!$B$33)*1000000) * ($B67+S67-R67*AD67/1000) - (S67+R67*(1+($A67-25)*Constants!$C$36/100)*IF(ISBLANK(Design!$B$43),Constants!$C$6/1000,Design!$B$43/1000)))</f>
        <v>5.2533907226366168</v>
      </c>
      <c r="AF67" s="117">
        <f ca="1">IF(AE67&gt;Design!$C$29,Design!$C$29,AE67)</f>
        <v>4.99903317535545</v>
      </c>
      <c r="AG67" s="118">
        <f>Design!$D$7/3</f>
        <v>0.66666666666666663</v>
      </c>
      <c r="AH67" s="118">
        <f ca="1">FORECAST(AG67, OFFSET(Design!$C$15:$C$17,MATCH(AG67,Design!$B$15:$B$17,1)-1,0,2), OFFSET(Design!$B$15:$B$17,MATCH(AG67,Design!$B$15:$B$17,1)-1,0,2))+(AQ67-25)*Design!$B$18/1000</f>
        <v>0.30673237413912435</v>
      </c>
      <c r="AI67" s="194">
        <f ca="1">IF(100*(Design!$C$29+AH67+AG67*IF(ISBLANK(Design!$B$43),Constants!$C$6,Design!$B$43)/1000*(1+Constants!$C$36/100*(AR67-25)))/($B67+AH67-AG67*AS67/1000)&gt;Design!$B$36,Design!$B$37,100*(Design!$C$29+AH67+AG67*IF(ISBLANK(Design!$B$43),Constants!$C$6,Design!$B$43)/1000*(1+Constants!$C$36/100*(AR67-25)))/($B67+AH67-AG67*AS67/1000))</f>
        <v>67.709858114165201</v>
      </c>
      <c r="AJ67" s="119">
        <f ca="1">IF(($B67-AG67*IF(ISBLANK(Design!$B$43),Constants!$C$6,Design!$B$43)/1000*(1+Constants!$C$36/100*(AR67-25))-Design!$C$29)/(IF(ISBLANK(Design!$B$42),Design!$B$40,Design!$B$42)/1000000)*AI67/100/(IF(ISBLANK(Design!$B$33),Design!$B$32,Design!$B$33)*1000000)&lt;0,0,($B67-AG67*IF(ISBLANK(Design!$B$43),Constants!$C$6,Design!$B$43)/1000*(1+Constants!$C$36/100*(AR67-25))-Design!$C$29)/(IF(ISBLANK(Design!$B$42),Design!$B$40,Design!$B$42)/1000000)*AI67/100/(IF(ISBLANK(Design!$B$33),Design!$B$32,Design!$B$33)*1000000))</f>
        <v>0.26057959315840534</v>
      </c>
      <c r="AK67" s="195">
        <f>$B67*Constants!$C$21/1000+IF(ISBLANK(Design!$B$33),Design!$B$32,Design!$B$33)*1000000*Constants!$D$25/1000000000*($B67-Constants!$C$24)</f>
        <v>5.9954999999999967E-2</v>
      </c>
      <c r="AL67" s="195">
        <f>$B67*AG67*($B67/(Constants!$C$26*1000000000)*IF(ISBLANK(Design!$B$33),Design!$B$32,Design!$B$33)*1000000/2+$B67/(Constants!$C$27*1000000000)*IF(ISBLANK(Design!$B$33),Design!$B$32,Design!$B$33)*1000000/2)</f>
        <v>0.10296786910197861</v>
      </c>
      <c r="AM67" s="195">
        <f t="shared" ca="1" si="15"/>
        <v>5.5097240149960022E-2</v>
      </c>
      <c r="AN67" s="195">
        <f>Constants!$D$25/1000000000*Constants!$C$24*IF(ISBLANK(Design!$B$33),Design!$B$32,Design!$B$33)*1000000</f>
        <v>6.8250000000000005E-2</v>
      </c>
      <c r="AO67" s="195">
        <f t="shared" ca="1" si="24"/>
        <v>0.28627010925193863</v>
      </c>
      <c r="AP67" s="195">
        <f t="shared" ca="1" si="21"/>
        <v>6.6029545879541934E-2</v>
      </c>
      <c r="AQ67" s="196">
        <f ca="1">$A67+AP67*Design!$B$19</f>
        <v>88.301477293977101</v>
      </c>
      <c r="AR67" s="196">
        <f ca="1">AO67*Design!$C$12+$A67</f>
        <v>94.733183714565911</v>
      </c>
      <c r="AS67" s="196">
        <f ca="1">Constants!$D$22+Constants!$D$22*Constants!$C$23/100*(AR67-25)</f>
        <v>180.78654697165274</v>
      </c>
      <c r="AT67" s="195">
        <f ca="1">IF(100*(Design!$C$29+AH67+AG67*IF(ISBLANK(Design!$B$43),Constants!$C$6,Design!$B$43)/1000*(1+Constants!$C$36/100*(AR67-25)))/($B67+AH67-AG67*AS67/1000)&gt;Design!$B$36,   (1-Constants!$D$20/1000000000*IF(ISBLANK(Design!$B$33),Design!$B$32/4,Design!$B$33/4)*1000000) * ($B67+AH67-AG67*AS67/1000) - (AH67+AG67*(1+($A67-25)*Constants!$C$36/100)*IF(ISBLANK(Design!$B$43),Constants!$C$6/1000,Design!$B$43/1000)),  (1-Constants!$D$20/1000000000*IF(ISBLANK(Design!$B$33),Design!$B$32,Design!$B$33)*1000000) * ($B67+AH67-AG67*AS67/1000) - (AH67+AG67*(1+($A67-25)*Constants!$C$36/100)*IF(ISBLANK(Design!$B$43),Constants!$C$6/1000,Design!$B$43/1000)))</f>
        <v>5.3935861820944231</v>
      </c>
      <c r="AU67" s="119">
        <f ca="1">IF(AT67&gt;Design!$C$29,Design!$C$29,AT67)</f>
        <v>4.99903317535545</v>
      </c>
    </row>
    <row r="68" spans="1:47" ht="12.75" customHeight="1" x14ac:dyDescent="0.3">
      <c r="A68" s="112">
        <f>Design!$D$13</f>
        <v>85</v>
      </c>
      <c r="B68" s="113">
        <f t="shared" si="12"/>
        <v>7.4849999999999977</v>
      </c>
      <c r="C68" s="114">
        <f>Design!$D$7</f>
        <v>2</v>
      </c>
      <c r="D68" s="114">
        <f ca="1">FORECAST(C68, OFFSET(Design!$C$15:$C$17,MATCH(C68,Design!$B$15:$B$17,1)-1,0,2), OFFSET(Design!$B$15:$B$17,MATCH(C68,Design!$B$15:$B$17,1)-1,0,2))+(M68-25)*Design!$B$18/1000</f>
        <v>0.40352136998486798</v>
      </c>
      <c r="E68" s="173">
        <f ca="1">IF(100*(Design!$C$29+D68+C68*IF(ISBLANK(Design!$B$43),Constants!$C$6,Design!$B$43)/1000*(1+Constants!$C$36/100*(N68-25)))/($B68+D68-C68*O68/1000)&gt;Design!$B$36,Design!$B$37,100*(Design!$C$29+D68+C68*IF(ISBLANK(Design!$B$43),Constants!$C$6,Design!$B$43)/1000*(1+Constants!$C$36/100*(N68-25)))/($B68+D68-C68*O68/1000))</f>
        <v>93.174999999999997</v>
      </c>
      <c r="F68" s="115">
        <f ca="1">IF(($B68-C68*IF(ISBLANK(Design!$B$43),Constants!$C$6,Design!$B$43)/1000*(1+Constants!$C$36/100*(N68-25))-Design!$C$29)/(IF(ISBLANK(Design!$B$42),Design!$B$40,Design!$B$42)/1000000)*E68/100/(IF(ISBLANK(Design!$B$33),Design!$B$32,Design!$B$33)*1000000)&lt;0,0,($B68-C68*IF(ISBLANK(Design!$B$43),Constants!$C$6,Design!$B$43)/1000*(1+Constants!$C$36/100*(N68-25))-Design!$C$29)/(IF(ISBLANK(Design!$B$42),Design!$B$40,Design!$B$42)/1000000)*E68/100/(IF(ISBLANK(Design!$B$33),Design!$B$32,Design!$B$33)*1000000))</f>
        <v>0.31924994387393479</v>
      </c>
      <c r="G68" s="165">
        <f>B68*Constants!$C$21/1000+IF(ISBLANK(Design!$B$33),Design!$B$32,Design!$B$33)*1000000*Constants!$D$25/1000000000*(B68-Constants!$C$24)</f>
        <v>5.637524999999996E-2</v>
      </c>
      <c r="H68" s="165">
        <f>B68*C68*(B68/(Constants!$C$26*1000000000)*IF(ISBLANK(Design!$B$33),Design!$B$32,Design!$B$33)*1000000/2+B68/(Constants!$C$27*1000000000)*IF(ISBLANK(Design!$B$33),Design!$B$32,Design!$B$33)*1000000/2)</f>
        <v>0.29189398047945186</v>
      </c>
      <c r="I68" s="165">
        <f t="shared" ca="1" si="13"/>
        <v>0.76630252192942927</v>
      </c>
      <c r="J68" s="165">
        <f>Constants!$D$25/1000000000*Constants!$C$24*IF(ISBLANK(Design!$B$33),Design!$B$32,Design!$B$33)*1000000</f>
        <v>6.8250000000000005E-2</v>
      </c>
      <c r="K68" s="165">
        <f t="shared" ca="1" si="22"/>
        <v>1.1828217524088811</v>
      </c>
      <c r="L68" s="165">
        <f t="shared" ca="1" si="17"/>
        <v>5.5080667002934507E-2</v>
      </c>
      <c r="M68" s="166">
        <f ca="1">$A68+L68*Design!$B$19</f>
        <v>87.754033350146727</v>
      </c>
      <c r="N68" s="166">
        <f ca="1">K68*Design!$C$12+A68</f>
        <v>125.21593958190195</v>
      </c>
      <c r="O68" s="166">
        <f ca="1">Constants!$D$22+Constants!$D$22*Constants!$C$23/100*(N68-25)</f>
        <v>205.17275166552156</v>
      </c>
      <c r="P68" s="165">
        <f ca="1">IF(100*(Design!$C$29+D68+C68*IF(ISBLANK(Design!$B$43),Constants!$C$6,Design!$B$43)/1000*(1+Constants!$C$36/100*(N68-25)))/($B68+D68-C68*O68/1000)&gt;Design!$B$36,   (1-Constants!$D$20/1000000000*IF(ISBLANK(Design!$B$33),Design!$B$32/4,Design!$B$33/4)*1000000) * ($B68+D68-C68*O68/1000) - (D68+C68*(1+($A68-25)*Constants!$C$36/100)*IF(ISBLANK(Design!$B$43),Constants!$C$6/1000,Design!$B$43/1000)),  (1-Constants!$D$20/1000000000*IF(ISBLANK(Design!$B$33),Design!$B$32,Design!$B$33)*1000000) * ($B68+D68-C68*O68/1000) - (D68+C68*(1+($A68-25)*Constants!$C$36/100)*IF(ISBLANK(Design!$B$43),Constants!$C$6/1000,Design!$B$43/1000)))</f>
        <v>6.4654049937698312</v>
      </c>
      <c r="Q68" s="115">
        <f ca="1">IF(P68&gt;Design!$C$29,Design!$C$29,P68)</f>
        <v>4.99903317535545</v>
      </c>
      <c r="R68" s="116">
        <f>2*Design!$D$7/3</f>
        <v>1.3333333333333333</v>
      </c>
      <c r="S68" s="116">
        <f ca="1">FORECAST(R68, OFFSET(Design!$C$15:$C$17,MATCH(R68,Design!$B$15:$B$17,1)-1,0,2), OFFSET(Design!$B$15:$B$17,MATCH(R68,Design!$B$15:$B$17,1)-1,0,2))+(AB68-25)*Design!$B$18/1000</f>
        <v>0.35182683057736186</v>
      </c>
      <c r="T68" s="182">
        <f ca="1">IF(100*(Design!$C$29+S68+R68*IF(ISBLANK(Design!$B$43),Constants!$C$6,Design!$B$43)/1000*(1+Constants!$C$36/100*(AC68-25)))/($B68+S68-R68*AD68/1000)&gt;Design!$B$36,Design!$B$37,100*(Design!$C$29+S68+R68*IF(ISBLANK(Design!$B$43),Constants!$C$6,Design!$B$43)/1000*(1+Constants!$C$36/100*(AC68-25)))/($B68+S68-R68*AD68/1000))</f>
        <v>71.458395860056569</v>
      </c>
      <c r="U68" s="117">
        <f ca="1">IF(($B68-R68*IF(ISBLANK(Design!$B$43),Constants!$C$6,Design!$B$43)/1000*(1+Constants!$C$36/100*(AC68-25))-Design!$C$29)/(IF(ISBLANK(Design!$B$42),Design!$B$40,Design!$B$42)/1000000)*T68/100/(IF(ISBLANK(Design!$B$33),Design!$B$32,Design!$B$33)*1000000)&lt;0,0,($B68-R68*IF(ISBLANK(Design!$B$43),Constants!$C$6,Design!$B$43)/1000*(1+Constants!$C$36/100*(AC68-25))-Design!$C$29)/(IF(ISBLANK(Design!$B$42),Design!$B$40,Design!$B$42)/1000000)*T68/100/(IF(ISBLANK(Design!$B$33),Design!$B$32,Design!$B$33)*1000000))</f>
        <v>0.24913240522530331</v>
      </c>
      <c r="V68" s="183">
        <f>$B68*Constants!$C$21/1000+IF(ISBLANK(Design!$B$33),Design!$B$32,Design!$B$33)*1000000*Constants!$D$25/1000000000*($B68-Constants!$C$24)</f>
        <v>5.637524999999996E-2</v>
      </c>
      <c r="W68" s="183">
        <f>$B68*R68*($B68/(Constants!$C$26*1000000000)*IF(ISBLANK(Design!$B$33),Design!$B$32,Design!$B$33)*1000000/2+$B68/(Constants!$C$27*1000000000)*IF(ISBLANK(Design!$B$33),Design!$B$32,Design!$B$33)*1000000/2)</f>
        <v>0.19459598698630126</v>
      </c>
      <c r="X68" s="183">
        <f t="shared" ca="1" si="14"/>
        <v>0.23978586245077343</v>
      </c>
      <c r="Y68" s="183">
        <f>Constants!$D$25/1000000000*Constants!$C$24*IF(ISBLANK(Design!$B$33),Design!$B$32,Design!$B$33)*1000000</f>
        <v>6.8250000000000005E-2</v>
      </c>
      <c r="Z68" s="183">
        <f t="shared" ca="1" si="23"/>
        <v>0.55900709943707461</v>
      </c>
      <c r="AA68" s="183">
        <f t="shared" ca="1" si="19"/>
        <v>0.13388936165533344</v>
      </c>
      <c r="AB68" s="184">
        <f ca="1">$A68+AA68*Design!$B$19</f>
        <v>91.694468082766676</v>
      </c>
      <c r="AC68" s="184">
        <f ca="1">Z68*Design!$C$12+$A68</f>
        <v>104.00624138086053</v>
      </c>
      <c r="AD68" s="184">
        <f ca="1">Constants!$D$22+Constants!$D$22*Constants!$C$23/100*(AC68-25)</f>
        <v>188.20499310468841</v>
      </c>
      <c r="AE68" s="183">
        <f ca="1">IF(100*(Design!$C$29+S68+R68*IF(ISBLANK(Design!$B$43),Constants!$C$6,Design!$B$43)/1000*(1+Constants!$C$36/100*(AC68-25)))/($B68+S68-R68*AD68/1000)&gt;Design!$B$36,   (1-Constants!$D$20/1000000000*IF(ISBLANK(Design!$B$33),Design!$B$32/4,Design!$B$33/4)*1000000) * ($B68+S68-R68*AD68/1000) - (S68+R68*(1+($A68-25)*Constants!$C$36/100)*IF(ISBLANK(Design!$B$43),Constants!$C$6/1000,Design!$B$43/1000)),  (1-Constants!$D$20/1000000000*IF(ISBLANK(Design!$B$33),Design!$B$32,Design!$B$33)*1000000) * ($B68+S68-R68*AD68/1000) - (S68+R68*(1+($A68-25)*Constants!$C$36/100)*IF(ISBLANK(Design!$B$43),Constants!$C$6/1000,Design!$B$43/1000)))</f>
        <v>5.0972035686029002</v>
      </c>
      <c r="AF68" s="117">
        <f ca="1">IF(AE68&gt;Design!$C$29,Design!$C$29,AE68)</f>
        <v>4.99903317535545</v>
      </c>
      <c r="AG68" s="118">
        <f>Design!$D$7/3</f>
        <v>0.66666666666666663</v>
      </c>
      <c r="AH68" s="118">
        <f ca="1">FORECAST(AG68, OFFSET(Design!$C$15:$C$17,MATCH(AG68,Design!$B$15:$B$17,1)-1,0,2), OFFSET(Design!$B$15:$B$17,MATCH(AG68,Design!$B$15:$B$17,1)-1,0,2))+(AQ68-25)*Design!$B$18/1000</f>
        <v>0.30690533318973728</v>
      </c>
      <c r="AI68" s="194">
        <f ca="1">IF(100*(Design!$C$29+AH68+AG68*IF(ISBLANK(Design!$B$43),Constants!$C$6,Design!$B$43)/1000*(1+Constants!$C$36/100*(AR68-25)))/($B68+AH68-AG68*AS68/1000)&gt;Design!$B$36,Design!$B$37,100*(Design!$C$29+AH68+AG68*IF(ISBLANK(Design!$B$43),Constants!$C$6,Design!$B$43)/1000*(1+Constants!$C$36/100*(AR68-25)))/($B68+AH68-AG68*AS68/1000))</f>
        <v>69.606583188781372</v>
      </c>
      <c r="AJ68" s="119">
        <f ca="1">IF(($B68-AG68*IF(ISBLANK(Design!$B$43),Constants!$C$6,Design!$B$43)/1000*(1+Constants!$C$36/100*(AR68-25))-Design!$C$29)/(IF(ISBLANK(Design!$B$42),Design!$B$40,Design!$B$42)/1000000)*AI68/100/(IF(ISBLANK(Design!$B$33),Design!$B$32,Design!$B$33)*1000000)&lt;0,0,($B68-AG68*IF(ISBLANK(Design!$B$43),Constants!$C$6,Design!$B$43)/1000*(1+Constants!$C$36/100*(AR68-25))-Design!$C$29)/(IF(ISBLANK(Design!$B$42),Design!$B$40,Design!$B$42)/1000000)*AI68/100/(IF(ISBLANK(Design!$B$33),Design!$B$32,Design!$B$33)*1000000))</f>
        <v>0.24628678242831128</v>
      </c>
      <c r="AK68" s="195">
        <f>$B68*Constants!$C$21/1000+IF(ISBLANK(Design!$B$33),Design!$B$32,Design!$B$33)*1000000*Constants!$D$25/1000000000*($B68-Constants!$C$24)</f>
        <v>5.637524999999996E-2</v>
      </c>
      <c r="AL68" s="195">
        <f>$B68*AG68*($B68/(Constants!$C$26*1000000000)*IF(ISBLANK(Design!$B$33),Design!$B$32,Design!$B$33)*1000000/2+$B68/(Constants!$C$27*1000000000)*IF(ISBLANK(Design!$B$33),Design!$B$32,Design!$B$33)*1000000/2)</f>
        <v>9.7297993493150631E-2</v>
      </c>
      <c r="AM68" s="195">
        <f t="shared" ca="1" si="15"/>
        <v>5.6497885352095142E-2</v>
      </c>
      <c r="AN68" s="195">
        <f>Constants!$D$25/1000000000*Constants!$C$24*IF(ISBLANK(Design!$B$33),Design!$B$32,Design!$B$33)*1000000</f>
        <v>6.8250000000000005E-2</v>
      </c>
      <c r="AO68" s="195">
        <f t="shared" ca="1" si="24"/>
        <v>0.27842112884524572</v>
      </c>
      <c r="AP68" s="195">
        <f t="shared" ca="1" si="21"/>
        <v>6.2186011421477443E-2</v>
      </c>
      <c r="AQ68" s="196">
        <f ca="1">$A68+AP68*Design!$B$19</f>
        <v>88.109300571073874</v>
      </c>
      <c r="AR68" s="196">
        <f ca="1">AO68*Design!$C$12+$A68</f>
        <v>94.466318380738358</v>
      </c>
      <c r="AS68" s="196">
        <f ca="1">Constants!$D$22+Constants!$D$22*Constants!$C$23/100*(AR68-25)</f>
        <v>180.57305470459067</v>
      </c>
      <c r="AT68" s="195">
        <f ca="1">IF(100*(Design!$C$29+AH68+AG68*IF(ISBLANK(Design!$B$43),Constants!$C$6,Design!$B$43)/1000*(1+Constants!$C$36/100*(AR68-25)))/($B68+AH68-AG68*AS68/1000)&gt;Design!$B$36,   (1-Constants!$D$20/1000000000*IF(ISBLANK(Design!$B$33),Design!$B$32/4,Design!$B$33/4)*1000000) * ($B68+AH68-AG68*AS68/1000) - (AH68+AG68*(1+($A68-25)*Constants!$C$36/100)*IF(ISBLANK(Design!$B$43),Constants!$C$6/1000,Design!$B$43/1000)),  (1-Constants!$D$20/1000000000*IF(ISBLANK(Design!$B$33),Design!$B$32,Design!$B$33)*1000000) * ($B68+AH68-AG68*AS68/1000) - (AH68+AG68*(1+($A68-25)*Constants!$C$36/100)*IF(ISBLANK(Design!$B$43),Constants!$C$6/1000,Design!$B$43/1000)))</f>
        <v>5.2373374368590424</v>
      </c>
      <c r="AU68" s="119">
        <f ca="1">IF(AT68&gt;Design!$C$29,Design!$C$29,AT68)</f>
        <v>4.99903317535545</v>
      </c>
    </row>
    <row r="69" spans="1:47" ht="12.75" customHeight="1" x14ac:dyDescent="0.3">
      <c r="A69" s="112">
        <f>Design!$D$13</f>
        <v>85</v>
      </c>
      <c r="B69" s="113">
        <f t="shared" si="12"/>
        <v>7.2699999999999978</v>
      </c>
      <c r="C69" s="114">
        <f>Design!$D$7</f>
        <v>2</v>
      </c>
      <c r="D69" s="114">
        <f ca="1">FORECAST(C69, OFFSET(Design!$C$15:$C$17,MATCH(C69,Design!$B$15:$B$17,1)-1,0,2), OFFSET(Design!$B$15:$B$17,MATCH(C69,Design!$B$15:$B$17,1)-1,0,2))+(M69-25)*Design!$B$18/1000</f>
        <v>0.40352136998486798</v>
      </c>
      <c r="E69" s="173">
        <f ca="1">IF(100*(Design!$C$29+D69+C69*IF(ISBLANK(Design!$B$43),Constants!$C$6,Design!$B$43)/1000*(1+Constants!$C$36/100*(N69-25)))/($B69+D69-C69*O69/1000)&gt;Design!$B$36,Design!$B$37,100*(Design!$C$29+D69+C69*IF(ISBLANK(Design!$B$43),Constants!$C$6,Design!$B$43)/1000*(1+Constants!$C$36/100*(N69-25)))/($B69+D69-C69*O69/1000))</f>
        <v>93.174999999999997</v>
      </c>
      <c r="F69" s="115">
        <f ca="1">IF(($B69-C69*IF(ISBLANK(Design!$B$43),Constants!$C$6,Design!$B$43)/1000*(1+Constants!$C$36/100*(N69-25))-Design!$C$29)/(IF(ISBLANK(Design!$B$42),Design!$B$40,Design!$B$42)/1000000)*E69/100/(IF(ISBLANK(Design!$B$33),Design!$B$32,Design!$B$33)*1000000)&lt;0,0,($B69-C69*IF(ISBLANK(Design!$B$43),Constants!$C$6,Design!$B$43)/1000*(1+Constants!$C$36/100*(N69-25))-Design!$C$29)/(IF(ISBLANK(Design!$B$42),Design!$B$40,Design!$B$42)/1000000)*E69/100/(IF(ISBLANK(Design!$B$33),Design!$B$32,Design!$B$33)*1000000))</f>
        <v>0.29037545171350521</v>
      </c>
      <c r="G69" s="165">
        <f>B69*Constants!$C$21/1000+IF(ISBLANK(Design!$B$33),Design!$B$32,Design!$B$33)*1000000*Constants!$D$25/1000000000*(B69-Constants!$C$24)</f>
        <v>5.2795499999999967E-2</v>
      </c>
      <c r="H69" s="165">
        <f>B69*C69*(B69/(Constants!$C$26*1000000000)*IF(ISBLANK(Design!$B$33),Design!$B$32,Design!$B$33)*1000000/2+B69/(Constants!$C$27*1000000000)*IF(ISBLANK(Design!$B$33),Design!$B$32,Design!$B$33)*1000000/2)</f>
        <v>0.27536602237442909</v>
      </c>
      <c r="I69" s="165">
        <f t="shared" ca="1" si="13"/>
        <v>0.76371760568509961</v>
      </c>
      <c r="J69" s="165">
        <f>Constants!$D$25/1000000000*Constants!$C$24*IF(ISBLANK(Design!$B$33),Design!$B$32,Design!$B$33)*1000000</f>
        <v>6.8250000000000005E-2</v>
      </c>
      <c r="K69" s="165">
        <f t="shared" ca="1" si="22"/>
        <v>1.1601291280595287</v>
      </c>
      <c r="L69" s="165">
        <f t="shared" ca="1" si="17"/>
        <v>5.5080667002934507E-2</v>
      </c>
      <c r="M69" s="166">
        <f ca="1">$A69+L69*Design!$B$19</f>
        <v>87.754033350146727</v>
      </c>
      <c r="N69" s="166">
        <f ca="1">K69*Design!$C$12+A69</f>
        <v>124.44439035402398</v>
      </c>
      <c r="O69" s="166">
        <f ca="1">Constants!$D$22+Constants!$D$22*Constants!$C$23/100*(N69-25)</f>
        <v>204.55551228321917</v>
      </c>
      <c r="P69" s="165">
        <f ca="1">IF(100*(Design!$C$29+D69+C69*IF(ISBLANK(Design!$B$43),Constants!$C$6,Design!$B$43)/1000*(1+Constants!$C$36/100*(N69-25)))/($B69+D69-C69*O69/1000)&gt;Design!$B$36,   (1-Constants!$D$20/1000000000*IF(ISBLANK(Design!$B$33),Design!$B$32/4,Design!$B$33/4)*1000000) * ($B69+D69-C69*O69/1000) - (D69+C69*(1+($A69-25)*Constants!$C$36/100)*IF(ISBLANK(Design!$B$43),Constants!$C$6/1000,Design!$B$43/1000)),  (1-Constants!$D$20/1000000000*IF(ISBLANK(Design!$B$33),Design!$B$32,Design!$B$33)*1000000) * ($B69+D69-C69*O69/1000) - (D69+C69*(1+($A69-25)*Constants!$C$36/100)*IF(ISBLANK(Design!$B$43),Constants!$C$6/1000,Design!$B$43/1000)))</f>
        <v>6.2662289693587523</v>
      </c>
      <c r="Q69" s="115">
        <f ca="1">IF(P69&gt;Design!$C$29,Design!$C$29,P69)</f>
        <v>4.99903317535545</v>
      </c>
      <c r="R69" s="116">
        <f>2*Design!$D$7/3</f>
        <v>1.3333333333333333</v>
      </c>
      <c r="S69" s="116">
        <f ca="1">FORECAST(R69, OFFSET(Design!$C$15:$C$17,MATCH(R69,Design!$B$15:$B$17,1)-1,0,2), OFFSET(Design!$B$15:$B$17,MATCH(R69,Design!$B$15:$B$17,1)-1,0,2))+(AB69-25)*Design!$B$18/1000</f>
        <v>0.35639242487200101</v>
      </c>
      <c r="T69" s="182">
        <f ca="1">IF(100*(Design!$C$29+S69+R69*IF(ISBLANK(Design!$B$43),Constants!$C$6,Design!$B$43)/1000*(1+Constants!$C$36/100*(AC69-25)))/($B69+S69-R69*AD69/1000)&gt;Design!$B$36,Design!$B$37,100*(Design!$C$29+S69+R69*IF(ISBLANK(Design!$B$43),Constants!$C$6,Design!$B$43)/1000*(1+Constants!$C$36/100*(AC69-25)))/($B69+S69-R69*AD69/1000))</f>
        <v>93.174999999999997</v>
      </c>
      <c r="U69" s="117">
        <f ca="1">IF(($B69-R69*IF(ISBLANK(Design!$B$43),Constants!$C$6,Design!$B$43)/1000*(1+Constants!$C$36/100*(AC69-25))-Design!$C$29)/(IF(ISBLANK(Design!$B$42),Design!$B$40,Design!$B$42)/1000000)*T69/100/(IF(ISBLANK(Design!$B$33),Design!$B$32,Design!$B$33)*1000000)&lt;0,0,($B69-R69*IF(ISBLANK(Design!$B$43),Constants!$C$6,Design!$B$43)/1000*(1+Constants!$C$36/100*(AC69-25))-Design!$C$29)/(IF(ISBLANK(Design!$B$42),Design!$B$40,Design!$B$42)/1000000)*T69/100/(IF(ISBLANK(Design!$B$33),Design!$B$32,Design!$B$33)*1000000))</f>
        <v>0.29587916790560537</v>
      </c>
      <c r="V69" s="183">
        <f>$B69*Constants!$C$21/1000+IF(ISBLANK(Design!$B$33),Design!$B$32,Design!$B$33)*1000000*Constants!$D$25/1000000000*($B69-Constants!$C$24)</f>
        <v>5.2795499999999967E-2</v>
      </c>
      <c r="W69" s="183">
        <f>$B69*R69*($B69/(Constants!$C$26*1000000000)*IF(ISBLANK(Design!$B$33),Design!$B$32,Design!$B$33)*1000000/2+$B69/(Constants!$C$27*1000000000)*IF(ISBLANK(Design!$B$33),Design!$B$32,Design!$B$33)*1000000/2)</f>
        <v>0.18357734824961935</v>
      </c>
      <c r="X69" s="183">
        <f t="shared" ca="1" si="14"/>
        <v>0.31580931279753333</v>
      </c>
      <c r="Y69" s="183">
        <f>Constants!$D$25/1000000000*Constants!$C$24*IF(ISBLANK(Design!$B$33),Design!$B$32,Design!$B$33)*1000000</f>
        <v>6.8250000000000005E-2</v>
      </c>
      <c r="Z69" s="183">
        <f t="shared" ca="1" si="23"/>
        <v>0.62043216104715271</v>
      </c>
      <c r="AA69" s="183">
        <f t="shared" ca="1" si="19"/>
        <v>3.2431710663352105E-2</v>
      </c>
      <c r="AB69" s="184">
        <f ca="1">$A69+AA69*Design!$B$19</f>
        <v>86.621585533167604</v>
      </c>
      <c r="AC69" s="184">
        <f ca="1">Z69*Design!$C$12+$A69</f>
        <v>106.09469347560319</v>
      </c>
      <c r="AD69" s="184">
        <f ca="1">Constants!$D$22+Constants!$D$22*Constants!$C$23/100*(AC69-25)</f>
        <v>189.87575478048257</v>
      </c>
      <c r="AE69" s="183">
        <f ca="1">IF(100*(Design!$C$29+S69+R69*IF(ISBLANK(Design!$B$43),Constants!$C$6,Design!$B$43)/1000*(1+Constants!$C$36/100*(AC69-25)))/($B69+S69-R69*AD69/1000)&gt;Design!$B$36,   (1-Constants!$D$20/1000000000*IF(ISBLANK(Design!$B$33),Design!$B$32/4,Design!$B$33/4)*1000000) * ($B69+S69-R69*AD69/1000) - (S69+R69*(1+($A69-25)*Constants!$C$36/100)*IF(ISBLANK(Design!$B$43),Constants!$C$6/1000,Design!$B$43/1000)),  (1-Constants!$D$20/1000000000*IF(ISBLANK(Design!$B$33),Design!$B$32,Design!$B$33)*1000000) * ($B69+S69-R69*AD69/1000) - (S69+R69*(1+($A69-25)*Constants!$C$36/100)*IF(ISBLANK(Design!$B$43),Constants!$C$6/1000,Design!$B$43/1000)))</f>
        <v>6.4477004043135313</v>
      </c>
      <c r="AF69" s="117">
        <f ca="1">IF(AE69&gt;Design!$C$29,Design!$C$29,AE69)</f>
        <v>4.99903317535545</v>
      </c>
      <c r="AG69" s="118">
        <f>Design!$D$7/3</f>
        <v>0.66666666666666663</v>
      </c>
      <c r="AH69" s="118">
        <f ca="1">FORECAST(AG69, OFFSET(Design!$C$15:$C$17,MATCH(AG69,Design!$B$15:$B$17,1)-1,0,2), OFFSET(Design!$B$15:$B$17,MATCH(AG69,Design!$B$15:$B$17,1)-1,0,2))+(AQ69-25)*Design!$B$18/1000</f>
        <v>0.30708847216687912</v>
      </c>
      <c r="AI69" s="194">
        <f ca="1">IF(100*(Design!$C$29+AH69+AG69*IF(ISBLANK(Design!$B$43),Constants!$C$6,Design!$B$43)/1000*(1+Constants!$C$36/100*(AR69-25)))/($B69+AH69-AG69*AS69/1000)&gt;Design!$B$36,Design!$B$37,100*(Design!$C$29+AH69+AG69*IF(ISBLANK(Design!$B$43),Constants!$C$6,Design!$B$43)/1000*(1+Constants!$C$36/100*(AR69-25)))/($B69+AH69-AG69*AS69/1000))</f>
        <v>71.612615756722761</v>
      </c>
      <c r="AJ69" s="119">
        <f ca="1">IF(($B69-AG69*IF(ISBLANK(Design!$B$43),Constants!$C$6,Design!$B$43)/1000*(1+Constants!$C$36/100*(AR69-25))-Design!$C$29)/(IF(ISBLANK(Design!$B$42),Design!$B$40,Design!$B$42)/1000000)*AI69/100/(IF(ISBLANK(Design!$B$33),Design!$B$32,Design!$B$33)*1000000)&lt;0,0,($B69-AG69*IF(ISBLANK(Design!$B$43),Constants!$C$6,Design!$B$43)/1000*(1+Constants!$C$36/100*(AR69-25))-Design!$C$29)/(IF(ISBLANK(Design!$B$42),Design!$B$40,Design!$B$42)/1000000)*AI69/100/(IF(ISBLANK(Design!$B$33),Design!$B$32,Design!$B$33)*1000000))</f>
        <v>0.23116998641044931</v>
      </c>
      <c r="AK69" s="195">
        <f>$B69*Constants!$C$21/1000+IF(ISBLANK(Design!$B$33),Design!$B$32,Design!$B$33)*1000000*Constants!$D$25/1000000000*($B69-Constants!$C$24)</f>
        <v>5.2795499999999967E-2</v>
      </c>
      <c r="AL69" s="195">
        <f>$B69*AG69*($B69/(Constants!$C$26*1000000000)*IF(ISBLANK(Design!$B$33),Design!$B$32,Design!$B$33)*1000000/2+$B69/(Constants!$C$27*1000000000)*IF(ISBLANK(Design!$B$33),Design!$B$32,Design!$B$33)*1000000/2)</f>
        <v>9.1788674124809677E-2</v>
      </c>
      <c r="AM69" s="195">
        <f t="shared" ca="1" si="15"/>
        <v>5.7981854711300629E-2</v>
      </c>
      <c r="AN69" s="195">
        <f>Constants!$D$25/1000000000*Constants!$C$24*IF(ISBLANK(Design!$B$33),Design!$B$32,Design!$B$33)*1000000</f>
        <v>6.8250000000000005E-2</v>
      </c>
      <c r="AO69" s="195">
        <f t="shared" ca="1" si="24"/>
        <v>0.27081602883611028</v>
      </c>
      <c r="AP69" s="195">
        <f t="shared" ca="1" si="21"/>
        <v>5.8116256373880959E-2</v>
      </c>
      <c r="AQ69" s="196">
        <f ca="1">$A69+AP69*Design!$B$19</f>
        <v>87.905812818694045</v>
      </c>
      <c r="AR69" s="196">
        <f ca="1">AO69*Design!$C$12+$A69</f>
        <v>94.207744980427748</v>
      </c>
      <c r="AS69" s="196">
        <f ca="1">Constants!$D$22+Constants!$D$22*Constants!$C$23/100*(AR69-25)</f>
        <v>180.3661959843422</v>
      </c>
      <c r="AT69" s="195">
        <f ca="1">IF(100*(Design!$C$29+AH69+AG69*IF(ISBLANK(Design!$B$43),Constants!$C$6,Design!$B$43)/1000*(1+Constants!$C$36/100*(AR69-25)))/($B69+AH69-AG69*AS69/1000)&gt;Design!$B$36,   (1-Constants!$D$20/1000000000*IF(ISBLANK(Design!$B$33),Design!$B$32/4,Design!$B$33/4)*1000000) * ($B69+AH69-AG69*AS69/1000) - (AH69+AG69*(1+($A69-25)*Constants!$C$36/100)*IF(ISBLANK(Design!$B$43),Constants!$C$6/1000,Design!$B$43/1000)),  (1-Constants!$D$20/1000000000*IF(ISBLANK(Design!$B$33),Design!$B$32,Design!$B$33)*1000000) * ($B69+AH69-AG69*AS69/1000) - (AH69+AG69*(1+($A69-25)*Constants!$C$36/100)*IF(ISBLANK(Design!$B$43),Constants!$C$6/1000,Design!$B$43/1000)))</f>
        <v>5.0810826974446952</v>
      </c>
      <c r="AU69" s="119">
        <f ca="1">IF(AT69&gt;Design!$C$29,Design!$C$29,AT69)</f>
        <v>4.99903317535545</v>
      </c>
    </row>
    <row r="70" spans="1:47" ht="12.75" customHeight="1" x14ac:dyDescent="0.3">
      <c r="A70" s="112">
        <f>Design!$D$13</f>
        <v>85</v>
      </c>
      <c r="B70" s="113">
        <f t="shared" si="12"/>
        <v>7.0549999999999979</v>
      </c>
      <c r="C70" s="114">
        <f>Design!$D$7</f>
        <v>2</v>
      </c>
      <c r="D70" s="114">
        <f ca="1">FORECAST(C70, OFFSET(Design!$C$15:$C$17,MATCH(C70,Design!$B$15:$B$17,1)-1,0,2), OFFSET(Design!$B$15:$B$17,MATCH(C70,Design!$B$15:$B$17,1)-1,0,2))+(M70-25)*Design!$B$18/1000</f>
        <v>0.40352136998486798</v>
      </c>
      <c r="E70" s="173">
        <f ca="1">IF(100*(Design!$C$29+D70+C70*IF(ISBLANK(Design!$B$43),Constants!$C$6,Design!$B$43)/1000*(1+Constants!$C$36/100*(N70-25)))/($B70+D70-C70*O70/1000)&gt;Design!$B$36,Design!$B$37,100*(Design!$C$29+D70+C70*IF(ISBLANK(Design!$B$43),Constants!$C$6,Design!$B$43)/1000*(1+Constants!$C$36/100*(N70-25)))/($B70+D70-C70*O70/1000))</f>
        <v>93.174999999999997</v>
      </c>
      <c r="F70" s="115">
        <f ca="1">IF(($B70-C70*IF(ISBLANK(Design!$B$43),Constants!$C$6,Design!$B$43)/1000*(1+Constants!$C$36/100*(N70-25))-Design!$C$29)/(IF(ISBLANK(Design!$B$42),Design!$B$40,Design!$B$42)/1000000)*E70/100/(IF(ISBLANK(Design!$B$33),Design!$B$32,Design!$B$33)*1000000)&lt;0,0,($B70-C70*IF(ISBLANK(Design!$B$43),Constants!$C$6,Design!$B$43)/1000*(1+Constants!$C$36/100*(N70-25))-Design!$C$29)/(IF(ISBLANK(Design!$B$42),Design!$B$40,Design!$B$42)/1000000)*E70/100/(IF(ISBLANK(Design!$B$33),Design!$B$32,Design!$B$33)*1000000))</f>
        <v>0.26150014413766115</v>
      </c>
      <c r="G70" s="165">
        <f>B70*Constants!$C$21/1000+IF(ISBLANK(Design!$B$33),Design!$B$32,Design!$B$33)*1000000*Constants!$D$25/1000000000*(B70-Constants!$C$24)</f>
        <v>4.9215749999999961E-2</v>
      </c>
      <c r="H70" s="165">
        <f>B70*C70*(B70/(Constants!$C$26*1000000000)*IF(ISBLANK(Design!$B$33),Design!$B$32,Design!$B$33)*1000000/2+B70/(Constants!$C$27*1000000000)*IF(ISBLANK(Design!$B$33),Design!$B$32,Design!$B$33)*1000000/2)</f>
        <v>0.25931973299086741</v>
      </c>
      <c r="I70" s="165">
        <f t="shared" ca="1" si="13"/>
        <v>0.76121837102843548</v>
      </c>
      <c r="J70" s="165">
        <f>Constants!$D$25/1000000000*Constants!$C$24*IF(ISBLANK(Design!$B$33),Design!$B$32,Design!$B$33)*1000000</f>
        <v>6.8250000000000005E-2</v>
      </c>
      <c r="K70" s="165">
        <f t="shared" ca="1" si="22"/>
        <v>1.1380038540193027</v>
      </c>
      <c r="L70" s="165">
        <f t="shared" ca="1" si="17"/>
        <v>5.5080667002934507E-2</v>
      </c>
      <c r="M70" s="166">
        <f ca="1">$A70+L70*Design!$B$19</f>
        <v>87.754033350146727</v>
      </c>
      <c r="N70" s="166">
        <f ca="1">K70*Design!$C$12+A70</f>
        <v>123.69213103665629</v>
      </c>
      <c r="O70" s="166">
        <f ca="1">Constants!$D$22+Constants!$D$22*Constants!$C$23/100*(N70-25)</f>
        <v>203.95370482932503</v>
      </c>
      <c r="P70" s="165">
        <f ca="1">IF(100*(Design!$C$29+D70+C70*IF(ISBLANK(Design!$B$43),Constants!$C$6,Design!$B$43)/1000*(1+Constants!$C$36/100*(N70-25)))/($B70+D70-C70*O70/1000)&gt;Design!$B$36,   (1-Constants!$D$20/1000000000*IF(ISBLANK(Design!$B$33),Design!$B$32/4,Design!$B$33/4)*1000000) * ($B70+D70-C70*O70/1000) - (D70+C70*(1+($A70-25)*Constants!$C$36/100)*IF(ISBLANK(Design!$B$43),Constants!$C$6/1000,Design!$B$43/1000)),  (1-Constants!$D$20/1000000000*IF(ISBLANK(Design!$B$33),Design!$B$32,Design!$B$33)*1000000) * ($B70+D70-C70*O70/1000) - (D70+C70*(1+($A70-25)*Constants!$C$36/100)*IF(ISBLANK(Design!$B$43),Constants!$C$6/1000,Design!$B$43/1000)))</f>
        <v>6.0670241875490838</v>
      </c>
      <c r="Q70" s="115">
        <f ca="1">IF(P70&gt;Design!$C$29,Design!$C$29,P70)</f>
        <v>4.99903317535545</v>
      </c>
      <c r="R70" s="116">
        <f>2*Design!$D$7/3</f>
        <v>1.3333333333333333</v>
      </c>
      <c r="S70" s="116">
        <f ca="1">FORECAST(R70, OFFSET(Design!$C$15:$C$17,MATCH(R70,Design!$B$15:$B$17,1)-1,0,2), OFFSET(Design!$B$15:$B$17,MATCH(R70,Design!$B$15:$B$17,1)-1,0,2))+(AB70-25)*Design!$B$18/1000</f>
        <v>0.35639242487200101</v>
      </c>
      <c r="T70" s="182">
        <f ca="1">IF(100*(Design!$C$29+S70+R70*IF(ISBLANK(Design!$B$43),Constants!$C$6,Design!$B$43)/1000*(1+Constants!$C$36/100*(AC70-25)))/($B70+S70-R70*AD70/1000)&gt;Design!$B$36,Design!$B$37,100*(Design!$C$29+S70+R70*IF(ISBLANK(Design!$B$43),Constants!$C$6,Design!$B$43)/1000*(1+Constants!$C$36/100*(AC70-25)))/($B70+S70-R70*AD70/1000))</f>
        <v>93.174999999999997</v>
      </c>
      <c r="U70" s="117">
        <f ca="1">IF(($B70-R70*IF(ISBLANK(Design!$B$43),Constants!$C$6,Design!$B$43)/1000*(1+Constants!$C$36/100*(AC70-25))-Design!$C$29)/(IF(ISBLANK(Design!$B$42),Design!$B$40,Design!$B$42)/1000000)*T70/100/(IF(ISBLANK(Design!$B$33),Design!$B$32,Design!$B$33)*1000000)&lt;0,0,($B70-R70*IF(ISBLANK(Design!$B$43),Constants!$C$6,Design!$B$43)/1000*(1+Constants!$C$36/100*(AC70-25))-Design!$C$29)/(IF(ISBLANK(Design!$B$42),Design!$B$40,Design!$B$42)/1000000)*T70/100/(IF(ISBLANK(Design!$B$33),Design!$B$32,Design!$B$33)*1000000))</f>
        <v>0.2669866292797754</v>
      </c>
      <c r="V70" s="183">
        <f>$B70*Constants!$C$21/1000+IF(ISBLANK(Design!$B$33),Design!$B$32,Design!$B$33)*1000000*Constants!$D$25/1000000000*($B70-Constants!$C$24)</f>
        <v>4.9215749999999961E-2</v>
      </c>
      <c r="W70" s="183">
        <f>$B70*R70*($B70/(Constants!$C$26*1000000000)*IF(ISBLANK(Design!$B$33),Design!$B$32,Design!$B$33)*1000000/2+$B70/(Constants!$C$27*1000000000)*IF(ISBLANK(Design!$B$33),Design!$B$32,Design!$B$33)*1000000/2)</f>
        <v>0.17287982199391161</v>
      </c>
      <c r="X70" s="183">
        <f t="shared" ca="1" si="14"/>
        <v>0.314882226062697</v>
      </c>
      <c r="Y70" s="183">
        <f>Constants!$D$25/1000000000*Constants!$C$24*IF(ISBLANK(Design!$B$33),Design!$B$32,Design!$B$33)*1000000</f>
        <v>6.8250000000000005E-2</v>
      </c>
      <c r="Z70" s="183">
        <f t="shared" ca="1" si="23"/>
        <v>0.60522779805660865</v>
      </c>
      <c r="AA70" s="183">
        <f t="shared" ca="1" si="19"/>
        <v>3.2431710663352105E-2</v>
      </c>
      <c r="AB70" s="184">
        <f ca="1">$A70+AA70*Design!$B$19</f>
        <v>86.621585533167604</v>
      </c>
      <c r="AC70" s="184">
        <f ca="1">Z70*Design!$C$12+$A70</f>
        <v>105.57774513392469</v>
      </c>
      <c r="AD70" s="184">
        <f ca="1">Constants!$D$22+Constants!$D$22*Constants!$C$23/100*(AC70-25)</f>
        <v>189.46219610713976</v>
      </c>
      <c r="AE70" s="183">
        <f ca="1">IF(100*(Design!$C$29+S70+R70*IF(ISBLANK(Design!$B$43),Constants!$C$6,Design!$B$43)/1000*(1+Constants!$C$36/100*(AC70-25)))/($B70+S70-R70*AD70/1000)&gt;Design!$B$36,   (1-Constants!$D$20/1000000000*IF(ISBLANK(Design!$B$33),Design!$B$32/4,Design!$B$33/4)*1000000) * ($B70+S70-R70*AD70/1000) - (S70+R70*(1+($A70-25)*Constants!$C$36/100)*IF(ISBLANK(Design!$B$43),Constants!$C$6/1000,Design!$B$43/1000)),  (1-Constants!$D$20/1000000000*IF(ISBLANK(Design!$B$33),Design!$B$32,Design!$B$33)*1000000) * ($B70+S70-R70*AD70/1000) - (S70+R70*(1+($A70-25)*Constants!$C$36/100)*IF(ISBLANK(Design!$B$43),Constants!$C$6/1000,Design!$B$43/1000)))</f>
        <v>6.2478879320387142</v>
      </c>
      <c r="AF70" s="117">
        <f ca="1">IF(AE70&gt;Design!$C$29,Design!$C$29,AE70)</f>
        <v>4.99903317535545</v>
      </c>
      <c r="AG70" s="118">
        <f>Design!$D$7/3</f>
        <v>0.66666666666666663</v>
      </c>
      <c r="AH70" s="118">
        <f ca="1">FORECAST(AG70, OFFSET(Design!$C$15:$C$17,MATCH(AG70,Design!$B$15:$B$17,1)-1,0,2), OFFSET(Design!$B$15:$B$17,MATCH(AG70,Design!$B$15:$B$17,1)-1,0,2))+(AQ70-25)*Design!$B$18/1000</f>
        <v>0.30907088107470326</v>
      </c>
      <c r="AI70" s="194">
        <f ca="1">IF(100*(Design!$C$29+AH70+AG70*IF(ISBLANK(Design!$B$43),Constants!$C$6,Design!$B$43)/1000*(1+Constants!$C$36/100*(AR70-25)))/($B70+AH70-AG70*AS70/1000)&gt;Design!$B$36,Design!$B$37,100*(Design!$C$29+AH70+AG70*IF(ISBLANK(Design!$B$43),Constants!$C$6,Design!$B$43)/1000*(1+Constants!$C$36/100*(AR70-25)))/($B70+AH70-AG70*AS70/1000))</f>
        <v>93.174999999999997</v>
      </c>
      <c r="AJ70" s="119">
        <f ca="1">IF(($B70-AG70*IF(ISBLANK(Design!$B$43),Constants!$C$6,Design!$B$43)/1000*(1+Constants!$C$36/100*(AR70-25))-Design!$C$29)/(IF(ISBLANK(Design!$B$42),Design!$B$40,Design!$B$42)/1000000)*AI70/100/(IF(ISBLANK(Design!$B$33),Design!$B$32,Design!$B$33)*1000000)&lt;0,0,($B70-AG70*IF(ISBLANK(Design!$B$43),Constants!$C$6,Design!$B$43)/1000*(1+Constants!$C$36/100*(AR70-25))-Design!$C$29)/(IF(ISBLANK(Design!$B$42),Design!$B$40,Design!$B$42)/1000000)*AI70/100/(IF(ISBLANK(Design!$B$33),Design!$B$32,Design!$B$33)*1000000))</f>
        <v>0.27186332717110262</v>
      </c>
      <c r="AK70" s="195">
        <f>$B70*Constants!$C$21/1000+IF(ISBLANK(Design!$B$33),Design!$B$32,Design!$B$33)*1000000*Constants!$D$25/1000000000*($B70-Constants!$C$24)</f>
        <v>4.9215749999999961E-2</v>
      </c>
      <c r="AL70" s="195">
        <f>$B70*AG70*($B70/(Constants!$C$26*1000000000)*IF(ISBLANK(Design!$B$33),Design!$B$32,Design!$B$33)*1000000/2+$B70/(Constants!$C$27*1000000000)*IF(ISBLANK(Design!$B$33),Design!$B$32,Design!$B$33)*1000000/2)</f>
        <v>8.6439910996955804E-2</v>
      </c>
      <c r="AM70" s="195">
        <f t="shared" ca="1" si="15"/>
        <v>7.5828572506873082E-2</v>
      </c>
      <c r="AN70" s="195">
        <f>Constants!$D$25/1000000000*Constants!$C$24*IF(ISBLANK(Design!$B$33),Design!$B$32,Design!$B$33)*1000000</f>
        <v>6.8250000000000005E-2</v>
      </c>
      <c r="AO70" s="195">
        <f t="shared" ca="1" si="24"/>
        <v>0.27973423350382887</v>
      </c>
      <c r="AP70" s="195">
        <f t="shared" ca="1" si="21"/>
        <v>1.4062725088899006E-2</v>
      </c>
      <c r="AQ70" s="196">
        <f ca="1">$A70+AP70*Design!$B$19</f>
        <v>85.703136254444956</v>
      </c>
      <c r="AR70" s="196">
        <f ca="1">AO70*Design!$C$12+$A70</f>
        <v>94.510963939130178</v>
      </c>
      <c r="AS70" s="196">
        <f ca="1">Constants!$D$22+Constants!$D$22*Constants!$C$23/100*(AR70-25)</f>
        <v>180.60877115130415</v>
      </c>
      <c r="AT70" s="195">
        <f ca="1">IF(100*(Design!$C$29+AH70+AG70*IF(ISBLANK(Design!$B$43),Constants!$C$6,Design!$B$43)/1000*(1+Constants!$C$36/100*(AR70-25)))/($B70+AH70-AG70*AS70/1000)&gt;Design!$B$36,   (1-Constants!$D$20/1000000000*IF(ISBLANK(Design!$B$33),Design!$B$32/4,Design!$B$33/4)*1000000) * ($B70+AH70-AG70*AS70/1000) - (AH70+AG70*(1+($A70-25)*Constants!$C$36/100)*IF(ISBLANK(Design!$B$43),Constants!$C$6/1000,Design!$B$43/1000)),  (1-Constants!$D$20/1000000000*IF(ISBLANK(Design!$B$33),Design!$B$32,Design!$B$33)*1000000) * ($B70+AH70-AG70*AS70/1000) - (AH70+AG70*(1+($A70-25)*Constants!$C$36/100)*IF(ISBLANK(Design!$B$43),Constants!$C$6/1000,Design!$B$43/1000)))</f>
        <v>6.4072593473531638</v>
      </c>
      <c r="AU70" s="119">
        <f ca="1">IF(AT70&gt;Design!$C$29,Design!$C$29,AT70)</f>
        <v>4.99903317535545</v>
      </c>
    </row>
    <row r="71" spans="1:47" ht="12.75" customHeight="1" x14ac:dyDescent="0.3">
      <c r="A71" s="112">
        <f>Design!$D$13</f>
        <v>85</v>
      </c>
      <c r="B71" s="113">
        <f t="shared" si="12"/>
        <v>6.8399999999999981</v>
      </c>
      <c r="C71" s="114">
        <f>Design!$D$7</f>
        <v>2</v>
      </c>
      <c r="D71" s="114">
        <f ca="1">FORECAST(C71, OFFSET(Design!$C$15:$C$17,MATCH(C71,Design!$B$15:$B$17,1)-1,0,2), OFFSET(Design!$B$15:$B$17,MATCH(C71,Design!$B$15:$B$17,1)-1,0,2))+(M71-25)*Design!$B$18/1000</f>
        <v>0.40352136998486798</v>
      </c>
      <c r="E71" s="173">
        <f ca="1">IF(100*(Design!$C$29+D71+C71*IF(ISBLANK(Design!$B$43),Constants!$C$6,Design!$B$43)/1000*(1+Constants!$C$36/100*(N71-25)))/($B71+D71-C71*O71/1000)&gt;Design!$B$36,Design!$B$37,100*(Design!$C$29+D71+C71*IF(ISBLANK(Design!$B$43),Constants!$C$6,Design!$B$43)/1000*(1+Constants!$C$36/100*(N71-25)))/($B71+D71-C71*O71/1000))</f>
        <v>93.174999999999997</v>
      </c>
      <c r="F71" s="115">
        <f ca="1">IF(($B71-C71*IF(ISBLANK(Design!$B$43),Constants!$C$6,Design!$B$43)/1000*(1+Constants!$C$36/100*(N71-25))-Design!$C$29)/(IF(ISBLANK(Design!$B$42),Design!$B$40,Design!$B$42)/1000000)*E71/100/(IF(ISBLANK(Design!$B$33),Design!$B$32,Design!$B$33)*1000000)&lt;0,0,($B71-C71*IF(ISBLANK(Design!$B$43),Constants!$C$6,Design!$B$43)/1000*(1+Constants!$C$36/100*(N71-25))-Design!$C$29)/(IF(ISBLANK(Design!$B$42),Design!$B$40,Design!$B$42)/1000000)*E71/100/(IF(ISBLANK(Design!$B$33),Design!$B$32,Design!$B$33)*1000000))</f>
        <v>0.23262402160826548</v>
      </c>
      <c r="G71" s="165">
        <f>B71*Constants!$C$21/1000+IF(ISBLANK(Design!$B$33),Design!$B$32,Design!$B$33)*1000000*Constants!$D$25/1000000000*(B71-Constants!$C$24)</f>
        <v>4.5635999999999968E-2</v>
      </c>
      <c r="H71" s="165">
        <f>B71*C71*(B71/(Constants!$C$26*1000000000)*IF(ISBLANK(Design!$B$33),Design!$B$32,Design!$B$33)*1000000/2+B71/(Constants!$C$27*1000000000)*IF(ISBLANK(Design!$B$33),Design!$B$32,Design!$B$33)*1000000/2)</f>
        <v>0.24375511232876701</v>
      </c>
      <c r="I71" s="165">
        <f t="shared" ca="1" si="13"/>
        <v>0.75880449660405003</v>
      </c>
      <c r="J71" s="165">
        <f>Constants!$D$25/1000000000*Constants!$C$24*IF(ISBLANK(Design!$B$33),Design!$B$32,Design!$B$33)*1000000</f>
        <v>6.8250000000000005E-2</v>
      </c>
      <c r="K71" s="165">
        <f t="shared" ca="1" si="22"/>
        <v>1.116445608932817</v>
      </c>
      <c r="L71" s="165">
        <f t="shared" ca="1" si="17"/>
        <v>5.5080667002934507E-2</v>
      </c>
      <c r="M71" s="166">
        <f ca="1">$A71+L71*Design!$B$19</f>
        <v>87.754033350146727</v>
      </c>
      <c r="N71" s="166">
        <f ca="1">K71*Design!$C$12+A71</f>
        <v>122.95915070371578</v>
      </c>
      <c r="O71" s="166">
        <f ca="1">Constants!$D$22+Constants!$D$22*Constants!$C$23/100*(N71-25)</f>
        <v>203.36732056297262</v>
      </c>
      <c r="P71" s="165">
        <f ca="1">IF(100*(Design!$C$29+D71+C71*IF(ISBLANK(Design!$B$43),Constants!$C$6,Design!$B$43)/1000*(1+Constants!$C$36/100*(N71-25)))/($B71+D71-C71*O71/1000)&gt;Design!$B$36,   (1-Constants!$D$20/1000000000*IF(ISBLANK(Design!$B$33),Design!$B$32/4,Design!$B$33/4)*1000000) * ($B71+D71-C71*O71/1000) - (D71+C71*(1+($A71-25)*Constants!$C$36/100)*IF(ISBLANK(Design!$B$43),Constants!$C$6/1000,Design!$B$43/1000)),  (1-Constants!$D$20/1000000000*IF(ISBLANK(Design!$B$33),Design!$B$32,Design!$B$33)*1000000) * ($B71+D71-C71*O71/1000) - (D71+C71*(1+($A71-25)*Constants!$C$36/100)*IF(ISBLANK(Design!$B$43),Constants!$C$6/1000,Design!$B$43/1000)))</f>
        <v>5.8677906646294309</v>
      </c>
      <c r="Q71" s="115">
        <f ca="1">IF(P71&gt;Design!$C$29,Design!$C$29,P71)</f>
        <v>4.99903317535545</v>
      </c>
      <c r="R71" s="116">
        <f>2*Design!$D$7/3</f>
        <v>1.3333333333333333</v>
      </c>
      <c r="S71" s="116">
        <f ca="1">FORECAST(R71, OFFSET(Design!$C$15:$C$17,MATCH(R71,Design!$B$15:$B$17,1)-1,0,2), OFFSET(Design!$B$15:$B$17,MATCH(R71,Design!$B$15:$B$17,1)-1,0,2))+(AB71-25)*Design!$B$18/1000</f>
        <v>0.35639242487200101</v>
      </c>
      <c r="T71" s="182">
        <f ca="1">IF(100*(Design!$C$29+S71+R71*IF(ISBLANK(Design!$B$43),Constants!$C$6,Design!$B$43)/1000*(1+Constants!$C$36/100*(AC71-25)))/($B71+S71-R71*AD71/1000)&gt;Design!$B$36,Design!$B$37,100*(Design!$C$29+S71+R71*IF(ISBLANK(Design!$B$43),Constants!$C$6,Design!$B$43)/1000*(1+Constants!$C$36/100*(AC71-25)))/($B71+S71-R71*AD71/1000))</f>
        <v>93.174999999999997</v>
      </c>
      <c r="U71" s="117">
        <f ca="1">IF(($B71-R71*IF(ISBLANK(Design!$B$43),Constants!$C$6,Design!$B$43)/1000*(1+Constants!$C$36/100*(AC71-25))-Design!$C$29)/(IF(ISBLANK(Design!$B$42),Design!$B$40,Design!$B$42)/1000000)*T71/100/(IF(ISBLANK(Design!$B$33),Design!$B$32,Design!$B$33)*1000000)&lt;0,0,($B71-R71*IF(ISBLANK(Design!$B$43),Constants!$C$6,Design!$B$43)/1000*(1+Constants!$C$36/100*(AC71-25))-Design!$C$29)/(IF(ISBLANK(Design!$B$42),Design!$B$40,Design!$B$42)/1000000)*T71/100/(IF(ISBLANK(Design!$B$33),Design!$B$32,Design!$B$33)*1000000))</f>
        <v>0.23809374278282883</v>
      </c>
      <c r="V71" s="183">
        <f>$B71*Constants!$C$21/1000+IF(ISBLANK(Design!$B$33),Design!$B$32,Design!$B$33)*1000000*Constants!$D$25/1000000000*($B71-Constants!$C$24)</f>
        <v>4.5635999999999968E-2</v>
      </c>
      <c r="W71" s="183">
        <f>$B71*R71*($B71/(Constants!$C$26*1000000000)*IF(ISBLANK(Design!$B$33),Design!$B$32,Design!$B$33)*1000000/2+$B71/(Constants!$C$27*1000000000)*IF(ISBLANK(Design!$B$33),Design!$B$32,Design!$B$33)*1000000/2)</f>
        <v>0.16250340821917802</v>
      </c>
      <c r="X71" s="183">
        <f t="shared" ca="1" si="14"/>
        <v>0.31399708986127695</v>
      </c>
      <c r="Y71" s="183">
        <f>Constants!$D$25/1000000000*Constants!$C$24*IF(ISBLANK(Design!$B$33),Design!$B$32,Design!$B$33)*1000000</f>
        <v>6.8250000000000005E-2</v>
      </c>
      <c r="Z71" s="183">
        <f t="shared" ca="1" si="23"/>
        <v>0.59038649808045496</v>
      </c>
      <c r="AA71" s="183">
        <f t="shared" ca="1" si="19"/>
        <v>3.2431710663352105E-2</v>
      </c>
      <c r="AB71" s="184">
        <f ca="1">$A71+AA71*Design!$B$19</f>
        <v>86.621585533167604</v>
      </c>
      <c r="AC71" s="184">
        <f ca="1">Z71*Design!$C$12+$A71</f>
        <v>105.07314093473548</v>
      </c>
      <c r="AD71" s="184">
        <f ca="1">Constants!$D$22+Constants!$D$22*Constants!$C$23/100*(AC71-25)</f>
        <v>189.05851274778837</v>
      </c>
      <c r="AE71" s="183">
        <f ca="1">IF(100*(Design!$C$29+S71+R71*IF(ISBLANK(Design!$B$43),Constants!$C$6,Design!$B$43)/1000*(1+Constants!$C$36/100*(AC71-25)))/($B71+S71-R71*AD71/1000)&gt;Design!$B$36,   (1-Constants!$D$20/1000000000*IF(ISBLANK(Design!$B$33),Design!$B$32/4,Design!$B$33/4)*1000000) * ($B71+S71-R71*AD71/1000) - (S71+R71*(1+($A71-25)*Constants!$C$36/100)*IF(ISBLANK(Design!$B$43),Constants!$C$6/1000,Design!$B$43/1000)),  (1-Constants!$D$20/1000000000*IF(ISBLANK(Design!$B$33),Design!$B$32,Design!$B$33)*1000000) * ($B71+S71-R71*AD71/1000) - (S71+R71*(1+($A71-25)*Constants!$C$36/100)*IF(ISBLANK(Design!$B$43),Constants!$C$6/1000,Design!$B$43/1000)))</f>
        <v>6.0480631913321492</v>
      </c>
      <c r="AF71" s="117">
        <f ca="1">IF(AE71&gt;Design!$C$29,Design!$C$29,AE71)</f>
        <v>4.99903317535545</v>
      </c>
      <c r="AG71" s="118">
        <f>Design!$D$7/3</f>
        <v>0.66666666666666663</v>
      </c>
      <c r="AH71" s="118">
        <f ca="1">FORECAST(AG71, OFFSET(Design!$C$15:$C$17,MATCH(AG71,Design!$B$15:$B$17,1)-1,0,2), OFFSET(Design!$B$15:$B$17,MATCH(AG71,Design!$B$15:$B$17,1)-1,0,2))+(AQ71-25)*Design!$B$18/1000</f>
        <v>0.30907088107470326</v>
      </c>
      <c r="AI71" s="194">
        <f ca="1">IF(100*(Design!$C$29+AH71+AG71*IF(ISBLANK(Design!$B$43),Constants!$C$6,Design!$B$43)/1000*(1+Constants!$C$36/100*(AR71-25)))/($B71+AH71-AG71*AS71/1000)&gt;Design!$B$36,Design!$B$37,100*(Design!$C$29+AH71+AG71*IF(ISBLANK(Design!$B$43),Constants!$C$6,Design!$B$43)/1000*(1+Constants!$C$36/100*(AR71-25)))/($B71+AH71-AG71*AS71/1000))</f>
        <v>93.174999999999997</v>
      </c>
      <c r="AJ71" s="119">
        <f ca="1">IF(($B71-AG71*IF(ISBLANK(Design!$B$43),Constants!$C$6,Design!$B$43)/1000*(1+Constants!$C$36/100*(AR71-25))-Design!$C$29)/(IF(ISBLANK(Design!$B$42),Design!$B$40,Design!$B$42)/1000000)*AI71/100/(IF(ISBLANK(Design!$B$33),Design!$B$32,Design!$B$33)*1000000)&lt;0,0,($B71-AG71*IF(ISBLANK(Design!$B$43),Constants!$C$6,Design!$B$43)/1000*(1+Constants!$C$36/100*(AR71-25))-Design!$C$29)/(IF(ISBLANK(Design!$B$42),Design!$B$40,Design!$B$42)/1000000)*AI71/100/(IF(ISBLANK(Design!$B$33),Design!$B$32,Design!$B$33)*1000000))</f>
        <v>0.24296057043411154</v>
      </c>
      <c r="AK71" s="195">
        <f>$B71*Constants!$C$21/1000+IF(ISBLANK(Design!$B$33),Design!$B$32,Design!$B$33)*1000000*Constants!$D$25/1000000000*($B71-Constants!$C$24)</f>
        <v>4.5635999999999968E-2</v>
      </c>
      <c r="AL71" s="195">
        <f>$B71*AG71*($B71/(Constants!$C$26*1000000000)*IF(ISBLANK(Design!$B$33),Design!$B$32,Design!$B$33)*1000000/2+$B71/(Constants!$C$27*1000000000)*IF(ISBLANK(Design!$B$33),Design!$B$32,Design!$B$33)*1000000/2)</f>
        <v>8.1251704109589012E-2</v>
      </c>
      <c r="AM71" s="195">
        <f t="shared" ca="1" si="15"/>
        <v>7.5516497067782684E-2</v>
      </c>
      <c r="AN71" s="195">
        <f>Constants!$D$25/1000000000*Constants!$C$24*IF(ISBLANK(Design!$B$33),Design!$B$32,Design!$B$33)*1000000</f>
        <v>6.8250000000000005E-2</v>
      </c>
      <c r="AO71" s="195">
        <f t="shared" ca="1" si="24"/>
        <v>0.27065420117737171</v>
      </c>
      <c r="AP71" s="195">
        <f t="shared" ca="1" si="21"/>
        <v>1.4062725088899006E-2</v>
      </c>
      <c r="AQ71" s="196">
        <f ca="1">$A71+AP71*Design!$B$19</f>
        <v>85.703136254444956</v>
      </c>
      <c r="AR71" s="196">
        <f ca="1">AO71*Design!$C$12+$A71</f>
        <v>94.202242840030635</v>
      </c>
      <c r="AS71" s="196">
        <f ca="1">Constants!$D$22+Constants!$D$22*Constants!$C$23/100*(AR71-25)</f>
        <v>180.3617942720245</v>
      </c>
      <c r="AT71" s="195">
        <f ca="1">IF(100*(Design!$C$29+AH71+AG71*IF(ISBLANK(Design!$B$43),Constants!$C$6,Design!$B$43)/1000*(1+Constants!$C$36/100*(AR71-25)))/($B71+AH71-AG71*AS71/1000)&gt;Design!$B$36,   (1-Constants!$D$20/1000000000*IF(ISBLANK(Design!$B$33),Design!$B$32/4,Design!$B$33/4)*1000000) * ($B71+AH71-AG71*AS71/1000) - (AH71+AG71*(1+($A71-25)*Constants!$C$36/100)*IF(ISBLANK(Design!$B$43),Constants!$C$6/1000,Design!$B$43/1000)),  (1-Constants!$D$20/1000000000*IF(ISBLANK(Design!$B$33),Design!$B$32,Design!$B$33)*1000000) * ($B71+AH71-AG71*AS71/1000) - (AH71+AG71*(1+($A71-25)*Constants!$C$36/100)*IF(ISBLANK(Design!$B$43),Constants!$C$6/1000,Design!$B$43/1000)))</f>
        <v>6.2070865111580105</v>
      </c>
      <c r="AU71" s="119">
        <f ca="1">IF(AT71&gt;Design!$C$29,Design!$C$29,AT71)</f>
        <v>4.99903317535545</v>
      </c>
    </row>
    <row r="72" spans="1:47" ht="12.75" customHeight="1" x14ac:dyDescent="0.3">
      <c r="A72" s="112">
        <f>Design!$D$13</f>
        <v>85</v>
      </c>
      <c r="B72" s="113">
        <f t="shared" si="12"/>
        <v>6.6249999999999982</v>
      </c>
      <c r="C72" s="114">
        <f>Design!$D$7</f>
        <v>2</v>
      </c>
      <c r="D72" s="114">
        <f ca="1">FORECAST(C72, OFFSET(Design!$C$15:$C$17,MATCH(C72,Design!$B$15:$B$17,1)-1,0,2), OFFSET(Design!$B$15:$B$17,MATCH(C72,Design!$B$15:$B$17,1)-1,0,2))+(M72-25)*Design!$B$18/1000</f>
        <v>0.40352136998486798</v>
      </c>
      <c r="E72" s="173">
        <f ca="1">IF(100*(Design!$C$29+D72+C72*IF(ISBLANK(Design!$B$43),Constants!$C$6,Design!$B$43)/1000*(1+Constants!$C$36/100*(N72-25)))/($B72+D72-C72*O72/1000)&gt;Design!$B$36,Design!$B$37,100*(Design!$C$29+D72+C72*IF(ISBLANK(Design!$B$43),Constants!$C$6,Design!$B$43)/1000*(1+Constants!$C$36/100*(N72-25)))/($B72+D72-C72*O72/1000))</f>
        <v>93.174999999999997</v>
      </c>
      <c r="F72" s="115">
        <f ca="1">IF(($B72-C72*IF(ISBLANK(Design!$B$43),Constants!$C$6,Design!$B$43)/1000*(1+Constants!$C$36/100*(N72-25))-Design!$C$29)/(IF(ISBLANK(Design!$B$42),Design!$B$40,Design!$B$42)/1000000)*E72/100/(IF(ISBLANK(Design!$B$33),Design!$B$32,Design!$B$33)*1000000)&lt;0,0,($B72-C72*IF(ISBLANK(Design!$B$43),Constants!$C$6,Design!$B$43)/1000*(1+Constants!$C$36/100*(N72-25))-Design!$C$29)/(IF(ISBLANK(Design!$B$42),Design!$B$40,Design!$B$42)/1000000)*E72/100/(IF(ISBLANK(Design!$B$33),Design!$B$32,Design!$B$33)*1000000))</f>
        <v>0.20374708456799931</v>
      </c>
      <c r="G72" s="165">
        <f>B72*Constants!$C$21/1000+IF(ISBLANK(Design!$B$33),Design!$B$32,Design!$B$33)*1000000*Constants!$D$25/1000000000*(B72-Constants!$C$24)</f>
        <v>4.2056249999999969E-2</v>
      </c>
      <c r="H72" s="165">
        <f>B72*C72*(B72/(Constants!$C$26*1000000000)*IF(ISBLANK(Design!$B$33),Design!$B$32,Design!$B$33)*1000000/2+B72/(Constants!$C$27*1000000000)*IF(ISBLANK(Design!$B$33),Design!$B$32,Design!$B$33)*1000000/2)</f>
        <v>0.22867216038812771</v>
      </c>
      <c r="I72" s="165">
        <f t="shared" ca="1" si="13"/>
        <v>0.75647567440307917</v>
      </c>
      <c r="J72" s="165">
        <f>Constants!$D$25/1000000000*Constants!$C$24*IF(ISBLANK(Design!$B$33),Design!$B$32,Design!$B$33)*1000000</f>
        <v>6.8250000000000005E-2</v>
      </c>
      <c r="K72" s="165">
        <f t="shared" ca="1" si="22"/>
        <v>1.0954540847912067</v>
      </c>
      <c r="L72" s="165">
        <f t="shared" ca="1" si="17"/>
        <v>5.5080667002934507E-2</v>
      </c>
      <c r="M72" s="166">
        <f ca="1">$A72+L72*Design!$B$19</f>
        <v>87.754033350146727</v>
      </c>
      <c r="N72" s="166">
        <f ca="1">K72*Design!$C$12+A72</f>
        <v>122.24543888290103</v>
      </c>
      <c r="O72" s="166">
        <f ca="1">Constants!$D$22+Constants!$D$22*Constants!$C$23/100*(N72-25)</f>
        <v>202.79635110632083</v>
      </c>
      <c r="P72" s="165">
        <f ca="1">IF(100*(Design!$C$29+D72+C72*IF(ISBLANK(Design!$B$43),Constants!$C$6,Design!$B$43)/1000*(1+Constants!$C$36/100*(N72-25)))/($B72+D72-C72*O72/1000)&gt;Design!$B$36,   (1-Constants!$D$20/1000000000*IF(ISBLANK(Design!$B$33),Design!$B$32/4,Design!$B$33/4)*1000000) * ($B72+D72-C72*O72/1000) - (D72+C72*(1+($A72-25)*Constants!$C$36/100)*IF(ISBLANK(Design!$B$43),Constants!$C$6/1000,Design!$B$43/1000)),  (1-Constants!$D$20/1000000000*IF(ISBLANK(Design!$B$33),Design!$B$32,Design!$B$33)*1000000) * ($B72+D72-C72*O72/1000) - (D72+C72*(1+($A72-25)*Constants!$C$36/100)*IF(ISBLANK(Design!$B$43),Constants!$C$6/1000,Design!$B$43/1000)))</f>
        <v>5.6685284162119025</v>
      </c>
      <c r="Q72" s="115">
        <f ca="1">IF(P72&gt;Design!$C$29,Design!$C$29,P72)</f>
        <v>4.99903317535545</v>
      </c>
      <c r="R72" s="116">
        <f>2*Design!$D$7/3</f>
        <v>1.3333333333333333</v>
      </c>
      <c r="S72" s="116">
        <f ca="1">FORECAST(R72, OFFSET(Design!$C$15:$C$17,MATCH(R72,Design!$B$15:$B$17,1)-1,0,2), OFFSET(Design!$B$15:$B$17,MATCH(R72,Design!$B$15:$B$17,1)-1,0,2))+(AB72-25)*Design!$B$18/1000</f>
        <v>0.35639242487200101</v>
      </c>
      <c r="T72" s="182">
        <f ca="1">IF(100*(Design!$C$29+S72+R72*IF(ISBLANK(Design!$B$43),Constants!$C$6,Design!$B$43)/1000*(1+Constants!$C$36/100*(AC72-25)))/($B72+S72-R72*AD72/1000)&gt;Design!$B$36,Design!$B$37,100*(Design!$C$29+S72+R72*IF(ISBLANK(Design!$B$43),Constants!$C$6,Design!$B$43)/1000*(1+Constants!$C$36/100*(AC72-25)))/($B72+S72-R72*AD72/1000))</f>
        <v>93.174999999999997</v>
      </c>
      <c r="U72" s="117">
        <f ca="1">IF(($B72-R72*IF(ISBLANK(Design!$B$43),Constants!$C$6,Design!$B$43)/1000*(1+Constants!$C$36/100*(AC72-25))-Design!$C$29)/(IF(ISBLANK(Design!$B$42),Design!$B$40,Design!$B$42)/1000000)*T72/100/(IF(ISBLANK(Design!$B$33),Design!$B$32,Design!$B$33)*1000000)&lt;0,0,($B72-R72*IF(ISBLANK(Design!$B$43),Constants!$C$6,Design!$B$43)/1000*(1+Constants!$C$36/100*(AC72-25))-Design!$C$29)/(IF(ISBLANK(Design!$B$42),Design!$B$40,Design!$B$42)/1000000)*T72/100/(IF(ISBLANK(Design!$B$33),Design!$B$32,Design!$B$33)*1000000))</f>
        <v>0.20920050860508441</v>
      </c>
      <c r="V72" s="183">
        <f>$B72*Constants!$C$21/1000+IF(ISBLANK(Design!$B$33),Design!$B$32,Design!$B$33)*1000000*Constants!$D$25/1000000000*($B72-Constants!$C$24)</f>
        <v>4.2056249999999969E-2</v>
      </c>
      <c r="W72" s="183">
        <f>$B72*R72*($B72/(Constants!$C$26*1000000000)*IF(ISBLANK(Design!$B$33),Design!$B$32,Design!$B$33)*1000000/2+$B72/(Constants!$C$27*1000000000)*IF(ISBLANK(Design!$B$33),Design!$B$32,Design!$B$33)*1000000/2)</f>
        <v>0.15244810692541846</v>
      </c>
      <c r="X72" s="183">
        <f t="shared" ca="1" si="14"/>
        <v>0.313153705562983</v>
      </c>
      <c r="Y72" s="183">
        <f>Constants!$D$25/1000000000*Constants!$C$24*IF(ISBLANK(Design!$B$33),Design!$B$32,Design!$B$33)*1000000</f>
        <v>6.8250000000000005E-2</v>
      </c>
      <c r="Z72" s="183">
        <f t="shared" ca="1" si="23"/>
        <v>0.57590806248840143</v>
      </c>
      <c r="AA72" s="183">
        <f t="shared" ca="1" si="19"/>
        <v>3.2431710663352105E-2</v>
      </c>
      <c r="AB72" s="184">
        <f ca="1">$A72+AA72*Design!$B$19</f>
        <v>86.621585533167604</v>
      </c>
      <c r="AC72" s="184">
        <f ca="1">Z72*Design!$C$12+$A72</f>
        <v>104.58087412460566</v>
      </c>
      <c r="AD72" s="184">
        <f ca="1">Constants!$D$22+Constants!$D$22*Constants!$C$23/100*(AC72-25)</f>
        <v>188.66469929968451</v>
      </c>
      <c r="AE72" s="183">
        <f ca="1">IF(100*(Design!$C$29+S72+R72*IF(ISBLANK(Design!$B$43),Constants!$C$6,Design!$B$43)/1000*(1+Constants!$C$36/100*(AC72-25)))/($B72+S72-R72*AD72/1000)&gt;Design!$B$36,   (1-Constants!$D$20/1000000000*IF(ISBLANK(Design!$B$33),Design!$B$32/4,Design!$B$33/4)*1000000) * ($B72+S72-R72*AD72/1000) - (S72+R72*(1+($A72-25)*Constants!$C$36/100)*IF(ISBLANK(Design!$B$43),Constants!$C$6/1000,Design!$B$43/1000)),  (1-Constants!$D$20/1000000000*IF(ISBLANK(Design!$B$33),Design!$B$32,Design!$B$33)*1000000) * ($B72+S72-R72*AD72/1000) - (S72+R72*(1+($A72-25)*Constants!$C$36/100)*IF(ISBLANK(Design!$B$43),Constants!$C$6/1000,Design!$B$43/1000)))</f>
        <v>5.8482261889058433</v>
      </c>
      <c r="AF72" s="117">
        <f ca="1">IF(AE72&gt;Design!$C$29,Design!$C$29,AE72)</f>
        <v>4.99903317535545</v>
      </c>
      <c r="AG72" s="118">
        <f>Design!$D$7/3</f>
        <v>0.66666666666666663</v>
      </c>
      <c r="AH72" s="118">
        <f ca="1">FORECAST(AG72, OFFSET(Design!$C$15:$C$17,MATCH(AG72,Design!$B$15:$B$17,1)-1,0,2), OFFSET(Design!$B$15:$B$17,MATCH(AG72,Design!$B$15:$B$17,1)-1,0,2))+(AQ72-25)*Design!$B$18/1000</f>
        <v>0.30907088107470326</v>
      </c>
      <c r="AI72" s="194">
        <f ca="1">IF(100*(Design!$C$29+AH72+AG72*IF(ISBLANK(Design!$B$43),Constants!$C$6,Design!$B$43)/1000*(1+Constants!$C$36/100*(AR72-25)))/($B72+AH72-AG72*AS72/1000)&gt;Design!$B$36,Design!$B$37,100*(Design!$C$29+AH72+AG72*IF(ISBLANK(Design!$B$43),Constants!$C$6,Design!$B$43)/1000*(1+Constants!$C$36/100*(AR72-25)))/($B72+AH72-AG72*AS72/1000))</f>
        <v>93.174999999999997</v>
      </c>
      <c r="AJ72" s="119">
        <f ca="1">IF(($B72-AG72*IF(ISBLANK(Design!$B$43),Constants!$C$6,Design!$B$43)/1000*(1+Constants!$C$36/100*(AR72-25))-Design!$C$29)/(IF(ISBLANK(Design!$B$42),Design!$B$40,Design!$B$42)/1000000)*AI72/100/(IF(ISBLANK(Design!$B$33),Design!$B$32,Design!$B$33)*1000000)&lt;0,0,($B72-AG72*IF(ISBLANK(Design!$B$43),Constants!$C$6,Design!$B$43)/1000*(1+Constants!$C$36/100*(AR72-25))-Design!$C$29)/(IF(ISBLANK(Design!$B$42),Design!$B$40,Design!$B$42)/1000000)*AI72/100/(IF(ISBLANK(Design!$B$33),Design!$B$32,Design!$B$33)*1000000))</f>
        <v>0.21405772429539907</v>
      </c>
      <c r="AK72" s="195">
        <f>$B72*Constants!$C$21/1000+IF(ISBLANK(Design!$B$33),Design!$B$32,Design!$B$33)*1000000*Constants!$D$25/1000000000*($B72-Constants!$C$24)</f>
        <v>4.2056249999999969E-2</v>
      </c>
      <c r="AL72" s="195">
        <f>$B72*AG72*($B72/(Constants!$C$26*1000000000)*IF(ISBLANK(Design!$B$33),Design!$B$32,Design!$B$33)*1000000/2+$B72/(Constants!$C$27*1000000000)*IF(ISBLANK(Design!$B$33),Design!$B$32,Design!$B$33)*1000000/2)</f>
        <v>7.6224053462709232E-2</v>
      </c>
      <c r="AM72" s="195">
        <f t="shared" ca="1" si="15"/>
        <v>7.5230477365628046E-2</v>
      </c>
      <c r="AN72" s="195">
        <f>Constants!$D$25/1000000000*Constants!$C$24*IF(ISBLANK(Design!$B$33),Design!$B$32,Design!$B$33)*1000000</f>
        <v>6.8250000000000005E-2</v>
      </c>
      <c r="AO72" s="195">
        <f t="shared" ca="1" si="24"/>
        <v>0.26176078082833726</v>
      </c>
      <c r="AP72" s="195">
        <f t="shared" ca="1" si="21"/>
        <v>1.4062725088899006E-2</v>
      </c>
      <c r="AQ72" s="196">
        <f ca="1">$A72+AP72*Design!$B$19</f>
        <v>85.703136254444956</v>
      </c>
      <c r="AR72" s="196">
        <f ca="1">AO72*Design!$C$12+$A72</f>
        <v>93.899866548163459</v>
      </c>
      <c r="AS72" s="196">
        <f ca="1">Constants!$D$22+Constants!$D$22*Constants!$C$23/100*(AR72-25)</f>
        <v>180.11989323853078</v>
      </c>
      <c r="AT72" s="195">
        <f ca="1">IF(100*(Design!$C$29+AH72+AG72*IF(ISBLANK(Design!$B$43),Constants!$C$6,Design!$B$43)/1000*(1+Constants!$C$36/100*(AR72-25)))/($B72+AH72-AG72*AS72/1000)&gt;Design!$B$36,   (1-Constants!$D$20/1000000000*IF(ISBLANK(Design!$B$33),Design!$B$32/4,Design!$B$33/4)*1000000) * ($B72+AH72-AG72*AS72/1000) - (AH72+AG72*(1+($A72-25)*Constants!$C$36/100)*IF(ISBLANK(Design!$B$43),Constants!$C$6/1000,Design!$B$43/1000)),  (1-Constants!$D$20/1000000000*IF(ISBLANK(Design!$B$33),Design!$B$32,Design!$B$33)*1000000) * ($B72+AH72-AG72*AS72/1000) - (AH72+AG72*(1+($A72-25)*Constants!$C$36/100)*IF(ISBLANK(Design!$B$43),Constants!$C$6/1000,Design!$B$43/1000)))</f>
        <v>6.006910522016649</v>
      </c>
      <c r="AU72" s="119">
        <f ca="1">IF(AT72&gt;Design!$C$29,Design!$C$29,AT72)</f>
        <v>4.99903317535545</v>
      </c>
    </row>
    <row r="73" spans="1:47" ht="12.75" customHeight="1" x14ac:dyDescent="0.3">
      <c r="A73" s="112">
        <f>Design!$D$13</f>
        <v>85</v>
      </c>
      <c r="B73" s="113">
        <f t="shared" si="12"/>
        <v>6.4099999999999984</v>
      </c>
      <c r="C73" s="114">
        <f>Design!$D$7</f>
        <v>2</v>
      </c>
      <c r="D73" s="114">
        <f ca="1">FORECAST(C73, OFFSET(Design!$C$15:$C$17,MATCH(C73,Design!$B$15:$B$17,1)-1,0,2), OFFSET(Design!$B$15:$B$17,MATCH(C73,Design!$B$15:$B$17,1)-1,0,2))+(M73-25)*Design!$B$18/1000</f>
        <v>0.40352136998486798</v>
      </c>
      <c r="E73" s="173">
        <f ca="1">IF(100*(Design!$C$29+D73+C73*IF(ISBLANK(Design!$B$43),Constants!$C$6,Design!$B$43)/1000*(1+Constants!$C$36/100*(N73-25)))/($B73+D73-C73*O73/1000)&gt;Design!$B$36,Design!$B$37,100*(Design!$C$29+D73+C73*IF(ISBLANK(Design!$B$43),Constants!$C$6,Design!$B$43)/1000*(1+Constants!$C$36/100*(N73-25)))/($B73+D73-C73*O73/1000))</f>
        <v>93.174999999999997</v>
      </c>
      <c r="F73" s="115">
        <f ca="1">IF(($B73-C73*IF(ISBLANK(Design!$B$43),Constants!$C$6,Design!$B$43)/1000*(1+Constants!$C$36/100*(N73-25))-Design!$C$29)/(IF(ISBLANK(Design!$B$42),Design!$B$40,Design!$B$42)/1000000)*E73/100/(IF(ISBLANK(Design!$B$33),Design!$B$32,Design!$B$33)*1000000)&lt;0,0,($B73-C73*IF(ISBLANK(Design!$B$43),Constants!$C$6,Design!$B$43)/1000*(1+Constants!$C$36/100*(N73-25))-Design!$C$29)/(IF(ISBLANK(Design!$B$42),Design!$B$40,Design!$B$42)/1000000)*E73/100/(IF(ISBLANK(Design!$B$33),Design!$B$32,Design!$B$33)*1000000))</f>
        <v>0.17486933344037922</v>
      </c>
      <c r="G73" s="165">
        <f>B73*Constants!$C$21/1000+IF(ISBLANK(Design!$B$33),Design!$B$32,Design!$B$33)*1000000*Constants!$D$25/1000000000*(B73-Constants!$C$24)</f>
        <v>3.8476499999999976E-2</v>
      </c>
      <c r="H73" s="165">
        <f>B73*C73*(B73/(Constants!$C$26*1000000000)*IF(ISBLANK(Design!$B$33),Design!$B$32,Design!$B$33)*1000000/2+B73/(Constants!$C$27*1000000000)*IF(ISBLANK(Design!$B$33),Design!$B$32,Design!$B$33)*1000000/2)</f>
        <v>0.21407087716894962</v>
      </c>
      <c r="I73" s="165">
        <f t="shared" ca="1" si="13"/>
        <v>0.7542316097508821</v>
      </c>
      <c r="J73" s="165">
        <f>Constants!$D$25/1000000000*Constants!$C$24*IF(ISBLANK(Design!$B$33),Design!$B$32,Design!$B$33)*1000000</f>
        <v>6.8250000000000005E-2</v>
      </c>
      <c r="K73" s="165">
        <f t="shared" ca="1" si="22"/>
        <v>1.0750289869198317</v>
      </c>
      <c r="L73" s="165">
        <f t="shared" ca="1" si="17"/>
        <v>5.5080667002934507E-2</v>
      </c>
      <c r="M73" s="166">
        <f ca="1">$A73+L73*Design!$B$19</f>
        <v>87.754033350146727</v>
      </c>
      <c r="N73" s="166">
        <f ca="1">K73*Design!$C$12+A73</f>
        <v>121.55098555527428</v>
      </c>
      <c r="O73" s="166">
        <f ca="1">Constants!$D$22+Constants!$D$22*Constants!$C$23/100*(N73-25)</f>
        <v>202.24078844421945</v>
      </c>
      <c r="P73" s="165">
        <f ca="1">IF(100*(Design!$C$29+D73+C73*IF(ISBLANK(Design!$B$43),Constants!$C$6,Design!$B$43)/1000*(1+Constants!$C$36/100*(N73-25)))/($B73+D73-C73*O73/1000)&gt;Design!$B$36,   (1-Constants!$D$20/1000000000*IF(ISBLANK(Design!$B$33),Design!$B$32/4,Design!$B$33/4)*1000000) * ($B73+D73-C73*O73/1000) - (D73+C73*(1+($A73-25)*Constants!$C$36/100)*IF(ISBLANK(Design!$B$43),Constants!$C$6/1000,Design!$B$43/1000)),  (1-Constants!$D$20/1000000000*IF(ISBLANK(Design!$B$33),Design!$B$32,Design!$B$33)*1000000) * ($B73+D73-C73*O73/1000) - (D73+C73*(1+($A73-25)*Constants!$C$36/100)*IF(ISBLANK(Design!$B$43),Constants!$C$6/1000,Design!$B$43/1000)))</f>
        <v>5.4692374572327278</v>
      </c>
      <c r="Q73" s="115">
        <f ca="1">IF(P73&gt;Design!$C$29,Design!$C$29,P73)</f>
        <v>4.99903317535545</v>
      </c>
      <c r="R73" s="116">
        <f>2*Design!$D$7/3</f>
        <v>1.3333333333333333</v>
      </c>
      <c r="S73" s="116">
        <f ca="1">FORECAST(R73, OFFSET(Design!$C$15:$C$17,MATCH(R73,Design!$B$15:$B$17,1)-1,0,2), OFFSET(Design!$B$15:$B$17,MATCH(R73,Design!$B$15:$B$17,1)-1,0,2))+(AB73-25)*Design!$B$18/1000</f>
        <v>0.35639242487200101</v>
      </c>
      <c r="T73" s="182">
        <f ca="1">IF(100*(Design!$C$29+S73+R73*IF(ISBLANK(Design!$B$43),Constants!$C$6,Design!$B$43)/1000*(1+Constants!$C$36/100*(AC73-25)))/($B73+S73-R73*AD73/1000)&gt;Design!$B$36,Design!$B$37,100*(Design!$C$29+S73+R73*IF(ISBLANK(Design!$B$43),Constants!$C$6,Design!$B$43)/1000*(1+Constants!$C$36/100*(AC73-25)))/($B73+S73-R73*AD73/1000))</f>
        <v>93.174999999999997</v>
      </c>
      <c r="U73" s="117">
        <f ca="1">IF(($B73-R73*IF(ISBLANK(Design!$B$43),Constants!$C$6,Design!$B$43)/1000*(1+Constants!$C$36/100*(AC73-25))-Design!$C$29)/(IF(ISBLANK(Design!$B$42),Design!$B$40,Design!$B$42)/1000000)*T73/100/(IF(ISBLANK(Design!$B$33),Design!$B$32,Design!$B$33)*1000000)&lt;0,0,($B73-R73*IF(ISBLANK(Design!$B$43),Constants!$C$6,Design!$B$43)/1000*(1+Constants!$C$36/100*(AC73-25))-Design!$C$29)/(IF(ISBLANK(Design!$B$42),Design!$B$40,Design!$B$42)/1000000)*T73/100/(IF(ISBLANK(Design!$B$33),Design!$B$32,Design!$B$33)*1000000))</f>
        <v>0.18030692692914321</v>
      </c>
      <c r="V73" s="183">
        <f>$B73*Constants!$C$21/1000+IF(ISBLANK(Design!$B$33),Design!$B$32,Design!$B$33)*1000000*Constants!$D$25/1000000000*($B73-Constants!$C$24)</f>
        <v>3.8476499999999976E-2</v>
      </c>
      <c r="W73" s="183">
        <f>$B73*R73*($B73/(Constants!$C$26*1000000000)*IF(ISBLANK(Design!$B$33),Design!$B$32,Design!$B$33)*1000000/2+$B73/(Constants!$C$27*1000000000)*IF(ISBLANK(Design!$B$33),Design!$B$32,Design!$B$33)*1000000/2)</f>
        <v>0.14271391811263306</v>
      </c>
      <c r="X73" s="183">
        <f t="shared" ca="1" si="14"/>
        <v>0.31235188259230695</v>
      </c>
      <c r="Y73" s="183">
        <f>Constants!$D$25/1000000000*Constants!$C$24*IF(ISBLANK(Design!$B$33),Design!$B$32,Design!$B$33)*1000000</f>
        <v>6.8250000000000005E-2</v>
      </c>
      <c r="Z73" s="183">
        <f t="shared" ca="1" si="23"/>
        <v>0.56179230070494002</v>
      </c>
      <c r="AA73" s="183">
        <f t="shared" ca="1" si="19"/>
        <v>3.2431710663352105E-2</v>
      </c>
      <c r="AB73" s="184">
        <f ca="1">$A73+AA73*Design!$B$19</f>
        <v>86.621585533167604</v>
      </c>
      <c r="AC73" s="184">
        <f ca="1">Z73*Design!$C$12+$A73</f>
        <v>104.10093822396796</v>
      </c>
      <c r="AD73" s="184">
        <f ca="1">Constants!$D$22+Constants!$D$22*Constants!$C$23/100*(AC73-25)</f>
        <v>188.28075057917437</v>
      </c>
      <c r="AE73" s="183">
        <f ca="1">IF(100*(Design!$C$29+S73+R73*IF(ISBLANK(Design!$B$43),Constants!$C$6,Design!$B$43)/1000*(1+Constants!$C$36/100*(AC73-25)))/($B73+S73-R73*AD73/1000)&gt;Design!$B$36,   (1-Constants!$D$20/1000000000*IF(ISBLANK(Design!$B$33),Design!$B$32/4,Design!$B$33/4)*1000000) * ($B73+S73-R73*AD73/1000) - (S73+R73*(1+($A73-25)*Constants!$C$36/100)*IF(ISBLANK(Design!$B$43),Constants!$C$6/1000,Design!$B$43/1000)),  (1-Constants!$D$20/1000000000*IF(ISBLANK(Design!$B$33),Design!$B$32,Design!$B$33)*1000000) * ($B73+S73-R73*AD73/1000) - (S73+R73*(1+($A73-25)*Constants!$C$36/100)*IF(ISBLANK(Design!$B$43),Constants!$C$6/1000,Design!$B$43/1000)))</f>
        <v>5.648376931199623</v>
      </c>
      <c r="AF73" s="117">
        <f ca="1">IF(AE73&gt;Design!$C$29,Design!$C$29,AE73)</f>
        <v>4.99903317535545</v>
      </c>
      <c r="AG73" s="118">
        <f>Design!$D$7/3</f>
        <v>0.66666666666666663</v>
      </c>
      <c r="AH73" s="118">
        <f ca="1">FORECAST(AG73, OFFSET(Design!$C$15:$C$17,MATCH(AG73,Design!$B$15:$B$17,1)-1,0,2), OFFSET(Design!$B$15:$B$17,MATCH(AG73,Design!$B$15:$B$17,1)-1,0,2))+(AQ73-25)*Design!$B$18/1000</f>
        <v>0.30907088107470326</v>
      </c>
      <c r="AI73" s="194">
        <f ca="1">IF(100*(Design!$C$29+AH73+AG73*IF(ISBLANK(Design!$B$43),Constants!$C$6,Design!$B$43)/1000*(1+Constants!$C$36/100*(AR73-25)))/($B73+AH73-AG73*AS73/1000)&gt;Design!$B$36,Design!$B$37,100*(Design!$C$29+AH73+AG73*IF(ISBLANK(Design!$B$43),Constants!$C$6,Design!$B$43)/1000*(1+Constants!$C$36/100*(AR73-25)))/($B73+AH73-AG73*AS73/1000))</f>
        <v>93.174999999999997</v>
      </c>
      <c r="AJ73" s="119">
        <f ca="1">IF(($B73-AG73*IF(ISBLANK(Design!$B$43),Constants!$C$6,Design!$B$43)/1000*(1+Constants!$C$36/100*(AR73-25))-Design!$C$29)/(IF(ISBLANK(Design!$B$42),Design!$B$40,Design!$B$42)/1000000)*AI73/100/(IF(ISBLANK(Design!$B$33),Design!$B$32,Design!$B$33)*1000000)&lt;0,0,($B73-AG73*IF(ISBLANK(Design!$B$43),Constants!$C$6,Design!$B$43)/1000*(1+Constants!$C$36/100*(AR73-25))-Design!$C$29)/(IF(ISBLANK(Design!$B$42),Design!$B$40,Design!$B$42)/1000000)*AI73/100/(IF(ISBLANK(Design!$B$33),Design!$B$32,Design!$B$33)*1000000))</f>
        <v>0.18515478880804581</v>
      </c>
      <c r="AK73" s="195">
        <f>$B73*Constants!$C$21/1000+IF(ISBLANK(Design!$B$33),Design!$B$32,Design!$B$33)*1000000*Constants!$D$25/1000000000*($B73-Constants!$C$24)</f>
        <v>3.8476499999999976E-2</v>
      </c>
      <c r="AL73" s="195">
        <f>$B73*AG73*($B73/(Constants!$C$26*1000000000)*IF(ISBLANK(Design!$B$33),Design!$B$32,Design!$B$33)*1000000/2+$B73/(Constants!$C$27*1000000000)*IF(ISBLANK(Design!$B$33),Design!$B$32,Design!$B$33)*1000000/2)</f>
        <v>7.1356959056316532E-2</v>
      </c>
      <c r="AM73" s="195">
        <f t="shared" ca="1" si="15"/>
        <v>7.4970402602995437E-2</v>
      </c>
      <c r="AN73" s="195">
        <f>Constants!$D$25/1000000000*Constants!$C$24*IF(ISBLANK(Design!$B$33),Design!$B$32,Design!$B$33)*1000000</f>
        <v>6.8250000000000005E-2</v>
      </c>
      <c r="AO73" s="195">
        <f t="shared" ca="1" si="24"/>
        <v>0.25305386165931198</v>
      </c>
      <c r="AP73" s="195">
        <f t="shared" ca="1" si="21"/>
        <v>1.4062725088899006E-2</v>
      </c>
      <c r="AQ73" s="196">
        <f ca="1">$A73+AP73*Design!$B$19</f>
        <v>85.703136254444956</v>
      </c>
      <c r="AR73" s="196">
        <f ca="1">AO73*Design!$C$12+$A73</f>
        <v>93.603831296416615</v>
      </c>
      <c r="AS73" s="196">
        <f ca="1">Constants!$D$22+Constants!$D$22*Constants!$C$23/100*(AR73-25)</f>
        <v>179.88306503713329</v>
      </c>
      <c r="AT73" s="195">
        <f ca="1">IF(100*(Design!$C$29+AH73+AG73*IF(ISBLANK(Design!$B$43),Constants!$C$6,Design!$B$43)/1000*(1+Constants!$C$36/100*(AR73-25)))/($B73+AH73-AG73*AS73/1000)&gt;Design!$B$36,   (1-Constants!$D$20/1000000000*IF(ISBLANK(Design!$B$33),Design!$B$32/4,Design!$B$33/4)*1000000) * ($B73+AH73-AG73*AS73/1000) - (AH73+AG73*(1+($A73-25)*Constants!$C$36/100)*IF(ISBLANK(Design!$B$43),Constants!$C$6/1000,Design!$B$43/1000)),  (1-Constants!$D$20/1000000000*IF(ISBLANK(Design!$B$33),Design!$B$32,Design!$B$33)*1000000) * ($B73+AH73-AG73*AS73/1000) - (AH73+AG73*(1+($A73-25)*Constants!$C$36/100)*IF(ISBLANK(Design!$B$43),Constants!$C$6/1000,Design!$B$43/1000)))</f>
        <v>5.8067313818010842</v>
      </c>
      <c r="AU73" s="119">
        <f ca="1">IF(AT73&gt;Design!$C$29,Design!$C$29,AT73)</f>
        <v>4.99903317535545</v>
      </c>
    </row>
    <row r="74" spans="1:47" ht="12.75" customHeight="1" x14ac:dyDescent="0.3">
      <c r="A74" s="112">
        <f>Design!$D$13</f>
        <v>85</v>
      </c>
      <c r="B74" s="113">
        <f t="shared" si="12"/>
        <v>6.1949999999999985</v>
      </c>
      <c r="C74" s="114">
        <f>Design!$D$7</f>
        <v>2</v>
      </c>
      <c r="D74" s="114">
        <f ca="1">FORECAST(C74, OFFSET(Design!$C$15:$C$17,MATCH(C74,Design!$B$15:$B$17,1)-1,0,2), OFFSET(Design!$B$15:$B$17,MATCH(C74,Design!$B$15:$B$17,1)-1,0,2))+(M74-25)*Design!$B$18/1000</f>
        <v>0.40352136998486798</v>
      </c>
      <c r="E74" s="173">
        <f ca="1">IF(100*(Design!$C$29+D74+C74*IF(ISBLANK(Design!$B$43),Constants!$C$6,Design!$B$43)/1000*(1+Constants!$C$36/100*(N74-25)))/($B74+D74-C74*O74/1000)&gt;Design!$B$36,Design!$B$37,100*(Design!$C$29+D74+C74*IF(ISBLANK(Design!$B$43),Constants!$C$6,Design!$B$43)/1000*(1+Constants!$C$36/100*(N74-25)))/($B74+D74-C74*O74/1000))</f>
        <v>93.174999999999997</v>
      </c>
      <c r="F74" s="115">
        <f ca="1">IF(($B74-C74*IF(ISBLANK(Design!$B$43),Constants!$C$6,Design!$B$43)/1000*(1+Constants!$C$36/100*(N74-25))-Design!$C$29)/(IF(ISBLANK(Design!$B$42),Design!$B$40,Design!$B$42)/1000000)*E74/100/(IF(ISBLANK(Design!$B$33),Design!$B$32,Design!$B$33)*1000000)&lt;0,0,($B74-C74*IF(ISBLANK(Design!$B$43),Constants!$C$6,Design!$B$43)/1000*(1+Constants!$C$36/100*(N74-25))-Design!$C$29)/(IF(ISBLANK(Design!$B$42),Design!$B$40,Design!$B$42)/1000000)*E74/100/(IF(ISBLANK(Design!$B$33),Design!$B$32,Design!$B$33)*1000000))</f>
        <v>0.14599076862977373</v>
      </c>
      <c r="G74" s="165">
        <f>B74*Constants!$C$21/1000+IF(ISBLANK(Design!$B$33),Design!$B$32,Design!$B$33)*1000000*Constants!$D$25/1000000000*(B74-Constants!$C$24)</f>
        <v>3.4896749999999976E-2</v>
      </c>
      <c r="H74" s="165">
        <f>B74*C74*(B74/(Constants!$C$26*1000000000)*IF(ISBLANK(Design!$B$33),Design!$B$32,Design!$B$33)*1000000/2+B74/(Constants!$C$27*1000000000)*IF(ISBLANK(Design!$B$33),Design!$B$32,Design!$B$33)*1000000/2)</f>
        <v>0.19995126267123278</v>
      </c>
      <c r="I74" s="165">
        <f t="shared" ca="1" si="13"/>
        <v>0.75207202129552175</v>
      </c>
      <c r="J74" s="165">
        <f>Constants!$D$25/1000000000*Constants!$C$24*IF(ISBLANK(Design!$B$33),Design!$B$32,Design!$B$33)*1000000</f>
        <v>6.8250000000000005E-2</v>
      </c>
      <c r="K74" s="165">
        <f t="shared" ca="1" si="22"/>
        <v>1.0551700339667545</v>
      </c>
      <c r="L74" s="165">
        <f t="shared" ca="1" si="17"/>
        <v>5.5080667002934507E-2</v>
      </c>
      <c r="M74" s="166">
        <f ca="1">$A74+L74*Design!$B$19</f>
        <v>87.754033350146727</v>
      </c>
      <c r="N74" s="166">
        <f ca="1">K74*Design!$C$12+A74</f>
        <v>120.87578115486966</v>
      </c>
      <c r="O74" s="166">
        <f ca="1">Constants!$D$22+Constants!$D$22*Constants!$C$23/100*(N74-25)</f>
        <v>201.70062492389573</v>
      </c>
      <c r="P74" s="165">
        <f ca="1">IF(100*(Design!$C$29+D74+C74*IF(ISBLANK(Design!$B$43),Constants!$C$6,Design!$B$43)/1000*(1+Constants!$C$36/100*(N74-25)))/($B74+D74-C74*O74/1000)&gt;Design!$B$36,   (1-Constants!$D$20/1000000000*IF(ISBLANK(Design!$B$33),Design!$B$32/4,Design!$B$33/4)*1000000) * ($B74+D74-C74*O74/1000) - (D74+C74*(1+($A74-25)*Constants!$C$36/100)*IF(ISBLANK(Design!$B$43),Constants!$C$6/1000,Design!$B$43/1000)),  (1-Constants!$D$20/1000000000*IF(ISBLANK(Design!$B$33),Design!$B$32,Design!$B$33)*1000000) * ($B74+D74-C74*O74/1000) - (D74+C74*(1+($A74-25)*Constants!$C$36/100)*IF(ISBLANK(Design!$B$43),Constants!$C$6/1000,Design!$B$43/1000)))</f>
        <v>5.2699178019528512</v>
      </c>
      <c r="Q74" s="115">
        <f ca="1">IF(P74&gt;Design!$C$29,Design!$C$29,P74)</f>
        <v>4.99903317535545</v>
      </c>
      <c r="R74" s="116">
        <f>2*Design!$D$7/3</f>
        <v>1.3333333333333333</v>
      </c>
      <c r="S74" s="116">
        <f ca="1">FORECAST(R74, OFFSET(Design!$C$15:$C$17,MATCH(R74,Design!$B$15:$B$17,1)-1,0,2), OFFSET(Design!$B$15:$B$17,MATCH(R74,Design!$B$15:$B$17,1)-1,0,2))+(AB74-25)*Design!$B$18/1000</f>
        <v>0.35639242487200101</v>
      </c>
      <c r="T74" s="182">
        <f ca="1">IF(100*(Design!$C$29+S74+R74*IF(ISBLANK(Design!$B$43),Constants!$C$6,Design!$B$43)/1000*(1+Constants!$C$36/100*(AC74-25)))/($B74+S74-R74*AD74/1000)&gt;Design!$B$36,Design!$B$37,100*(Design!$C$29+S74+R74*IF(ISBLANK(Design!$B$43),Constants!$C$6,Design!$B$43)/1000*(1+Constants!$C$36/100*(AC74-25)))/($B74+S74-R74*AD74/1000))</f>
        <v>93.174999999999997</v>
      </c>
      <c r="U74" s="117">
        <f ca="1">IF(($B74-R74*IF(ISBLANK(Design!$B$43),Constants!$C$6,Design!$B$43)/1000*(1+Constants!$C$36/100*(AC74-25))-Design!$C$29)/(IF(ISBLANK(Design!$B$42),Design!$B$40,Design!$B$42)/1000000)*T74/100/(IF(ISBLANK(Design!$B$33),Design!$B$32,Design!$B$33)*1000000)&lt;0,0,($B74-R74*IF(ISBLANK(Design!$B$43),Constants!$C$6,Design!$B$43)/1000*(1+Constants!$C$36/100*(AC74-25))-Design!$C$29)/(IF(ISBLANK(Design!$B$42),Design!$B$40,Design!$B$42)/1000000)*T74/100/(IF(ISBLANK(Design!$B$33),Design!$B$32,Design!$B$33)*1000000))</f>
        <v>0.15141299792989618</v>
      </c>
      <c r="V74" s="183">
        <f>$B74*Constants!$C$21/1000+IF(ISBLANK(Design!$B$33),Design!$B$32,Design!$B$33)*1000000*Constants!$D$25/1000000000*($B74-Constants!$C$24)</f>
        <v>3.4896749999999976E-2</v>
      </c>
      <c r="W74" s="183">
        <f>$B74*R74*($B74/(Constants!$C$26*1000000000)*IF(ISBLANK(Design!$B$33),Design!$B$32,Design!$B$33)*1000000/2+$B74/(Constants!$C$27*1000000000)*IF(ISBLANK(Design!$B$33),Design!$B$32,Design!$B$33)*1000000/2)</f>
        <v>0.13330084178082185</v>
      </c>
      <c r="X74" s="183">
        <f t="shared" ca="1" si="14"/>
        <v>0.31159143842086073</v>
      </c>
      <c r="Y74" s="183">
        <f>Constants!$D$25/1000000000*Constants!$C$24*IF(ISBLANK(Design!$B$33),Design!$B$32,Design!$B$33)*1000000</f>
        <v>6.8250000000000005E-2</v>
      </c>
      <c r="Z74" s="183">
        <f t="shared" ca="1" si="23"/>
        <v>0.54803903020168254</v>
      </c>
      <c r="AA74" s="183">
        <f t="shared" ca="1" si="19"/>
        <v>3.2431710663352105E-2</v>
      </c>
      <c r="AB74" s="184">
        <f ca="1">$A74+AA74*Design!$B$19</f>
        <v>86.621585533167604</v>
      </c>
      <c r="AC74" s="184">
        <f ca="1">Z74*Design!$C$12+$A74</f>
        <v>103.6333270268572</v>
      </c>
      <c r="AD74" s="184">
        <f ca="1">Constants!$D$22+Constants!$D$22*Constants!$C$23/100*(AC74-25)</f>
        <v>187.90666162148577</v>
      </c>
      <c r="AE74" s="183">
        <f ca="1">IF(100*(Design!$C$29+S74+R74*IF(ISBLANK(Design!$B$43),Constants!$C$6,Design!$B$43)/1000*(1+Constants!$C$36/100*(AC74-25)))/($B74+S74-R74*AD74/1000)&gt;Design!$B$36,   (1-Constants!$D$20/1000000000*IF(ISBLANK(Design!$B$33),Design!$B$32/4,Design!$B$33/4)*1000000) * ($B74+S74-R74*AD74/1000) - (S74+R74*(1+($A74-25)*Constants!$C$36/100)*IF(ISBLANK(Design!$B$43),Constants!$C$6/1000,Design!$B$43/1000)),  (1-Constants!$D$20/1000000000*IF(ISBLANK(Design!$B$33),Design!$B$32,Design!$B$33)*1000000) * ($B74+S74-R74*AD74/1000) - (S74+R74*(1+($A74-25)*Constants!$C$36/100)*IF(ISBLANK(Design!$B$43),Constants!$C$6/1000,Design!$B$43/1000)))</f>
        <v>5.4485154243813927</v>
      </c>
      <c r="AF74" s="117">
        <f ca="1">IF(AE74&gt;Design!$C$29,Design!$C$29,AE74)</f>
        <v>4.99903317535545</v>
      </c>
      <c r="AG74" s="118">
        <f>Design!$D$7/3</f>
        <v>0.66666666666666663</v>
      </c>
      <c r="AH74" s="118">
        <f ca="1">FORECAST(AG74, OFFSET(Design!$C$15:$C$17,MATCH(AG74,Design!$B$15:$B$17,1)-1,0,2), OFFSET(Design!$B$15:$B$17,MATCH(AG74,Design!$B$15:$B$17,1)-1,0,2))+(AQ74-25)*Design!$B$18/1000</f>
        <v>0.30907088107470326</v>
      </c>
      <c r="AI74" s="194">
        <f ca="1">IF(100*(Design!$C$29+AH74+AG74*IF(ISBLANK(Design!$B$43),Constants!$C$6,Design!$B$43)/1000*(1+Constants!$C$36/100*(AR74-25)))/($B74+AH74-AG74*AS74/1000)&gt;Design!$B$36,Design!$B$37,100*(Design!$C$29+AH74+AG74*IF(ISBLANK(Design!$B$43),Constants!$C$6,Design!$B$43)/1000*(1+Constants!$C$36/100*(AR74-25)))/($B74+AH74-AG74*AS74/1000))</f>
        <v>93.174999999999997</v>
      </c>
      <c r="AJ74" s="119">
        <f ca="1">IF(($B74-AG74*IF(ISBLANK(Design!$B$43),Constants!$C$6,Design!$B$43)/1000*(1+Constants!$C$36/100*(AR74-25))-Design!$C$29)/(IF(ISBLANK(Design!$B$42),Design!$B$40,Design!$B$42)/1000000)*AI74/100/(IF(ISBLANK(Design!$B$33),Design!$B$32,Design!$B$33)*1000000)&lt;0,0,($B74-AG74*IF(ISBLANK(Design!$B$43),Constants!$C$6,Design!$B$43)/1000*(1+Constants!$C$36/100*(AR74-25))-Design!$C$29)/(IF(ISBLANK(Design!$B$42),Design!$B$40,Design!$B$42)/1000000)*AI74/100/(IF(ISBLANK(Design!$B$33),Design!$B$32,Design!$B$33)*1000000))</f>
        <v>0.15625176402321403</v>
      </c>
      <c r="AK74" s="195">
        <f>$B74*Constants!$C$21/1000+IF(ISBLANK(Design!$B$33),Design!$B$32,Design!$B$33)*1000000*Constants!$D$25/1000000000*($B74-Constants!$C$24)</f>
        <v>3.4896749999999976E-2</v>
      </c>
      <c r="AL74" s="195">
        <f>$B74*AG74*($B74/(Constants!$C$26*1000000000)*IF(ISBLANK(Design!$B$33),Design!$B$32,Design!$B$33)*1000000/2+$B74/(Constants!$C$27*1000000000)*IF(ISBLANK(Design!$B$33),Design!$B$32,Design!$B$33)*1000000/2)</f>
        <v>6.6650420890410927E-2</v>
      </c>
      <c r="AM74" s="195">
        <f t="shared" ca="1" si="15"/>
        <v>7.4736165986438938E-2</v>
      </c>
      <c r="AN74" s="195">
        <f>Constants!$D$25/1000000000*Constants!$C$24*IF(ISBLANK(Design!$B$33),Design!$B$32,Design!$B$33)*1000000</f>
        <v>6.8250000000000005E-2</v>
      </c>
      <c r="AO74" s="195">
        <f t="shared" ca="1" si="24"/>
        <v>0.24453333687684983</v>
      </c>
      <c r="AP74" s="195">
        <f t="shared" ca="1" si="21"/>
        <v>1.4062725088899006E-2</v>
      </c>
      <c r="AQ74" s="196">
        <f ca="1">$A74+AP74*Design!$B$19</f>
        <v>85.703136254444956</v>
      </c>
      <c r="AR74" s="196">
        <f ca="1">AO74*Design!$C$12+$A74</f>
        <v>93.3141334538129</v>
      </c>
      <c r="AS74" s="196">
        <f ca="1">Constants!$D$22+Constants!$D$22*Constants!$C$23/100*(AR74-25)</f>
        <v>179.65130676305031</v>
      </c>
      <c r="AT74" s="195">
        <f ca="1">IF(100*(Design!$C$29+AH74+AG74*IF(ISBLANK(Design!$B$43),Constants!$C$6,Design!$B$43)/1000*(1+Constants!$C$36/100*(AR74-25)))/($B74+AH74-AG74*AS74/1000)&gt;Design!$B$36,   (1-Constants!$D$20/1000000000*IF(ISBLANK(Design!$B$33),Design!$B$32/4,Design!$B$33/4)*1000000) * ($B74+AH74-AG74*AS74/1000) - (AH74+AG74*(1+($A74-25)*Constants!$C$36/100)*IF(ISBLANK(Design!$B$43),Constants!$C$6/1000,Design!$B$43/1000)),  (1-Constants!$D$20/1000000000*IF(ISBLANK(Design!$B$33),Design!$B$32,Design!$B$33)*1000000) * ($B74+AH74-AG74*AS74/1000) - (AH74+AG74*(1+($A74-25)*Constants!$C$36/100)*IF(ISBLANK(Design!$B$43),Constants!$C$6/1000,Design!$B$43/1000)))</f>
        <v>5.6065490923156682</v>
      </c>
      <c r="AU74" s="119">
        <f ca="1">IF(AT74&gt;Design!$C$29,Design!$C$29,AT74)</f>
        <v>4.99903317535545</v>
      </c>
    </row>
    <row r="75" spans="1:47" ht="12.75" customHeight="1" x14ac:dyDescent="0.3">
      <c r="A75" s="112">
        <f>Design!$D$13</f>
        <v>85</v>
      </c>
      <c r="B75" s="113">
        <f t="shared" si="12"/>
        <v>5.9799999999999986</v>
      </c>
      <c r="C75" s="114">
        <f>Design!$D$7</f>
        <v>2</v>
      </c>
      <c r="D75" s="114">
        <f ca="1">FORECAST(C75, OFFSET(Design!$C$15:$C$17,MATCH(C75,Design!$B$15:$B$17,1)-1,0,2), OFFSET(Design!$B$15:$B$17,MATCH(C75,Design!$B$15:$B$17,1)-1,0,2))+(M75-25)*Design!$B$18/1000</f>
        <v>0.40352136998486798</v>
      </c>
      <c r="E75" s="173">
        <f ca="1">IF(100*(Design!$C$29+D75+C75*IF(ISBLANK(Design!$B$43),Constants!$C$6,Design!$B$43)/1000*(1+Constants!$C$36/100*(N75-25)))/($B75+D75-C75*O75/1000)&gt;Design!$B$36,Design!$B$37,100*(Design!$C$29+D75+C75*IF(ISBLANK(Design!$B$43),Constants!$C$6,Design!$B$43)/1000*(1+Constants!$C$36/100*(N75-25)))/($B75+D75-C75*O75/1000))</f>
        <v>93.174999999999997</v>
      </c>
      <c r="F75" s="115">
        <f ca="1">IF(($B75-C75*IF(ISBLANK(Design!$B$43),Constants!$C$6,Design!$B$43)/1000*(1+Constants!$C$36/100*(N75-25))-Design!$C$29)/(IF(ISBLANK(Design!$B$42),Design!$B$40,Design!$B$42)/1000000)*E75/100/(IF(ISBLANK(Design!$B$33),Design!$B$32,Design!$B$33)*1000000)&lt;0,0,($B75-C75*IF(ISBLANK(Design!$B$43),Constants!$C$6,Design!$B$43)/1000*(1+Constants!$C$36/100*(N75-25))-Design!$C$29)/(IF(ISBLANK(Design!$B$42),Design!$B$40,Design!$B$42)/1000000)*E75/100/(IF(ISBLANK(Design!$B$33),Design!$B$32,Design!$B$33)*1000000))</f>
        <v>0.11711139052141932</v>
      </c>
      <c r="G75" s="165">
        <f>B75*Constants!$C$21/1000+IF(ISBLANK(Design!$B$33),Design!$B$32,Design!$B$33)*1000000*Constants!$D$25/1000000000*(B75-Constants!$C$24)</f>
        <v>3.1316999999999984E-2</v>
      </c>
      <c r="H75" s="165">
        <f>B75*C75*(B75/(Constants!$C$26*1000000000)*IF(ISBLANK(Design!$B$33),Design!$B$32,Design!$B$33)*1000000/2+B75/(Constants!$C$27*1000000000)*IF(ISBLANK(Design!$B$33),Design!$B$32,Design!$B$33)*1000000/2)</f>
        <v>0.1863133168949771</v>
      </c>
      <c r="I75" s="165">
        <f t="shared" ca="1" si="13"/>
        <v>0.74999664099702579</v>
      </c>
      <c r="J75" s="165">
        <f>Constants!$D$25/1000000000*Constants!$C$24*IF(ISBLANK(Design!$B$33),Design!$B$32,Design!$B$33)*1000000</f>
        <v>6.8250000000000005E-2</v>
      </c>
      <c r="K75" s="165">
        <f t="shared" ca="1" si="22"/>
        <v>1.0358769578920028</v>
      </c>
      <c r="L75" s="165">
        <f t="shared" ca="1" si="17"/>
        <v>5.5080667002934507E-2</v>
      </c>
      <c r="M75" s="166">
        <f ca="1">$A75+L75*Design!$B$19</f>
        <v>87.754033350146727</v>
      </c>
      <c r="N75" s="166">
        <f ca="1">K75*Design!$C$12+A75</f>
        <v>120.2198165683281</v>
      </c>
      <c r="O75" s="166">
        <f ca="1">Constants!$D$22+Constants!$D$22*Constants!$C$23/100*(N75-25)</f>
        <v>201.17585325466248</v>
      </c>
      <c r="P75" s="165">
        <f ca="1">IF(100*(Design!$C$29+D75+C75*IF(ISBLANK(Design!$B$43),Constants!$C$6,Design!$B$43)/1000*(1+Constants!$C$36/100*(N75-25)))/($B75+D75-C75*O75/1000)&gt;Design!$B$36,   (1-Constants!$D$20/1000000000*IF(ISBLANK(Design!$B$33),Design!$B$32/4,Design!$B$33/4)*1000000) * ($B75+D75-C75*O75/1000) - (D75+C75*(1+($A75-25)*Constants!$C$36/100)*IF(ISBLANK(Design!$B$43),Constants!$C$6/1000,Design!$B$43/1000)),  (1-Constants!$D$20/1000000000*IF(ISBLANK(Design!$B$33),Design!$B$32,Design!$B$33)*1000000) * ($B75+D75-C75*O75/1000) - (D75+C75*(1+($A75-25)*Constants!$C$36/100)*IF(ISBLANK(Design!$B$43),Constants!$C$6/1000,Design!$B$43/1000)))</f>
        <v>5.070569463958468</v>
      </c>
      <c r="Q75" s="115">
        <f ca="1">IF(P75&gt;Design!$C$29,Design!$C$29,P75)</f>
        <v>4.99903317535545</v>
      </c>
      <c r="R75" s="116">
        <f>2*Design!$D$7/3</f>
        <v>1.3333333333333333</v>
      </c>
      <c r="S75" s="116">
        <f ca="1">FORECAST(R75, OFFSET(Design!$C$15:$C$17,MATCH(R75,Design!$B$15:$B$17,1)-1,0,2), OFFSET(Design!$B$15:$B$17,MATCH(R75,Design!$B$15:$B$17,1)-1,0,2))+(AB75-25)*Design!$B$18/1000</f>
        <v>0.35639242487200101</v>
      </c>
      <c r="T75" s="182">
        <f ca="1">IF(100*(Design!$C$29+S75+R75*IF(ISBLANK(Design!$B$43),Constants!$C$6,Design!$B$43)/1000*(1+Constants!$C$36/100*(AC75-25)))/($B75+S75-R75*AD75/1000)&gt;Design!$B$36,Design!$B$37,100*(Design!$C$29+S75+R75*IF(ISBLANK(Design!$B$43),Constants!$C$6,Design!$B$43)/1000*(1+Constants!$C$36/100*(AC75-25)))/($B75+S75-R75*AD75/1000))</f>
        <v>93.174999999999997</v>
      </c>
      <c r="U75" s="117">
        <f ca="1">IF(($B75-R75*IF(ISBLANK(Design!$B$43),Constants!$C$6,Design!$B$43)/1000*(1+Constants!$C$36/100*(AC75-25))-Design!$C$29)/(IF(ISBLANK(Design!$B$42),Design!$B$40,Design!$B$42)/1000000)*T75/100/(IF(ISBLANK(Design!$B$33),Design!$B$32,Design!$B$33)*1000000)&lt;0,0,($B75-R75*IF(ISBLANK(Design!$B$43),Constants!$C$6,Design!$B$43)/1000*(1+Constants!$C$36/100*(AC75-25))-Design!$C$29)/(IF(ISBLANK(Design!$B$42),Design!$B$40,Design!$B$42)/1000000)*T75/100/(IF(ISBLANK(Design!$B$33),Design!$B$32,Design!$B$33)*1000000))</f>
        <v>0.12251872177453028</v>
      </c>
      <c r="V75" s="183">
        <f>$B75*Constants!$C$21/1000+IF(ISBLANK(Design!$B$33),Design!$B$32,Design!$B$33)*1000000*Constants!$D$25/1000000000*($B75-Constants!$C$24)</f>
        <v>3.1316999999999984E-2</v>
      </c>
      <c r="W75" s="183">
        <f>$B75*R75*($B75/(Constants!$C$26*1000000000)*IF(ISBLANK(Design!$B$33),Design!$B$32,Design!$B$33)*1000000/2+$B75/(Constants!$C$27*1000000000)*IF(ISBLANK(Design!$B$33),Design!$B$32,Design!$B$33)*1000000/2)</f>
        <v>0.12420887792998471</v>
      </c>
      <c r="X75" s="183">
        <f t="shared" ca="1" si="14"/>
        <v>0.31087219856015919</v>
      </c>
      <c r="Y75" s="183">
        <f>Constants!$D$25/1000000000*Constants!$C$24*IF(ISBLANK(Design!$B$33),Design!$B$32,Design!$B$33)*1000000</f>
        <v>6.8250000000000005E-2</v>
      </c>
      <c r="Z75" s="183">
        <f t="shared" ca="1" si="23"/>
        <v>0.5346480764901439</v>
      </c>
      <c r="AA75" s="183">
        <f t="shared" ca="1" si="19"/>
        <v>3.2431710663352105E-2</v>
      </c>
      <c r="AB75" s="184">
        <f ca="1">$A75+AA75*Design!$B$19</f>
        <v>86.621585533167604</v>
      </c>
      <c r="AC75" s="184">
        <f ca="1">Z75*Design!$C$12+$A75</f>
        <v>103.17803460066489</v>
      </c>
      <c r="AD75" s="184">
        <f ca="1">Constants!$D$22+Constants!$D$22*Constants!$C$23/100*(AC75-25)</f>
        <v>187.54242768053192</v>
      </c>
      <c r="AE75" s="183">
        <f ca="1">IF(100*(Design!$C$29+S75+R75*IF(ISBLANK(Design!$B$43),Constants!$C$6,Design!$B$43)/1000*(1+Constants!$C$36/100*(AC75-25)))/($B75+S75-R75*AD75/1000)&gt;Design!$B$36,   (1-Constants!$D$20/1000000000*IF(ISBLANK(Design!$B$33),Design!$B$32/4,Design!$B$33/4)*1000000) * ($B75+S75-R75*AD75/1000) - (S75+R75*(1+($A75-25)*Constants!$C$36/100)*IF(ISBLANK(Design!$B$43),Constants!$C$6/1000,Design!$B$43/1000)),  (1-Constants!$D$20/1000000000*IF(ISBLANK(Design!$B$33),Design!$B$32,Design!$B$33)*1000000) * ($B75+S75-R75*AD75/1000) - (S75+R75*(1+($A75-25)*Constants!$C$36/100)*IF(ISBLANK(Design!$B$43),Constants!$C$6/1000,Design!$B$43/1000)))</f>
        <v>5.2486416743473701</v>
      </c>
      <c r="AF75" s="117">
        <f ca="1">IF(AE75&gt;Design!$C$29,Design!$C$29,AE75)</f>
        <v>4.99903317535545</v>
      </c>
      <c r="AG75" s="118">
        <f>Design!$D$7/3</f>
        <v>0.66666666666666663</v>
      </c>
      <c r="AH75" s="118">
        <f ca="1">FORECAST(AG75, OFFSET(Design!$C$15:$C$17,MATCH(AG75,Design!$B$15:$B$17,1)-1,0,2), OFFSET(Design!$B$15:$B$17,MATCH(AG75,Design!$B$15:$B$17,1)-1,0,2))+(AQ75-25)*Design!$B$18/1000</f>
        <v>0.30907088107470326</v>
      </c>
      <c r="AI75" s="194">
        <f ca="1">IF(100*(Design!$C$29+AH75+AG75*IF(ISBLANK(Design!$B$43),Constants!$C$6,Design!$B$43)/1000*(1+Constants!$C$36/100*(AR75-25)))/($B75+AH75-AG75*AS75/1000)&gt;Design!$B$36,Design!$B$37,100*(Design!$C$29+AH75+AG75*IF(ISBLANK(Design!$B$43),Constants!$C$6,Design!$B$43)/1000*(1+Constants!$C$36/100*(AR75-25)))/($B75+AH75-AG75*AS75/1000))</f>
        <v>93.174999999999997</v>
      </c>
      <c r="AJ75" s="119">
        <f ca="1">IF(($B75-AG75*IF(ISBLANK(Design!$B$43),Constants!$C$6,Design!$B$43)/1000*(1+Constants!$C$36/100*(AR75-25))-Design!$C$29)/(IF(ISBLANK(Design!$B$42),Design!$B$40,Design!$B$42)/1000000)*AI75/100/(IF(ISBLANK(Design!$B$33),Design!$B$32,Design!$B$33)*1000000)&lt;0,0,($B75-AG75*IF(ISBLANK(Design!$B$43),Constants!$C$6,Design!$B$43)/1000*(1+Constants!$C$36/100*(AR75-25))-Design!$C$29)/(IF(ISBLANK(Design!$B$42),Design!$B$40,Design!$B$42)/1000000)*AI75/100/(IF(ISBLANK(Design!$B$33),Design!$B$32,Design!$B$33)*1000000))</f>
        <v>0.12734864999015019</v>
      </c>
      <c r="AK75" s="195">
        <f>$B75*Constants!$C$21/1000+IF(ISBLANK(Design!$B$33),Design!$B$32,Design!$B$33)*1000000*Constants!$D$25/1000000000*($B75-Constants!$C$24)</f>
        <v>3.1316999999999984E-2</v>
      </c>
      <c r="AL75" s="195">
        <f>$B75*AG75*($B75/(Constants!$C$26*1000000000)*IF(ISBLANK(Design!$B$33),Design!$B$32,Design!$B$33)*1000000/2+$B75/(Constants!$C$27*1000000000)*IF(ISBLANK(Design!$B$33),Design!$B$32,Design!$B$33)*1000000/2)</f>
        <v>6.2104438964992355E-2</v>
      </c>
      <c r="AM75" s="195">
        <f t="shared" ca="1" si="15"/>
        <v>7.4527664722246451E-2</v>
      </c>
      <c r="AN75" s="195">
        <f>Constants!$D$25/1000000000*Constants!$C$24*IF(ISBLANK(Design!$B$33),Design!$B$32,Design!$B$33)*1000000</f>
        <v>6.8250000000000005E-2</v>
      </c>
      <c r="AO75" s="195">
        <f t="shared" ca="1" si="24"/>
        <v>0.23619910368723879</v>
      </c>
      <c r="AP75" s="195">
        <f t="shared" ca="1" si="21"/>
        <v>1.4062725088899006E-2</v>
      </c>
      <c r="AQ75" s="196">
        <f ca="1">$A75+AP75*Design!$B$19</f>
        <v>85.703136254444956</v>
      </c>
      <c r="AR75" s="196">
        <f ca="1">AO75*Design!$C$12+$A75</f>
        <v>93.030769525366111</v>
      </c>
      <c r="AS75" s="196">
        <f ca="1">Constants!$D$22+Constants!$D$22*Constants!$C$23/100*(AR75-25)</f>
        <v>179.42461562029288</v>
      </c>
      <c r="AT75" s="195">
        <f ca="1">IF(100*(Design!$C$29+AH75+AG75*IF(ISBLANK(Design!$B$43),Constants!$C$6,Design!$B$43)/1000*(1+Constants!$C$36/100*(AR75-25)))/($B75+AH75-AG75*AS75/1000)&gt;Design!$B$36,   (1-Constants!$D$20/1000000000*IF(ISBLANK(Design!$B$33),Design!$B$32/4,Design!$B$33/4)*1000000) * ($B75+AH75-AG75*AS75/1000) - (AH75+AG75*(1+($A75-25)*Constants!$C$36/100)*IF(ISBLANK(Design!$B$43),Constants!$C$6/1000,Design!$B$43/1000)),  (1-Constants!$D$20/1000000000*IF(ISBLANK(Design!$B$33),Design!$B$32,Design!$B$33)*1000000) * ($B75+AH75-AG75*AS75/1000) - (AH75+AG75*(1+($A75-25)*Constants!$C$36/100)*IF(ISBLANK(Design!$B$43),Constants!$C$6/1000,Design!$B$43/1000)))</f>
        <v>5.4063636552971781</v>
      </c>
      <c r="AU75" s="119">
        <f ca="1">IF(AT75&gt;Design!$C$29,Design!$C$29,AT75)</f>
        <v>4.99903317535545</v>
      </c>
    </row>
    <row r="76" spans="1:47" ht="12.75" customHeight="1" x14ac:dyDescent="0.3">
      <c r="A76" s="112">
        <f>Design!$D$13</f>
        <v>85</v>
      </c>
      <c r="B76" s="113">
        <f t="shared" si="12"/>
        <v>5.7649999999999988</v>
      </c>
      <c r="C76" s="114">
        <f>Design!$D$7</f>
        <v>2</v>
      </c>
      <c r="D76" s="114">
        <f ca="1">FORECAST(C76, OFFSET(Design!$C$15:$C$17,MATCH(C76,Design!$B$15:$B$17,1)-1,0,2), OFFSET(Design!$B$15:$B$17,MATCH(C76,Design!$B$15:$B$17,1)-1,0,2))+(M76-25)*Design!$B$18/1000</f>
        <v>0.40352136998486798</v>
      </c>
      <c r="E76" s="173">
        <f ca="1">IF(100*(Design!$C$29+D76+C76*IF(ISBLANK(Design!$B$43),Constants!$C$6,Design!$B$43)/1000*(1+Constants!$C$36/100*(N76-25)))/($B76+D76-C76*O76/1000)&gt;Design!$B$36,Design!$B$37,100*(Design!$C$29+D76+C76*IF(ISBLANK(Design!$B$43),Constants!$C$6,Design!$B$43)/1000*(1+Constants!$C$36/100*(N76-25)))/($B76+D76-C76*O76/1000))</f>
        <v>93.174999999999997</v>
      </c>
      <c r="F76" s="115">
        <f ca="1">IF(($B76-C76*IF(ISBLANK(Design!$B$43),Constants!$C$6,Design!$B$43)/1000*(1+Constants!$C$36/100*(N76-25))-Design!$C$29)/(IF(ISBLANK(Design!$B$42),Design!$B$40,Design!$B$42)/1000000)*E76/100/(IF(ISBLANK(Design!$B$33),Design!$B$32,Design!$B$33)*1000000)&lt;0,0,($B76-C76*IF(ISBLANK(Design!$B$43),Constants!$C$6,Design!$B$43)/1000*(1+Constants!$C$36/100*(N76-25))-Design!$C$29)/(IF(ISBLANK(Design!$B$42),Design!$B$40,Design!$B$42)/1000000)*E76/100/(IF(ISBLANK(Design!$B$33),Design!$B$32,Design!$B$33)*1000000))</f>
        <v>8.8231199481433986E-2</v>
      </c>
      <c r="G76" s="165">
        <f>B76*Constants!$C$21/1000+IF(ISBLANK(Design!$B$33),Design!$B$32,Design!$B$33)*1000000*Constants!$D$25/1000000000*(B76-Constants!$C$24)</f>
        <v>2.7737249999999977E-2</v>
      </c>
      <c r="H76" s="165">
        <f>B76*C76*(B76/(Constants!$C$26*1000000000)*IF(ISBLANK(Design!$B$33),Design!$B$32,Design!$B$33)*1000000/2+B76/(Constants!$C$27*1000000000)*IF(ISBLANK(Design!$B$33),Design!$B$32,Design!$B$33)*1000000/2)</f>
        <v>0.1731570398401826</v>
      </c>
      <c r="I76" s="165">
        <f t="shared" ca="1" si="13"/>
        <v>0.7480052141174256</v>
      </c>
      <c r="J76" s="165">
        <f>Constants!$D$25/1000000000*Constants!$C$24*IF(ISBLANK(Design!$B$33),Design!$B$32,Design!$B$33)*1000000</f>
        <v>6.8250000000000005E-2</v>
      </c>
      <c r="K76" s="165">
        <f t="shared" ca="1" si="22"/>
        <v>1.0171495039576082</v>
      </c>
      <c r="L76" s="165">
        <f t="shared" ca="1" si="17"/>
        <v>5.5080667002934507E-2</v>
      </c>
      <c r="M76" s="166">
        <f ca="1">$A76+L76*Design!$B$19</f>
        <v>87.754033350146727</v>
      </c>
      <c r="N76" s="166">
        <f ca="1">K76*Design!$C$12+A76</f>
        <v>119.58308313455868</v>
      </c>
      <c r="O76" s="166">
        <f ca="1">Constants!$D$22+Constants!$D$22*Constants!$C$23/100*(N76-25)</f>
        <v>200.66646650764693</v>
      </c>
      <c r="P76" s="165">
        <f ca="1">IF(100*(Design!$C$29+D76+C76*IF(ISBLANK(Design!$B$43),Constants!$C$6,Design!$B$43)/1000*(1+Constants!$C$36/100*(N76-25)))/($B76+D76-C76*O76/1000)&gt;Design!$B$36,   (1-Constants!$D$20/1000000000*IF(ISBLANK(Design!$B$33),Design!$B$32/4,Design!$B$33/4)*1000000) * ($B76+D76-C76*O76/1000) - (D76+C76*(1+($A76-25)*Constants!$C$36/100)*IF(ISBLANK(Design!$B$43),Constants!$C$6/1000,Design!$B$43/1000)),  (1-Constants!$D$20/1000000000*IF(ISBLANK(Design!$B$33),Design!$B$32,Design!$B$33)*1000000) * ($B76+D76-C76*O76/1000) - (D76+C76*(1+($A76-25)*Constants!$C$36/100)*IF(ISBLANK(Design!$B$43),Constants!$C$6/1000,Design!$B$43/1000)))</f>
        <v>4.8711924561615323</v>
      </c>
      <c r="Q76" s="115">
        <f ca="1">IF(P76&gt;Design!$C$29,Design!$C$29,P76)</f>
        <v>4.8711924561615323</v>
      </c>
      <c r="R76" s="116">
        <f>2*Design!$D$7/3</f>
        <v>1.3333333333333333</v>
      </c>
      <c r="S76" s="116">
        <f ca="1">FORECAST(R76, OFFSET(Design!$C$15:$C$17,MATCH(R76,Design!$B$15:$B$17,1)-1,0,2), OFFSET(Design!$B$15:$B$17,MATCH(R76,Design!$B$15:$B$17,1)-1,0,2))+(AB76-25)*Design!$B$18/1000</f>
        <v>0.35639242487200101</v>
      </c>
      <c r="T76" s="182">
        <f ca="1">IF(100*(Design!$C$29+S76+R76*IF(ISBLANK(Design!$B$43),Constants!$C$6,Design!$B$43)/1000*(1+Constants!$C$36/100*(AC76-25)))/($B76+S76-R76*AD76/1000)&gt;Design!$B$36,Design!$B$37,100*(Design!$C$29+S76+R76*IF(ISBLANK(Design!$B$43),Constants!$C$6,Design!$B$43)/1000*(1+Constants!$C$36/100*(AC76-25)))/($B76+S76-R76*AD76/1000))</f>
        <v>93.174999999999997</v>
      </c>
      <c r="U76" s="117">
        <f ca="1">IF(($B76-R76*IF(ISBLANK(Design!$B$43),Constants!$C$6,Design!$B$43)/1000*(1+Constants!$C$36/100*(AC76-25))-Design!$C$29)/(IF(ISBLANK(Design!$B$42),Design!$B$40,Design!$B$42)/1000000)*T76/100/(IF(ISBLANK(Design!$B$33),Design!$B$32,Design!$B$33)*1000000)&lt;0,0,($B76-R76*IF(ISBLANK(Design!$B$43),Constants!$C$6,Design!$B$43)/1000*(1+Constants!$C$36/100*(AC76-25))-Design!$C$29)/(IF(ISBLANK(Design!$B$42),Design!$B$40,Design!$B$42)/1000000)*T76/100/(IF(ISBLANK(Design!$B$33),Design!$B$32,Design!$B$33)*1000000))</f>
        <v>9.3624098622535998E-2</v>
      </c>
      <c r="V76" s="183">
        <f>$B76*Constants!$C$21/1000+IF(ISBLANK(Design!$B$33),Design!$B$32,Design!$B$33)*1000000*Constants!$D$25/1000000000*($B76-Constants!$C$24)</f>
        <v>2.7737249999999977E-2</v>
      </c>
      <c r="W76" s="183">
        <f>$B76*R76*($B76/(Constants!$C$26*1000000000)*IF(ISBLANK(Design!$B$33),Design!$B$32,Design!$B$33)*1000000/2+$B76/(Constants!$C$27*1000000000)*IF(ISBLANK(Design!$B$33),Design!$B$32,Design!$B$33)*1000000/2)</f>
        <v>0.11543802656012173</v>
      </c>
      <c r="X76" s="183">
        <f t="shared" ca="1" si="14"/>
        <v>0.3101939965548477</v>
      </c>
      <c r="Y76" s="183">
        <f>Constants!$D$25/1000000000*Constants!$C$24*IF(ISBLANK(Design!$B$33),Design!$B$32,Design!$B$33)*1000000</f>
        <v>6.8250000000000005E-2</v>
      </c>
      <c r="Z76" s="183">
        <f t="shared" ca="1" si="23"/>
        <v>0.52161927311496936</v>
      </c>
      <c r="AA76" s="183">
        <f t="shared" ca="1" si="19"/>
        <v>3.2431710663352105E-2</v>
      </c>
      <c r="AB76" s="184">
        <f ca="1">$A76+AA76*Design!$B$19</f>
        <v>86.621585533167604</v>
      </c>
      <c r="AC76" s="184">
        <f ca="1">Z76*Design!$C$12+$A76</f>
        <v>102.73505528590896</v>
      </c>
      <c r="AD76" s="184">
        <f ca="1">Constants!$D$22+Constants!$D$22*Constants!$C$23/100*(AC76-25)</f>
        <v>187.18804422872716</v>
      </c>
      <c r="AE76" s="183">
        <f ca="1">IF(100*(Design!$C$29+S76+R76*IF(ISBLANK(Design!$B$43),Constants!$C$6,Design!$B$43)/1000*(1+Constants!$C$36/100*(AC76-25)))/($B76+S76-R76*AD76/1000)&gt;Design!$B$36,   (1-Constants!$D$20/1000000000*IF(ISBLANK(Design!$B$33),Design!$B$32/4,Design!$B$33/4)*1000000) * ($B76+S76-R76*AD76/1000) - (S76+R76*(1+($A76-25)*Constants!$C$36/100)*IF(ISBLANK(Design!$B$43),Constants!$C$6/1000,Design!$B$43/1000)),  (1-Constants!$D$20/1000000000*IF(ISBLANK(Design!$B$33),Design!$B$32,Design!$B$33)*1000000) * ($B76+S76-R76*AD76/1000) - (S76+R76*(1+($A76-25)*Constants!$C$36/100)*IF(ISBLANK(Design!$B$43),Constants!$C$6/1000,Design!$B$43/1000)))</f>
        <v>5.0487556867223295</v>
      </c>
      <c r="AF76" s="117">
        <f ca="1">IF(AE76&gt;Design!$C$29,Design!$C$29,AE76)</f>
        <v>4.99903317535545</v>
      </c>
      <c r="AG76" s="118">
        <f>Design!$D$7/3</f>
        <v>0.66666666666666663</v>
      </c>
      <c r="AH76" s="118">
        <f ca="1">FORECAST(AG76, OFFSET(Design!$C$15:$C$17,MATCH(AG76,Design!$B$15:$B$17,1)-1,0,2), OFFSET(Design!$B$15:$B$17,MATCH(AG76,Design!$B$15:$B$17,1)-1,0,2))+(AQ76-25)*Design!$B$18/1000</f>
        <v>0.30907088107470326</v>
      </c>
      <c r="AI76" s="194">
        <f ca="1">IF(100*(Design!$C$29+AH76+AG76*IF(ISBLANK(Design!$B$43),Constants!$C$6,Design!$B$43)/1000*(1+Constants!$C$36/100*(AR76-25)))/($B76+AH76-AG76*AS76/1000)&gt;Design!$B$36,Design!$B$37,100*(Design!$C$29+AH76+AG76*IF(ISBLANK(Design!$B$43),Constants!$C$6,Design!$B$43)/1000*(1+Constants!$C$36/100*(AR76-25)))/($B76+AH76-AG76*AS76/1000))</f>
        <v>93.174999999999997</v>
      </c>
      <c r="AJ76" s="119">
        <f ca="1">IF(($B76-AG76*IF(ISBLANK(Design!$B$43),Constants!$C$6,Design!$B$43)/1000*(1+Constants!$C$36/100*(AR76-25))-Design!$C$29)/(IF(ISBLANK(Design!$B$42),Design!$B$40,Design!$B$42)/1000000)*AI76/100/(IF(ISBLANK(Design!$B$33),Design!$B$32,Design!$B$33)*1000000)&lt;0,0,($B76-AG76*IF(ISBLANK(Design!$B$43),Constants!$C$6,Design!$B$43)/1000*(1+Constants!$C$36/100*(AR76-25))-Design!$C$29)/(IF(ISBLANK(Design!$B$42),Design!$B$40,Design!$B$42)/1000000)*AI76/100/(IF(ISBLANK(Design!$B$33),Design!$B$32,Design!$B$33)*1000000))</f>
        <v>9.8445446756185884E-2</v>
      </c>
      <c r="AK76" s="195">
        <f>$B76*Constants!$C$21/1000+IF(ISBLANK(Design!$B$33),Design!$B$32,Design!$B$33)*1000000*Constants!$D$25/1000000000*($B76-Constants!$C$24)</f>
        <v>2.7737249999999977E-2</v>
      </c>
      <c r="AL76" s="195">
        <f>$B76*AG76*($B76/(Constants!$C$26*1000000000)*IF(ISBLANK(Design!$B$33),Design!$B$32,Design!$B$33)*1000000/2+$B76/(Constants!$C$27*1000000000)*IF(ISBLANK(Design!$B$33),Design!$B$32,Design!$B$33)*1000000/2)</f>
        <v>5.7719013280060863E-2</v>
      </c>
      <c r="AM76" s="195">
        <f t="shared" ca="1" si="15"/>
        <v>7.4344800012420331E-2</v>
      </c>
      <c r="AN76" s="195">
        <f>Constants!$D$25/1000000000*Constants!$C$24*IF(ISBLANK(Design!$B$33),Design!$B$32,Design!$B$33)*1000000</f>
        <v>6.8250000000000005E-2</v>
      </c>
      <c r="AO76" s="195">
        <f t="shared" ca="1" si="24"/>
        <v>0.22805106329248118</v>
      </c>
      <c r="AP76" s="195">
        <f t="shared" ca="1" si="21"/>
        <v>1.4062725088899006E-2</v>
      </c>
      <c r="AQ76" s="196">
        <f ca="1">$A76+AP76*Design!$B$19</f>
        <v>85.703136254444956</v>
      </c>
      <c r="AR76" s="196">
        <f ca="1">AO76*Design!$C$12+$A76</f>
        <v>92.753736151944366</v>
      </c>
      <c r="AS76" s="196">
        <f ca="1">Constants!$D$22+Constants!$D$22*Constants!$C$23/100*(AR76-25)</f>
        <v>179.20298892155549</v>
      </c>
      <c r="AT76" s="195">
        <f ca="1">IF(100*(Design!$C$29+AH76+AG76*IF(ISBLANK(Design!$B$43),Constants!$C$6,Design!$B$43)/1000*(1+Constants!$C$36/100*(AR76-25)))/($B76+AH76-AG76*AS76/1000)&gt;Design!$B$36,   (1-Constants!$D$20/1000000000*IF(ISBLANK(Design!$B$33),Design!$B$32/4,Design!$B$33/4)*1000000) * ($B76+AH76-AG76*AS76/1000) - (AH76+AG76*(1+($A76-25)*Constants!$C$36/100)*IF(ISBLANK(Design!$B$43),Constants!$C$6/1000,Design!$B$43/1000)),  (1-Constants!$D$20/1000000000*IF(ISBLANK(Design!$B$33),Design!$B$32,Design!$B$33)*1000000) * ($B76+AH76-AG76*AS76/1000) - (AH76+AG76*(1+($A76-25)*Constants!$C$36/100)*IF(ISBLANK(Design!$B$43),Constants!$C$6/1000,Design!$B$43/1000)))</f>
        <v>5.2061750724148768</v>
      </c>
      <c r="AU76" s="119">
        <f ca="1">IF(AT76&gt;Design!$C$29,Design!$C$29,AT76)</f>
        <v>4.99903317535545</v>
      </c>
    </row>
    <row r="77" spans="1:47" ht="12.75" customHeight="1" x14ac:dyDescent="0.3">
      <c r="A77" s="112">
        <f>Design!$D$13</f>
        <v>85</v>
      </c>
      <c r="B77" s="113">
        <f t="shared" si="12"/>
        <v>5.5499999999999989</v>
      </c>
      <c r="C77" s="114">
        <f>Design!$D$7</f>
        <v>2</v>
      </c>
      <c r="D77" s="114">
        <f ca="1">FORECAST(C77, OFFSET(Design!$C$15:$C$17,MATCH(C77,Design!$B$15:$B$17,1)-1,0,2), OFFSET(Design!$B$15:$B$17,MATCH(C77,Design!$B$15:$B$17,1)-1,0,2))+(M77-25)*Design!$B$18/1000</f>
        <v>0.40352136998486798</v>
      </c>
      <c r="E77" s="173">
        <f ca="1">IF(100*(Design!$C$29+D77+C77*IF(ISBLANK(Design!$B$43),Constants!$C$6,Design!$B$43)/1000*(1+Constants!$C$36/100*(N77-25)))/($B77+D77-C77*O77/1000)&gt;Design!$B$36,Design!$B$37,100*(Design!$C$29+D77+C77*IF(ISBLANK(Design!$B$43),Constants!$C$6,Design!$B$43)/1000*(1+Constants!$C$36/100*(N77-25)))/($B77+D77-C77*O77/1000))</f>
        <v>93.174999999999997</v>
      </c>
      <c r="F77" s="115">
        <f ca="1">IF(($B77-C77*IF(ISBLANK(Design!$B$43),Constants!$C$6,Design!$B$43)/1000*(1+Constants!$C$36/100*(N77-25))-Design!$C$29)/(IF(ISBLANK(Design!$B$42),Design!$B$40,Design!$B$42)/1000000)*E77/100/(IF(ISBLANK(Design!$B$33),Design!$B$32,Design!$B$33)*1000000)&lt;0,0,($B77-C77*IF(ISBLANK(Design!$B$43),Constants!$C$6,Design!$B$43)/1000*(1+Constants!$C$36/100*(N77-25))-Design!$C$29)/(IF(ISBLANK(Design!$B$42),Design!$B$40,Design!$B$42)/1000000)*E77/100/(IF(ISBLANK(Design!$B$33),Design!$B$32,Design!$B$33)*1000000))</f>
        <v>5.9350195856831281E-2</v>
      </c>
      <c r="G77" s="165">
        <f>B77*Constants!$C$21/1000+IF(ISBLANK(Design!$B$33),Design!$B$32,Design!$B$33)*1000000*Constants!$D$25/1000000000*(B77-Constants!$C$24)</f>
        <v>2.4157499999999985E-2</v>
      </c>
      <c r="H77" s="165">
        <f>B77*C77*(B77/(Constants!$C$26*1000000000)*IF(ISBLANK(Design!$B$33),Design!$B$32,Design!$B$33)*1000000/2+B77/(Constants!$C$27*1000000000)*IF(ISBLANK(Design!$B$33),Design!$B$32,Design!$B$33)*1000000/2)</f>
        <v>0.16048243150684924</v>
      </c>
      <c r="I77" s="165">
        <f t="shared" ca="1" si="13"/>
        <v>0.74609749921157298</v>
      </c>
      <c r="J77" s="165">
        <f>Constants!$D$25/1000000000*Constants!$C$24*IF(ISBLANK(Design!$B$33),Design!$B$32,Design!$B$33)*1000000</f>
        <v>6.8250000000000005E-2</v>
      </c>
      <c r="K77" s="165">
        <f t="shared" ca="1" si="22"/>
        <v>0.99898743071842222</v>
      </c>
      <c r="L77" s="165">
        <f t="shared" ca="1" si="17"/>
        <v>5.5080667002934507E-2</v>
      </c>
      <c r="M77" s="166">
        <f ca="1">$A77+L77*Design!$B$19</f>
        <v>87.754033350146727</v>
      </c>
      <c r="N77" s="166">
        <f ca="1">K77*Design!$C$12+A77</f>
        <v>118.96557264442635</v>
      </c>
      <c r="O77" s="166">
        <f ca="1">Constants!$D$22+Constants!$D$22*Constants!$C$23/100*(N77-25)</f>
        <v>200.17245811554108</v>
      </c>
      <c r="P77" s="165">
        <f ca="1">IF(100*(Design!$C$29+D77+C77*IF(ISBLANK(Design!$B$43),Constants!$C$6,Design!$B$43)/1000*(1+Constants!$C$36/100*(N77-25)))/($B77+D77-C77*O77/1000)&gt;Design!$B$36,   (1-Constants!$D$20/1000000000*IF(ISBLANK(Design!$B$33),Design!$B$32/4,Design!$B$33/4)*1000000) * ($B77+D77-C77*O77/1000) - (D77+C77*(1+($A77-25)*Constants!$C$36/100)*IF(ISBLANK(Design!$B$43),Constants!$C$6/1000,Design!$B$43/1000)),  (1-Constants!$D$20/1000000000*IF(ISBLANK(Design!$B$33),Design!$B$32,Design!$B$33)*1000000) * ($B77+D77-C77*O77/1000) - (D77+C77*(1+($A77-25)*Constants!$C$36/100)*IF(ISBLANK(Design!$B$43),Constants!$C$6/1000,Design!$B$43/1000)))</f>
        <v>4.6717867908002217</v>
      </c>
      <c r="Q77" s="115">
        <f ca="1">IF(P77&gt;Design!$C$29,Design!$C$29,P77)</f>
        <v>4.6717867908002217</v>
      </c>
      <c r="R77" s="116">
        <f>2*Design!$D$7/3</f>
        <v>1.3333333333333333</v>
      </c>
      <c r="S77" s="116">
        <f ca="1">FORECAST(R77, OFFSET(Design!$C$15:$C$17,MATCH(R77,Design!$B$15:$B$17,1)-1,0,2), OFFSET(Design!$B$15:$B$17,MATCH(R77,Design!$B$15:$B$17,1)-1,0,2))+(AB77-25)*Design!$B$18/1000</f>
        <v>0.35639242487200101</v>
      </c>
      <c r="T77" s="182">
        <f ca="1">IF(100*(Design!$C$29+S77+R77*IF(ISBLANK(Design!$B$43),Constants!$C$6,Design!$B$43)/1000*(1+Constants!$C$36/100*(AC77-25)))/($B77+S77-R77*AD77/1000)&gt;Design!$B$36,Design!$B$37,100*(Design!$C$29+S77+R77*IF(ISBLANK(Design!$B$43),Constants!$C$6,Design!$B$43)/1000*(1+Constants!$C$36/100*(AC77-25)))/($B77+S77-R77*AD77/1000))</f>
        <v>93.174999999999997</v>
      </c>
      <c r="U77" s="117">
        <f ca="1">IF(($B77-R77*IF(ISBLANK(Design!$B$43),Constants!$C$6,Design!$B$43)/1000*(1+Constants!$C$36/100*(AC77-25))-Design!$C$29)/(IF(ISBLANK(Design!$B$42),Design!$B$40,Design!$B$42)/1000000)*T77/100/(IF(ISBLANK(Design!$B$33),Design!$B$32,Design!$B$33)*1000000)&lt;0,0,($B77-R77*IF(ISBLANK(Design!$B$43),Constants!$C$6,Design!$B$43)/1000*(1+Constants!$C$36/100*(AC77-25))-Design!$C$29)/(IF(ISBLANK(Design!$B$42),Design!$B$40,Design!$B$42)/1000000)*T77/100/(IF(ISBLANK(Design!$B$33),Design!$B$32,Design!$B$33)*1000000))</f>
        <v>6.472912862571259E-2</v>
      </c>
      <c r="V77" s="183">
        <f>$B77*Constants!$C$21/1000+IF(ISBLANK(Design!$B$33),Design!$B$32,Design!$B$33)*1000000*Constants!$D$25/1000000000*($B77-Constants!$C$24)</f>
        <v>2.4157499999999985E-2</v>
      </c>
      <c r="W77" s="183">
        <f>$B77*R77*($B77/(Constants!$C$26*1000000000)*IF(ISBLANK(Design!$B$33),Design!$B$32,Design!$B$33)*1000000/2+$B77/(Constants!$C$27*1000000000)*IF(ISBLANK(Design!$B$33),Design!$B$32,Design!$B$33)*1000000/2)</f>
        <v>0.10698828767123283</v>
      </c>
      <c r="X77" s="183">
        <f t="shared" ca="1" si="14"/>
        <v>0.30955667397637471</v>
      </c>
      <c r="Y77" s="183">
        <f>Constants!$D$25/1000000000*Constants!$C$24*IF(ISBLANK(Design!$B$33),Design!$B$32,Design!$B$33)*1000000</f>
        <v>6.8250000000000005E-2</v>
      </c>
      <c r="Z77" s="183">
        <f t="shared" ca="1" si="23"/>
        <v>0.50895246164760755</v>
      </c>
      <c r="AA77" s="183">
        <f t="shared" ca="1" si="19"/>
        <v>3.2431710663352105E-2</v>
      </c>
      <c r="AB77" s="184">
        <f ca="1">$A77+AA77*Design!$B$19</f>
        <v>86.621585533167604</v>
      </c>
      <c r="AC77" s="184">
        <f ca="1">Z77*Design!$C$12+$A77</f>
        <v>102.30438369601866</v>
      </c>
      <c r="AD77" s="184">
        <f ca="1">Constants!$D$22+Constants!$D$22*Constants!$C$23/100*(AC77-25)</f>
        <v>186.84350695681493</v>
      </c>
      <c r="AE77" s="183">
        <f ca="1">IF(100*(Design!$C$29+S77+R77*IF(ISBLANK(Design!$B$43),Constants!$C$6,Design!$B$43)/1000*(1+Constants!$C$36/100*(AC77-25)))/($B77+S77-R77*AD77/1000)&gt;Design!$B$36,   (1-Constants!$D$20/1000000000*IF(ISBLANK(Design!$B$33),Design!$B$32/4,Design!$B$33/4)*1000000) * ($B77+S77-R77*AD77/1000) - (S77+R77*(1+($A77-25)*Constants!$C$36/100)*IF(ISBLANK(Design!$B$43),Constants!$C$6/1000,Design!$B$43/1000)),  (1-Constants!$D$20/1000000000*IF(ISBLANK(Design!$B$33),Design!$B$32,Design!$B$33)*1000000) * ($B77+S77-R77*AD77/1000) - (S77+R77*(1+($A77-25)*Constants!$C$36/100)*IF(ISBLANK(Design!$B$43),Constants!$C$6/1000,Design!$B$43/1000)))</f>
        <v>4.8488574668598021</v>
      </c>
      <c r="AF77" s="117">
        <f ca="1">IF(AE77&gt;Design!$C$29,Design!$C$29,AE77)</f>
        <v>4.8488574668598021</v>
      </c>
      <c r="AG77" s="118">
        <f>Design!$D$7/3</f>
        <v>0.66666666666666663</v>
      </c>
      <c r="AH77" s="118">
        <f ca="1">FORECAST(AG77, OFFSET(Design!$C$15:$C$17,MATCH(AG77,Design!$B$15:$B$17,1)-1,0,2), OFFSET(Design!$B$15:$B$17,MATCH(AG77,Design!$B$15:$B$17,1)-1,0,2))+(AQ77-25)*Design!$B$18/1000</f>
        <v>0.30907088107470326</v>
      </c>
      <c r="AI77" s="194">
        <f ca="1">IF(100*(Design!$C$29+AH77+AG77*IF(ISBLANK(Design!$B$43),Constants!$C$6,Design!$B$43)/1000*(1+Constants!$C$36/100*(AR77-25)))/($B77+AH77-AG77*AS77/1000)&gt;Design!$B$36,Design!$B$37,100*(Design!$C$29+AH77+AG77*IF(ISBLANK(Design!$B$43),Constants!$C$6,Design!$B$43)/1000*(1+Constants!$C$36/100*(AR77-25)))/($B77+AH77-AG77*AS77/1000))</f>
        <v>93.174999999999997</v>
      </c>
      <c r="AJ77" s="119">
        <f ca="1">IF(($B77-AG77*IF(ISBLANK(Design!$B$43),Constants!$C$6,Design!$B$43)/1000*(1+Constants!$C$36/100*(AR77-25))-Design!$C$29)/(IF(ISBLANK(Design!$B$42),Design!$B$40,Design!$B$42)/1000000)*AI77/100/(IF(ISBLANK(Design!$B$33),Design!$B$32,Design!$B$33)*1000000)&lt;0,0,($B77-AG77*IF(ISBLANK(Design!$B$43),Constants!$C$6,Design!$B$43)/1000*(1+Constants!$C$36/100*(AR77-25))-Design!$C$29)/(IF(ISBLANK(Design!$B$42),Design!$B$40,Design!$B$42)/1000000)*AI77/100/(IF(ISBLANK(Design!$B$33),Design!$B$32,Design!$B$33)*1000000))</f>
        <v>6.9542154366741007E-2</v>
      </c>
      <c r="AK77" s="195">
        <f>$B77*Constants!$C$21/1000+IF(ISBLANK(Design!$B$33),Design!$B$32,Design!$B$33)*1000000*Constants!$D$25/1000000000*($B77-Constants!$C$24)</f>
        <v>2.4157499999999985E-2</v>
      </c>
      <c r="AL77" s="195">
        <f>$B77*AG77*($B77/(Constants!$C$26*1000000000)*IF(ISBLANK(Design!$B$33),Design!$B$32,Design!$B$33)*1000000/2+$B77/(Constants!$C$27*1000000000)*IF(ISBLANK(Design!$B$33),Design!$B$32,Design!$B$33)*1000000/2)</f>
        <v>5.3494143835616417E-2</v>
      </c>
      <c r="AM77" s="195">
        <f t="shared" ca="1" si="15"/>
        <v>7.4187477050871989E-2</v>
      </c>
      <c r="AN77" s="195">
        <f>Constants!$D$25/1000000000*Constants!$C$24*IF(ISBLANK(Design!$B$33),Design!$B$32,Design!$B$33)*1000000</f>
        <v>6.8250000000000005E-2</v>
      </c>
      <c r="AO77" s="195">
        <f t="shared" ca="1" si="24"/>
        <v>0.22008912088648838</v>
      </c>
      <c r="AP77" s="195">
        <f t="shared" ca="1" si="21"/>
        <v>1.4062725088899006E-2</v>
      </c>
      <c r="AQ77" s="196">
        <f ca="1">$A77+AP77*Design!$B$19</f>
        <v>85.703136254444956</v>
      </c>
      <c r="AR77" s="196">
        <f ca="1">AO77*Design!$C$12+$A77</f>
        <v>92.483030110140604</v>
      </c>
      <c r="AS77" s="196">
        <f ca="1">Constants!$D$22+Constants!$D$22*Constants!$C$23/100*(AR77-25)</f>
        <v>178.98642408811247</v>
      </c>
      <c r="AT77" s="195">
        <f ca="1">IF(100*(Design!$C$29+AH77+AG77*IF(ISBLANK(Design!$B$43),Constants!$C$6,Design!$B$43)/1000*(1+Constants!$C$36/100*(AR77-25)))/($B77+AH77-AG77*AS77/1000)&gt;Design!$B$36,   (1-Constants!$D$20/1000000000*IF(ISBLANK(Design!$B$33),Design!$B$32/4,Design!$B$33/4)*1000000) * ($B77+AH77-AG77*AS77/1000) - (AH77+AG77*(1+($A77-25)*Constants!$C$36/100)*IF(ISBLANK(Design!$B$43),Constants!$C$6/1000,Design!$B$43/1000)),  (1-Constants!$D$20/1000000000*IF(ISBLANK(Design!$B$33),Design!$B$32,Design!$B$33)*1000000) * ($B77+AH77-AG77*AS77/1000) - (AH77+AG77*(1+($A77-25)*Constants!$C$36/100)*IF(ISBLANK(Design!$B$43),Constants!$C$6/1000,Design!$B$43/1000)))</f>
        <v>5.0059833452705842</v>
      </c>
      <c r="AU77" s="119">
        <f ca="1">IF(AT77&gt;Design!$C$29,Design!$C$29,AT77)</f>
        <v>4.99903317535545</v>
      </c>
    </row>
    <row r="78" spans="1:47" ht="12.75" customHeight="1" x14ac:dyDescent="0.3">
      <c r="A78" s="112">
        <f>Design!$D$13</f>
        <v>85</v>
      </c>
      <c r="B78" s="113">
        <f t="shared" si="12"/>
        <v>5.3349999999999991</v>
      </c>
      <c r="C78" s="114">
        <f>Design!$D$7</f>
        <v>2</v>
      </c>
      <c r="D78" s="114">
        <f ca="1">FORECAST(C78, OFFSET(Design!$C$15:$C$17,MATCH(C78,Design!$B$15:$B$17,1)-1,0,2), OFFSET(Design!$B$15:$B$17,MATCH(C78,Design!$B$15:$B$17,1)-1,0,2))+(M78-25)*Design!$B$18/1000</f>
        <v>0.40352136998486798</v>
      </c>
      <c r="E78" s="173">
        <f ca="1">IF(100*(Design!$C$29+D78+C78*IF(ISBLANK(Design!$B$43),Constants!$C$6,Design!$B$43)/1000*(1+Constants!$C$36/100*(N78-25)))/($B78+D78-C78*O78/1000)&gt;Design!$B$36,Design!$B$37,100*(Design!$C$29+D78+C78*IF(ISBLANK(Design!$B$43),Constants!$C$6,Design!$B$43)/1000*(1+Constants!$C$36/100*(N78-25)))/($B78+D78-C78*O78/1000))</f>
        <v>93.174999999999997</v>
      </c>
      <c r="F78" s="115">
        <f ca="1">IF(($B78-C78*IF(ISBLANK(Design!$B$43),Constants!$C$6,Design!$B$43)/1000*(1+Constants!$C$36/100*(N78-25))-Design!$C$29)/(IF(ISBLANK(Design!$B$42),Design!$B$40,Design!$B$42)/1000000)*E78/100/(IF(ISBLANK(Design!$B$33),Design!$B$32,Design!$B$33)*1000000)&lt;0,0,($B78-C78*IF(ISBLANK(Design!$B$43),Constants!$C$6,Design!$B$43)/1000*(1+Constants!$C$36/100*(N78-25))-Design!$C$29)/(IF(ISBLANK(Design!$B$42),Design!$B$40,Design!$B$42)/1000000)*E78/100/(IF(ISBLANK(Design!$B$33),Design!$B$32,Design!$B$33)*1000000))</f>
        <v>3.0468379975531333E-2</v>
      </c>
      <c r="G78" s="165">
        <f>B78*Constants!$C$21/1000+IF(ISBLANK(Design!$B$33),Design!$B$32,Design!$B$33)*1000000*Constants!$D$25/1000000000*(B78-Constants!$C$24)</f>
        <v>2.0577749999999981E-2</v>
      </c>
      <c r="H78" s="165">
        <f>B78*C78*(B78/(Constants!$C$26*1000000000)*IF(ISBLANK(Design!$B$33),Design!$B$32,Design!$B$33)*1000000/2+B78/(Constants!$C$27*1000000000)*IF(ISBLANK(Design!$B$33),Design!$B$32,Design!$B$33)*1000000/2)</f>
        <v>0.14828949189497712</v>
      </c>
      <c r="I78" s="165">
        <f t="shared" ca="1" si="13"/>
        <v>0.74427326811873551</v>
      </c>
      <c r="J78" s="165">
        <f>Constants!$D$25/1000000000*Constants!$C$24*IF(ISBLANK(Design!$B$33),Design!$B$32,Design!$B$33)*1000000</f>
        <v>6.8250000000000005E-2</v>
      </c>
      <c r="K78" s="165">
        <f t="shared" ca="1" si="22"/>
        <v>0.98139051001371269</v>
      </c>
      <c r="L78" s="165">
        <f t="shared" ca="1" si="17"/>
        <v>5.5080667002934507E-2</v>
      </c>
      <c r="M78" s="166">
        <f ca="1">$A78+L78*Design!$B$19</f>
        <v>87.754033350146727</v>
      </c>
      <c r="N78" s="166">
        <f ca="1">K78*Design!$C$12+A78</f>
        <v>118.36727734046623</v>
      </c>
      <c r="O78" s="166">
        <f ca="1">Constants!$D$22+Constants!$D$22*Constants!$C$23/100*(N78-25)</f>
        <v>199.69382187237301</v>
      </c>
      <c r="P78" s="165">
        <f ca="1">IF(100*(Design!$C$29+D78+C78*IF(ISBLANK(Design!$B$43),Constants!$C$6,Design!$B$43)/1000*(1+Constants!$C$36/100*(N78-25)))/($B78+D78-C78*O78/1000)&gt;Design!$B$36,   (1-Constants!$D$20/1000000000*IF(ISBLANK(Design!$B$33),Design!$B$32/4,Design!$B$33/4)*1000000) * ($B78+D78-C78*O78/1000) - (D78+C78*(1+($A78-25)*Constants!$C$36/100)*IF(ISBLANK(Design!$B$43),Constants!$C$6/1000,Design!$B$43/1000)),  (1-Constants!$D$20/1000000000*IF(ISBLANK(Design!$B$33),Design!$B$32,Design!$B$33)*1000000) * ($B78+D78-C78*O78/1000) - (D78+C78*(1+($A78-25)*Constants!$C$36/100)*IF(ISBLANK(Design!$B$43),Constants!$C$6/1000,Design!$B$43/1000)))</f>
        <v>4.4723524794393645</v>
      </c>
      <c r="Q78" s="115">
        <f ca="1">IF(P78&gt;Design!$C$29,Design!$C$29,P78)</f>
        <v>4.4723524794393645</v>
      </c>
      <c r="R78" s="116">
        <f>2*Design!$D$7/3</f>
        <v>1.3333333333333333</v>
      </c>
      <c r="S78" s="116">
        <f ca="1">FORECAST(R78, OFFSET(Design!$C$15:$C$17,MATCH(R78,Design!$B$15:$B$17,1)-1,0,2), OFFSET(Design!$B$15:$B$17,MATCH(R78,Design!$B$15:$B$17,1)-1,0,2))+(AB78-25)*Design!$B$18/1000</f>
        <v>0.35639242487200101</v>
      </c>
      <c r="T78" s="182">
        <f ca="1">IF(100*(Design!$C$29+S78+R78*IF(ISBLANK(Design!$B$43),Constants!$C$6,Design!$B$43)/1000*(1+Constants!$C$36/100*(AC78-25)))/($B78+S78-R78*AD78/1000)&gt;Design!$B$36,Design!$B$37,100*(Design!$C$29+S78+R78*IF(ISBLANK(Design!$B$43),Constants!$C$6,Design!$B$43)/1000*(1+Constants!$C$36/100*(AC78-25)))/($B78+S78-R78*AD78/1000))</f>
        <v>93.174999999999997</v>
      </c>
      <c r="U78" s="117">
        <f ca="1">IF(($B78-R78*IF(ISBLANK(Design!$B$43),Constants!$C$6,Design!$B$43)/1000*(1+Constants!$C$36/100*(AC78-25))-Design!$C$29)/(IF(ISBLANK(Design!$B$42),Design!$B$40,Design!$B$42)/1000000)*T78/100/(IF(ISBLANK(Design!$B$33),Design!$B$32,Design!$B$33)*1000000)&lt;0,0,($B78-R78*IF(ISBLANK(Design!$B$43),Constants!$C$6,Design!$B$43)/1000*(1+Constants!$C$36/100*(AC78-25))-Design!$C$29)/(IF(ISBLANK(Design!$B$42),Design!$B$40,Design!$B$42)/1000000)*T78/100/(IF(ISBLANK(Design!$B$33),Design!$B$32,Design!$B$33)*1000000))</f>
        <v>3.5833811928173975E-2</v>
      </c>
      <c r="V78" s="183">
        <f>$B78*Constants!$C$21/1000+IF(ISBLANK(Design!$B$33),Design!$B$32,Design!$B$33)*1000000*Constants!$D$25/1000000000*($B78-Constants!$C$24)</f>
        <v>2.0577749999999981E-2</v>
      </c>
      <c r="W78" s="183">
        <f>$B78*R78*($B78/(Constants!$C$26*1000000000)*IF(ISBLANK(Design!$B$33),Design!$B$32,Design!$B$33)*1000000/2+$B78/(Constants!$C$27*1000000000)*IF(ISBLANK(Design!$B$33),Design!$B$32,Design!$B$33)*1000000/2)</f>
        <v>9.8859661263318077E-2</v>
      </c>
      <c r="X78" s="183">
        <f t="shared" ca="1" si="14"/>
        <v>0.30896008041710776</v>
      </c>
      <c r="Y78" s="183">
        <f>Constants!$D$25/1000000000*Constants!$C$24*IF(ISBLANK(Design!$B$33),Design!$B$32,Design!$B$33)*1000000</f>
        <v>6.8250000000000005E-2</v>
      </c>
      <c r="Z78" s="183">
        <f t="shared" ca="1" si="23"/>
        <v>0.49664749168042588</v>
      </c>
      <c r="AA78" s="183">
        <f t="shared" ca="1" si="19"/>
        <v>3.2431710663352105E-2</v>
      </c>
      <c r="AB78" s="184">
        <f ca="1">$A78+AA78*Design!$B$19</f>
        <v>86.621585533167604</v>
      </c>
      <c r="AC78" s="184">
        <f ca="1">Z78*Design!$C$12+$A78</f>
        <v>101.88601471713449</v>
      </c>
      <c r="AD78" s="184">
        <f ca="1">Constants!$D$22+Constants!$D$22*Constants!$C$23/100*(AC78-25)</f>
        <v>186.50881177370758</v>
      </c>
      <c r="AE78" s="183">
        <f ca="1">IF(100*(Design!$C$29+S78+R78*IF(ISBLANK(Design!$B$43),Constants!$C$6,Design!$B$43)/1000*(1+Constants!$C$36/100*(AC78-25)))/($B78+S78-R78*AD78/1000)&gt;Design!$B$36,   (1-Constants!$D$20/1000000000*IF(ISBLANK(Design!$B$33),Design!$B$32/4,Design!$B$33/4)*1000000) * ($B78+S78-R78*AD78/1000) - (S78+R78*(1+($A78-25)*Constants!$C$36/100)*IF(ISBLANK(Design!$B$43),Constants!$C$6/1000,Design!$B$43/1000)),  (1-Constants!$D$20/1000000000*IF(ISBLANK(Design!$B$33),Design!$B$32,Design!$B$33)*1000000) * ($B78+S78-R78*AD78/1000) - (S78+R78*(1+($A78-25)*Constants!$C$36/100)*IF(ISBLANK(Design!$B$43),Constants!$C$6/1000,Design!$B$43/1000)))</f>
        <v>4.6489470198422831</v>
      </c>
      <c r="AF78" s="117">
        <f ca="1">IF(AE78&gt;Design!$C$29,Design!$C$29,AE78)</f>
        <v>4.6489470198422831</v>
      </c>
      <c r="AG78" s="118">
        <f>Design!$D$7/3</f>
        <v>0.66666666666666663</v>
      </c>
      <c r="AH78" s="118">
        <f ca="1">FORECAST(AG78, OFFSET(Design!$C$15:$C$17,MATCH(AG78,Design!$B$15:$B$17,1)-1,0,2), OFFSET(Design!$B$15:$B$17,MATCH(AG78,Design!$B$15:$B$17,1)-1,0,2))+(AQ78-25)*Design!$B$18/1000</f>
        <v>0.30907088107470326</v>
      </c>
      <c r="AI78" s="194">
        <f ca="1">IF(100*(Design!$C$29+AH78+AG78*IF(ISBLANK(Design!$B$43),Constants!$C$6,Design!$B$43)/1000*(1+Constants!$C$36/100*(AR78-25)))/($B78+AH78-AG78*AS78/1000)&gt;Design!$B$36,Design!$B$37,100*(Design!$C$29+AH78+AG78*IF(ISBLANK(Design!$B$43),Constants!$C$6,Design!$B$43)/1000*(1+Constants!$C$36/100*(AR78-25)))/($B78+AH78-AG78*AS78/1000))</f>
        <v>93.174999999999997</v>
      </c>
      <c r="AJ78" s="119">
        <f ca="1">IF(($B78-AG78*IF(ISBLANK(Design!$B$43),Constants!$C$6,Design!$B$43)/1000*(1+Constants!$C$36/100*(AR78-25))-Design!$C$29)/(IF(ISBLANK(Design!$B$42),Design!$B$40,Design!$B$42)/1000000)*AI78/100/(IF(ISBLANK(Design!$B$33),Design!$B$32,Design!$B$33)*1000000)&lt;0,0,($B78-AG78*IF(ISBLANK(Design!$B$43),Constants!$C$6,Design!$B$43)/1000*(1+Constants!$C$36/100*(AR78-25))-Design!$C$29)/(IF(ISBLANK(Design!$B$42),Design!$B$40,Design!$B$42)/1000000)*AI78/100/(IF(ISBLANK(Design!$B$33),Design!$B$32,Design!$B$33)*1000000))</f>
        <v>4.0638772865324128E-2</v>
      </c>
      <c r="AK78" s="195">
        <f>$B78*Constants!$C$21/1000+IF(ISBLANK(Design!$B$33),Design!$B$32,Design!$B$33)*1000000*Constants!$D$25/1000000000*($B78-Constants!$C$24)</f>
        <v>2.0577749999999981E-2</v>
      </c>
      <c r="AL78" s="195">
        <f>$B78*AG78*($B78/(Constants!$C$26*1000000000)*IF(ISBLANK(Design!$B$33),Design!$B$32,Design!$B$33)*1000000/2+$B78/(Constants!$C$27*1000000000)*IF(ISBLANK(Design!$B$33),Design!$B$32,Design!$B$33)*1000000/2)</f>
        <v>4.9429830631659039E-2</v>
      </c>
      <c r="AM78" s="195">
        <f t="shared" ca="1" si="15"/>
        <v>7.4055605019830606E-2</v>
      </c>
      <c r="AN78" s="195">
        <f>Constants!$D$25/1000000000*Constants!$C$24*IF(ISBLANK(Design!$B$33),Design!$B$32,Design!$B$33)*1000000</f>
        <v>6.8250000000000005E-2</v>
      </c>
      <c r="AO78" s="195">
        <f t="shared" ca="1" si="24"/>
        <v>0.21231318565148963</v>
      </c>
      <c r="AP78" s="195">
        <f t="shared" ca="1" si="21"/>
        <v>1.4062725088899006E-2</v>
      </c>
      <c r="AQ78" s="196">
        <f ca="1">$A78+AP78*Design!$B$19</f>
        <v>85.703136254444956</v>
      </c>
      <c r="AR78" s="196">
        <f ca="1">AO78*Design!$C$12+$A78</f>
        <v>92.218648312150648</v>
      </c>
      <c r="AS78" s="196">
        <f ca="1">Constants!$D$22+Constants!$D$22*Constants!$C$23/100*(AR78-25)</f>
        <v>178.77491864972052</v>
      </c>
      <c r="AT78" s="195">
        <f ca="1">IF(100*(Design!$C$29+AH78+AG78*IF(ISBLANK(Design!$B$43),Constants!$C$6,Design!$B$43)/1000*(1+Constants!$C$36/100*(AR78-25)))/($B78+AH78-AG78*AS78/1000)&gt;Design!$B$36,   (1-Constants!$D$20/1000000000*IF(ISBLANK(Design!$B$33),Design!$B$32/4,Design!$B$33/4)*1000000) * ($B78+AH78-AG78*AS78/1000) - (AH78+AG78*(1+($A78-25)*Constants!$C$36/100)*IF(ISBLANK(Design!$B$43),Constants!$C$6/1000,Design!$B$43/1000)),  (1-Constants!$D$20/1000000000*IF(ISBLANK(Design!$B$33),Design!$B$32,Design!$B$33)*1000000) * ($B78+AH78-AG78*AS78/1000) - (AH78+AG78*(1+($A78-25)*Constants!$C$36/100)*IF(ISBLANK(Design!$B$43),Constants!$C$6/1000,Design!$B$43/1000)))</f>
        <v>4.8057884753987317</v>
      </c>
      <c r="AU78" s="119">
        <f ca="1">IF(AT78&gt;Design!$C$29,Design!$C$29,AT78)</f>
        <v>4.8057884753987317</v>
      </c>
    </row>
    <row r="79" spans="1:47" ht="12.75" customHeight="1" x14ac:dyDescent="0.3">
      <c r="A79" s="112">
        <f>Design!$D$13</f>
        <v>85</v>
      </c>
      <c r="B79" s="113">
        <f t="shared" si="12"/>
        <v>5.1199999999999992</v>
      </c>
      <c r="C79" s="114">
        <f>Design!$D$7</f>
        <v>2</v>
      </c>
      <c r="D79" s="114">
        <f ca="1">FORECAST(C79, OFFSET(Design!$C$15:$C$17,MATCH(C79,Design!$B$15:$B$17,1)-1,0,2), OFFSET(Design!$B$15:$B$17,MATCH(C79,Design!$B$15:$B$17,1)-1,0,2))+(M79-25)*Design!$B$18/1000</f>
        <v>0.40352136998486798</v>
      </c>
      <c r="E79" s="173">
        <f ca="1">IF(100*(Design!$C$29+D79+C79*IF(ISBLANK(Design!$B$43),Constants!$C$6,Design!$B$43)/1000*(1+Constants!$C$36/100*(N79-25)))/($B79+D79-C79*O79/1000)&gt;Design!$B$36,Design!$B$37,100*(Design!$C$29+D79+C79*IF(ISBLANK(Design!$B$43),Constants!$C$6,Design!$B$43)/1000*(1+Constants!$C$36/100*(N79-25)))/($B79+D79-C79*O79/1000))</f>
        <v>93.174999999999997</v>
      </c>
      <c r="F79" s="115">
        <f ca="1">IF(($B79-C79*IF(ISBLANK(Design!$B$43),Constants!$C$6,Design!$B$43)/1000*(1+Constants!$C$36/100*(N79-25))-Design!$C$29)/(IF(ISBLANK(Design!$B$42),Design!$B$40,Design!$B$42)/1000000)*E79/100/(IF(ISBLANK(Design!$B$33),Design!$B$32,Design!$B$33)*1000000)&lt;0,0,($B79-C79*IF(ISBLANK(Design!$B$43),Constants!$C$6,Design!$B$43)/1000*(1+Constants!$C$36/100*(N79-25))-Design!$C$29)/(IF(ISBLANK(Design!$B$42),Design!$B$40,Design!$B$42)/1000000)*E79/100/(IF(ISBLANK(Design!$B$33),Design!$B$32,Design!$B$33)*1000000))</f>
        <v>1.5857521463730434E-3</v>
      </c>
      <c r="G79" s="165">
        <f>B79*Constants!$C$21/1000+IF(ISBLANK(Design!$B$33),Design!$B$32,Design!$B$33)*1000000*Constants!$D$25/1000000000*(B79-Constants!$C$24)</f>
        <v>1.6997999999999985E-2</v>
      </c>
      <c r="H79" s="165">
        <f>B79*C79*(B79/(Constants!$C$26*1000000000)*IF(ISBLANK(Design!$B$33),Design!$B$32,Design!$B$33)*1000000/2+B79/(Constants!$C$27*1000000000)*IF(ISBLANK(Design!$B$33),Design!$B$32,Design!$B$33)*1000000/2)</f>
        <v>0.13657822100456618</v>
      </c>
      <c r="I79" s="165">
        <f t="shared" ca="1" si="13"/>
        <v>0.74253230595496855</v>
      </c>
      <c r="J79" s="165">
        <f>Constants!$D$25/1000000000*Constants!$C$24*IF(ISBLANK(Design!$B$33),Design!$B$32,Design!$B$33)*1000000</f>
        <v>6.8250000000000005E-2</v>
      </c>
      <c r="K79" s="165">
        <f t="shared" ca="1" si="22"/>
        <v>0.96435852695953472</v>
      </c>
      <c r="L79" s="165">
        <f t="shared" ca="1" si="17"/>
        <v>5.5080667002934507E-2</v>
      </c>
      <c r="M79" s="166">
        <f ca="1">$A79+L79*Design!$B$19</f>
        <v>87.754033350146727</v>
      </c>
      <c r="N79" s="166">
        <f ca="1">K79*Design!$C$12+A79</f>
        <v>117.78818991662419</v>
      </c>
      <c r="O79" s="166">
        <f ca="1">Constants!$D$22+Constants!$D$22*Constants!$C$23/100*(N79-25)</f>
        <v>199.23055193329935</v>
      </c>
      <c r="P79" s="165">
        <f ca="1">IF(100*(Design!$C$29+D79+C79*IF(ISBLANK(Design!$B$43),Constants!$C$6,Design!$B$43)/1000*(1+Constants!$C$36/100*(N79-25)))/($B79+D79-C79*O79/1000)&gt;Design!$B$36,   (1-Constants!$D$20/1000000000*IF(ISBLANK(Design!$B$33),Design!$B$32/4,Design!$B$33/4)*1000000) * ($B79+D79-C79*O79/1000) - (D79+C79*(1+($A79-25)*Constants!$C$36/100)*IF(ISBLANK(Design!$B$43),Constants!$C$6/1000,Design!$B$43/1000)),  (1-Constants!$D$20/1000000000*IF(ISBLANK(Design!$B$33),Design!$B$32,Design!$B$33)*1000000) * ($B79+D79-C79*O79/1000) - (D79+C79*(1+($A79-25)*Constants!$C$36/100)*IF(ISBLANK(Design!$B$43),Constants!$C$6/1000,Design!$B$43/1000)))</f>
        <v>4.2728895329708285</v>
      </c>
      <c r="Q79" s="115">
        <f ca="1">IF(P79&gt;Design!$C$29,Design!$C$29,P79)</f>
        <v>4.2728895329708285</v>
      </c>
      <c r="R79" s="116">
        <f>2*Design!$D$7/3</f>
        <v>1.3333333333333333</v>
      </c>
      <c r="S79" s="116">
        <f ca="1">FORECAST(R79, OFFSET(Design!$C$15:$C$17,MATCH(R79,Design!$B$15:$B$17,1)-1,0,2), OFFSET(Design!$B$15:$B$17,MATCH(R79,Design!$B$15:$B$17,1)-1,0,2))+(AB79-25)*Design!$B$18/1000</f>
        <v>0.35639242487200101</v>
      </c>
      <c r="T79" s="182">
        <f ca="1">IF(100*(Design!$C$29+S79+R79*IF(ISBLANK(Design!$B$43),Constants!$C$6,Design!$B$43)/1000*(1+Constants!$C$36/100*(AC79-25)))/($B79+S79-R79*AD79/1000)&gt;Design!$B$36,Design!$B$37,100*(Design!$C$29+S79+R79*IF(ISBLANK(Design!$B$43),Constants!$C$6,Design!$B$43)/1000*(1+Constants!$C$36/100*(AC79-25)))/($B79+S79-R79*AD79/1000))</f>
        <v>93.174999999999997</v>
      </c>
      <c r="U79" s="117">
        <f ca="1">IF(($B79-R79*IF(ISBLANK(Design!$B$43),Constants!$C$6,Design!$B$43)/1000*(1+Constants!$C$36/100*(AC79-25))-Design!$C$29)/(IF(ISBLANK(Design!$B$42),Design!$B$40,Design!$B$42)/1000000)*T79/100/(IF(ISBLANK(Design!$B$33),Design!$B$32,Design!$B$33)*1000000)&lt;0,0,($B79-R79*IF(ISBLANK(Design!$B$43),Constants!$C$6,Design!$B$43)/1000*(1+Constants!$C$36/100*(AC79-25))-Design!$C$29)/(IF(ISBLANK(Design!$B$42),Design!$B$40,Design!$B$42)/1000000)*T79/100/(IF(ISBLANK(Design!$B$33),Design!$B$32,Design!$B$33)*1000000))</f>
        <v>6.9381486663541748E-3</v>
      </c>
      <c r="V79" s="183">
        <f>$B79*Constants!$C$21/1000+IF(ISBLANK(Design!$B$33),Design!$B$32,Design!$B$33)*1000000*Constants!$D$25/1000000000*($B79-Constants!$C$24)</f>
        <v>1.6997999999999985E-2</v>
      </c>
      <c r="W79" s="183">
        <f>$B79*R79*($B79/(Constants!$C$26*1000000000)*IF(ISBLANK(Design!$B$33),Design!$B$32,Design!$B$33)*1000000/2+$B79/(Constants!$C$27*1000000000)*IF(ISBLANK(Design!$B$33),Design!$B$32,Design!$B$33)*1000000/2)</f>
        <v>9.1052147336377454E-2</v>
      </c>
      <c r="X79" s="183">
        <f t="shared" ca="1" si="14"/>
        <v>0.30840407348489329</v>
      </c>
      <c r="Y79" s="183">
        <f>Constants!$D$25/1000000000*Constants!$C$24*IF(ISBLANK(Design!$B$33),Design!$B$32,Design!$B$33)*1000000</f>
        <v>6.8250000000000005E-2</v>
      </c>
      <c r="Z79" s="183">
        <f t="shared" ca="1" si="23"/>
        <v>0.48470422082127074</v>
      </c>
      <c r="AA79" s="183">
        <f t="shared" ca="1" si="19"/>
        <v>3.2431710663352105E-2</v>
      </c>
      <c r="AB79" s="184">
        <f ca="1">$A79+AA79*Design!$B$19</f>
        <v>86.621585533167604</v>
      </c>
      <c r="AC79" s="184">
        <f ca="1">Z79*Design!$C$12+$A79</f>
        <v>101.47994350792321</v>
      </c>
      <c r="AD79" s="184">
        <f ca="1">Constants!$D$22+Constants!$D$22*Constants!$C$23/100*(AC79-25)</f>
        <v>186.18395480633856</v>
      </c>
      <c r="AE79" s="183">
        <f ca="1">IF(100*(Design!$C$29+S79+R79*IF(ISBLANK(Design!$B$43),Constants!$C$6,Design!$B$43)/1000*(1+Constants!$C$36/100*(AC79-25)))/($B79+S79-R79*AD79/1000)&gt;Design!$B$36,   (1-Constants!$D$20/1000000000*IF(ISBLANK(Design!$B$33),Design!$B$32/4,Design!$B$33/4)*1000000) * ($B79+S79-R79*AD79/1000) - (S79+R79*(1+($A79-25)*Constants!$C$36/100)*IF(ISBLANK(Design!$B$43),Constants!$C$6/1000,Design!$B$43/1000)),  (1-Constants!$D$20/1000000000*IF(ISBLANK(Design!$B$33),Design!$B$32,Design!$B$33)*1000000) * ($B79+S79-R79*AD79/1000) - (S79+R79*(1+($A79-25)*Constants!$C$36/100)*IF(ISBLANK(Design!$B$43),Constants!$C$6/1000,Design!$B$43/1000)))</f>
        <v>4.4490243504814107</v>
      </c>
      <c r="AF79" s="117">
        <f ca="1">IF(AE79&gt;Design!$C$29,Design!$C$29,AE79)</f>
        <v>4.4490243504814107</v>
      </c>
      <c r="AG79" s="118">
        <f>Design!$D$7/3</f>
        <v>0.66666666666666663</v>
      </c>
      <c r="AH79" s="118">
        <f ca="1">FORECAST(AG79, OFFSET(Design!$C$15:$C$17,MATCH(AG79,Design!$B$15:$B$17,1)-1,0,2), OFFSET(Design!$B$15:$B$17,MATCH(AG79,Design!$B$15:$B$17,1)-1,0,2))+(AQ79-25)*Design!$B$18/1000</f>
        <v>0.30907088107470326</v>
      </c>
      <c r="AI79" s="194">
        <f ca="1">IF(100*(Design!$C$29+AH79+AG79*IF(ISBLANK(Design!$B$43),Constants!$C$6,Design!$B$43)/1000*(1+Constants!$C$36/100*(AR79-25)))/($B79+AH79-AG79*AS79/1000)&gt;Design!$B$36,Design!$B$37,100*(Design!$C$29+AH79+AG79*IF(ISBLANK(Design!$B$43),Constants!$C$6,Design!$B$43)/1000*(1+Constants!$C$36/100*(AR79-25)))/($B79+AH79-AG79*AS79/1000))</f>
        <v>93.174999999999997</v>
      </c>
      <c r="AJ79" s="119">
        <f ca="1">IF(($B79-AG79*IF(ISBLANK(Design!$B$43),Constants!$C$6,Design!$B$43)/1000*(1+Constants!$C$36/100*(AR79-25))-Design!$C$29)/(IF(ISBLANK(Design!$B$42),Design!$B$40,Design!$B$42)/1000000)*AI79/100/(IF(ISBLANK(Design!$B$33),Design!$B$32,Design!$B$33)*1000000)&lt;0,0,($B79-AG79*IF(ISBLANK(Design!$B$43),Constants!$C$6,Design!$B$43)/1000*(1+Constants!$C$36/100*(AR79-25))-Design!$C$29)/(IF(ISBLANK(Design!$B$42),Design!$B$40,Design!$B$42)/1000000)*AI79/100/(IF(ISBLANK(Design!$B$33),Design!$B$32,Design!$B$33)*1000000))</f>
        <v>1.1735302293535066E-2</v>
      </c>
      <c r="AK79" s="195">
        <f>$B79*Constants!$C$21/1000+IF(ISBLANK(Design!$B$33),Design!$B$32,Design!$B$33)*1000000*Constants!$D$25/1000000000*($B79-Constants!$C$24)</f>
        <v>1.6997999999999985E-2</v>
      </c>
      <c r="AL79" s="195">
        <f>$B79*AG79*($B79/(Constants!$C$26*1000000000)*IF(ISBLANK(Design!$B$33),Design!$B$32,Design!$B$33)*1000000/2+$B79/(Constants!$C$27*1000000000)*IF(ISBLANK(Design!$B$33),Design!$B$32,Design!$B$33)*1000000/2)</f>
        <v>4.5526073668188727E-2</v>
      </c>
      <c r="AM79" s="195">
        <f t="shared" ca="1" si="15"/>
        <v>7.3949097086465104E-2</v>
      </c>
      <c r="AN79" s="195">
        <f>Constants!$D$25/1000000000*Constants!$C$24*IF(ISBLANK(Design!$B$33),Design!$B$32,Design!$B$33)*1000000</f>
        <v>6.8250000000000005E-2</v>
      </c>
      <c r="AO79" s="195">
        <f t="shared" ca="1" si="24"/>
        <v>0.20472317075465382</v>
      </c>
      <c r="AP79" s="195">
        <f t="shared" ca="1" si="21"/>
        <v>1.4062725088899006E-2</v>
      </c>
      <c r="AQ79" s="196">
        <f ca="1">$A79+AP79*Design!$B$19</f>
        <v>85.703136254444956</v>
      </c>
      <c r="AR79" s="196">
        <f ca="1">AO79*Design!$C$12+$A79</f>
        <v>91.960587805658236</v>
      </c>
      <c r="AS79" s="196">
        <f ca="1">Constants!$D$22+Constants!$D$22*Constants!$C$23/100*(AR79-25)</f>
        <v>178.56847024452659</v>
      </c>
      <c r="AT79" s="195">
        <f ca="1">IF(100*(Design!$C$29+AH79+AG79*IF(ISBLANK(Design!$B$43),Constants!$C$6,Design!$B$43)/1000*(1+Constants!$C$36/100*(AR79-25)))/($B79+AH79-AG79*AS79/1000)&gt;Design!$B$36,   (1-Constants!$D$20/1000000000*IF(ISBLANK(Design!$B$33),Design!$B$32/4,Design!$B$33/4)*1000000) * ($B79+AH79-AG79*AS79/1000) - (AH79+AG79*(1+($A79-25)*Constants!$C$36/100)*IF(ISBLANK(Design!$B$43),Constants!$C$6/1000,Design!$B$43/1000)),  (1-Constants!$D$20/1000000000*IF(ISBLANK(Design!$B$33),Design!$B$32,Design!$B$33)*1000000) * ($B79+AH79-AG79*AS79/1000) - (AH79+AG79*(1+($A79-25)*Constants!$C$36/100)*IF(ISBLANK(Design!$B$43),Constants!$C$6/1000,Design!$B$43/1000)))</f>
        <v>4.6055904642664247</v>
      </c>
      <c r="AU79" s="119">
        <f ca="1">IF(AT79&gt;Design!$C$29,Design!$C$29,AT79)</f>
        <v>4.6055904642664247</v>
      </c>
    </row>
    <row r="80" spans="1:47" ht="12.75" customHeight="1" x14ac:dyDescent="0.3">
      <c r="A80" s="112">
        <f>Design!$D$13</f>
        <v>85</v>
      </c>
      <c r="B80" s="113">
        <f t="shared" si="12"/>
        <v>4.9049999999999994</v>
      </c>
      <c r="C80" s="114">
        <f>Design!$D$7</f>
        <v>2</v>
      </c>
      <c r="D80" s="114">
        <f ca="1">FORECAST(C80, OFFSET(Design!$C$15:$C$17,MATCH(C80,Design!$B$15:$B$17,1)-1,0,2), OFFSET(Design!$B$15:$B$17,MATCH(C80,Design!$B$15:$B$17,1)-1,0,2))+(M80-25)*Design!$B$18/1000</f>
        <v>0.40352136998486798</v>
      </c>
      <c r="E80" s="173">
        <f ca="1">IF(100*(Design!$C$29+D80+C80*IF(ISBLANK(Design!$B$43),Constants!$C$6,Design!$B$43)/1000*(1+Constants!$C$36/100*(N80-25)))/($B80+D80-C80*O80/1000)&gt;Design!$B$36,Design!$B$37,100*(Design!$C$29+D80+C80*IF(ISBLANK(Design!$B$43),Constants!$C$6,Design!$B$43)/1000*(1+Constants!$C$36/100*(N80-25)))/($B80+D80-C80*O80/1000))</f>
        <v>93.174999999999997</v>
      </c>
      <c r="F80" s="115">
        <f ca="1">IF(($B80-C80*IF(ISBLANK(Design!$B$43),Constants!$C$6,Design!$B$43)/1000*(1+Constants!$C$36/100*(N80-25))-Design!$C$29)/(IF(ISBLANK(Design!$B$42),Design!$B$40,Design!$B$42)/1000000)*E80/100/(IF(ISBLANK(Design!$B$33),Design!$B$32,Design!$B$33)*1000000)&lt;0,0,($B80-C80*IF(ISBLANK(Design!$B$43),Constants!$C$6,Design!$B$43)/1000*(1+Constants!$C$36/100*(N80-25))-Design!$C$29)/(IF(ISBLANK(Design!$B$42),Design!$B$40,Design!$B$42)/1000000)*E80/100/(IF(ISBLANK(Design!$B$33),Design!$B$32,Design!$B$33)*1000000))</f>
        <v>0</v>
      </c>
      <c r="G80" s="165">
        <f>B80*Constants!$C$21/1000+IF(ISBLANK(Design!$B$33),Design!$B$32,Design!$B$33)*1000000*Constants!$D$25/1000000000*(B80-Constants!$C$24)</f>
        <v>1.3418249999999989E-2</v>
      </c>
      <c r="H80" s="165">
        <f>B80*C80*(B80/(Constants!$C$26*1000000000)*IF(ISBLANK(Design!$B$33),Design!$B$32,Design!$B$33)*1000000/2+B80/(Constants!$C$27*1000000000)*IF(ISBLANK(Design!$B$33),Design!$B$32,Design!$B$33)*1000000/2)</f>
        <v>0.1253486188356164</v>
      </c>
      <c r="I80" s="165">
        <f t="shared" ca="1" si="13"/>
        <v>0.74086161229781267</v>
      </c>
      <c r="J80" s="165">
        <f>Constants!$D$25/1000000000*Constants!$C$24*IF(ISBLANK(Design!$B$33),Design!$B$32,Design!$B$33)*1000000</f>
        <v>6.8250000000000005E-2</v>
      </c>
      <c r="K80" s="165">
        <f t="shared" ca="1" si="22"/>
        <v>0.9478784811334291</v>
      </c>
      <c r="L80" s="165">
        <f t="shared" ca="1" si="17"/>
        <v>5.5080667002934507E-2</v>
      </c>
      <c r="M80" s="166">
        <f ca="1">$A80+L80*Design!$B$19</f>
        <v>87.754033350146727</v>
      </c>
      <c r="N80" s="166">
        <f ca="1">K80*Design!$C$12+A80</f>
        <v>117.2278683585366</v>
      </c>
      <c r="O80" s="166">
        <f ca="1">Constants!$D$22+Constants!$D$22*Constants!$C$23/100*(N80-25)</f>
        <v>198.78229468682929</v>
      </c>
      <c r="P80" s="165">
        <f ca="1">IF(100*(Design!$C$29+D80+C80*IF(ISBLANK(Design!$B$43),Constants!$C$6,Design!$B$43)/1000*(1+Constants!$C$36/100*(N80-25)))/($B80+D80-C80*O80/1000)&gt;Design!$B$36,   (1-Constants!$D$20/1000000000*IF(ISBLANK(Design!$B$33),Design!$B$32/4,Design!$B$33/4)*1000000) * ($B80+D80-C80*O80/1000) - (D80+C80*(1+($A80-25)*Constants!$C$36/100)*IF(ISBLANK(Design!$B$43),Constants!$C$6/1000,Design!$B$43/1000)),  (1-Constants!$D$20/1000000000*IF(ISBLANK(Design!$B$33),Design!$B$32,Design!$B$33)*1000000) * ($B80+D80-C80*O80/1000) - (D80+C80*(1+($A80-25)*Constants!$C$36/100)*IF(ISBLANK(Design!$B$43),Constants!$C$6/1000,Design!$B$43/1000)))</f>
        <v>4.073398610349626</v>
      </c>
      <c r="Q80" s="115">
        <f ca="1">IF(P80&gt;Design!$C$29,Design!$C$29,P80)</f>
        <v>4.073398610349626</v>
      </c>
      <c r="R80" s="116">
        <f>2*Design!$D$7/3</f>
        <v>1.3333333333333333</v>
      </c>
      <c r="S80" s="116">
        <f ca="1">FORECAST(R80, OFFSET(Design!$C$15:$C$17,MATCH(R80,Design!$B$15:$B$17,1)-1,0,2), OFFSET(Design!$B$15:$B$17,MATCH(R80,Design!$B$15:$B$17,1)-1,0,2))+(AB80-25)*Design!$B$18/1000</f>
        <v>0.35639242487200101</v>
      </c>
      <c r="T80" s="182">
        <f ca="1">IF(100*(Design!$C$29+S80+R80*IF(ISBLANK(Design!$B$43),Constants!$C$6,Design!$B$43)/1000*(1+Constants!$C$36/100*(AC80-25)))/($B80+S80-R80*AD80/1000)&gt;Design!$B$36,Design!$B$37,100*(Design!$C$29+S80+R80*IF(ISBLANK(Design!$B$43),Constants!$C$6,Design!$B$43)/1000*(1+Constants!$C$36/100*(AC80-25)))/($B80+S80-R80*AD80/1000))</f>
        <v>93.174999999999997</v>
      </c>
      <c r="U80" s="117">
        <f ca="1">IF(($B80-R80*IF(ISBLANK(Design!$B$43),Constants!$C$6,Design!$B$43)/1000*(1+Constants!$C$36/100*(AC80-25))-Design!$C$29)/(IF(ISBLANK(Design!$B$42),Design!$B$40,Design!$B$42)/1000000)*T80/100/(IF(ISBLANK(Design!$B$33),Design!$B$32,Design!$B$33)*1000000)&lt;0,0,($B80-R80*IF(ISBLANK(Design!$B$43),Constants!$C$6,Design!$B$43)/1000*(1+Constants!$C$36/100*(AC80-25))-Design!$C$29)/(IF(ISBLANK(Design!$B$42),Design!$B$40,Design!$B$42)/1000000)*T80/100/(IF(ISBLANK(Design!$B$33),Design!$B$32,Design!$B$33)*1000000))</f>
        <v>0</v>
      </c>
      <c r="V80" s="183">
        <f>$B80*Constants!$C$21/1000+IF(ISBLANK(Design!$B$33),Design!$B$32,Design!$B$33)*1000000*Constants!$D$25/1000000000*($B80-Constants!$C$24)</f>
        <v>1.3418249999999989E-2</v>
      </c>
      <c r="W80" s="183">
        <f>$B80*R80*($B80/(Constants!$C$26*1000000000)*IF(ISBLANK(Design!$B$33),Design!$B$32,Design!$B$33)*1000000/2+$B80/(Constants!$C$27*1000000000)*IF(ISBLANK(Design!$B$33),Design!$B$32,Design!$B$33)*1000000/2)</f>
        <v>8.3565745890410936E-2</v>
      </c>
      <c r="X80" s="183">
        <f t="shared" ca="1" si="14"/>
        <v>0.30788123216673619</v>
      </c>
      <c r="Y80" s="183">
        <f>Constants!$D$25/1000000000*Constants!$C$24*IF(ISBLANK(Design!$B$33),Design!$B$32,Design!$B$33)*1000000</f>
        <v>6.8250000000000005E-2</v>
      </c>
      <c r="Z80" s="183">
        <f t="shared" ca="1" si="23"/>
        <v>0.47311522805714712</v>
      </c>
      <c r="AA80" s="183">
        <f t="shared" ca="1" si="19"/>
        <v>3.2431710663352105E-2</v>
      </c>
      <c r="AB80" s="184">
        <f ca="1">$A80+AA80*Design!$B$19</f>
        <v>86.621585533167604</v>
      </c>
      <c r="AC80" s="184">
        <f ca="1">Z80*Design!$C$12+$A80</f>
        <v>101.08591775394299</v>
      </c>
      <c r="AD80" s="184">
        <f ca="1">Constants!$D$22+Constants!$D$22*Constants!$C$23/100*(AC80-25)</f>
        <v>185.86873420315439</v>
      </c>
      <c r="AE80" s="183">
        <f ca="1">IF(100*(Design!$C$29+S80+R80*IF(ISBLANK(Design!$B$43),Constants!$C$6,Design!$B$43)/1000*(1+Constants!$C$36/100*(AC80-25)))/($B80+S80-R80*AD80/1000)&gt;Design!$B$36,   (1-Constants!$D$20/1000000000*IF(ISBLANK(Design!$B$33),Design!$B$32/4,Design!$B$33/4)*1000000) * ($B80+S80-R80*AD80/1000) - (S80+R80*(1+($A80-25)*Constants!$C$36/100)*IF(ISBLANK(Design!$B$43),Constants!$C$6/1000,Design!$B$43/1000)),  (1-Constants!$D$20/1000000000*IF(ISBLANK(Design!$B$33),Design!$B$32,Design!$B$33)*1000000) * ($B80+S80-R80*AD80/1000) - (S80+R80*(1+($A80-25)*Constants!$C$36/100)*IF(ISBLANK(Design!$B$43),Constants!$C$6/1000,Design!$B$43/1000)))</f>
        <v>4.2490897095440996</v>
      </c>
      <c r="AF80" s="117">
        <f ca="1">IF(AE80&gt;Design!$C$29,Design!$C$29,AE80)</f>
        <v>4.2490897095440996</v>
      </c>
      <c r="AG80" s="118">
        <f>Design!$D$7/3</f>
        <v>0.66666666666666663</v>
      </c>
      <c r="AH80" s="118">
        <f ca="1">FORECAST(AG80, OFFSET(Design!$C$15:$C$17,MATCH(AG80,Design!$B$15:$B$17,1)-1,0,2), OFFSET(Design!$B$15:$B$17,MATCH(AG80,Design!$B$15:$B$17,1)-1,0,2))+(AQ80-25)*Design!$B$18/1000</f>
        <v>0.30907088107470326</v>
      </c>
      <c r="AI80" s="194">
        <f ca="1">IF(100*(Design!$C$29+AH80+AG80*IF(ISBLANK(Design!$B$43),Constants!$C$6,Design!$B$43)/1000*(1+Constants!$C$36/100*(AR80-25)))/($B80+AH80-AG80*AS80/1000)&gt;Design!$B$36,Design!$B$37,100*(Design!$C$29+AH80+AG80*IF(ISBLANK(Design!$B$43),Constants!$C$6,Design!$B$43)/1000*(1+Constants!$C$36/100*(AR80-25)))/($B80+AH80-AG80*AS80/1000))</f>
        <v>93.174999999999997</v>
      </c>
      <c r="AJ80" s="119">
        <f ca="1">IF(($B80-AG80*IF(ISBLANK(Design!$B$43),Constants!$C$6,Design!$B$43)/1000*(1+Constants!$C$36/100*(AR80-25))-Design!$C$29)/(IF(ISBLANK(Design!$B$42),Design!$B$40,Design!$B$42)/1000000)*AI80/100/(IF(ISBLANK(Design!$B$33),Design!$B$32,Design!$B$33)*1000000)&lt;0,0,($B80-AG80*IF(ISBLANK(Design!$B$43),Constants!$C$6,Design!$B$43)/1000*(1+Constants!$C$36/100*(AR80-25))-Design!$C$29)/(IF(ISBLANK(Design!$B$42),Design!$B$40,Design!$B$42)/1000000)*AI80/100/(IF(ISBLANK(Design!$B$33),Design!$B$32,Design!$B$33)*1000000))</f>
        <v>0</v>
      </c>
      <c r="AK80" s="195">
        <f>$B80*Constants!$C$21/1000+IF(ISBLANK(Design!$B$33),Design!$B$32,Design!$B$33)*1000000*Constants!$D$25/1000000000*($B80-Constants!$C$24)</f>
        <v>1.3418249999999989E-2</v>
      </c>
      <c r="AL80" s="195">
        <f>$B80*AG80*($B80/(Constants!$C$26*1000000000)*IF(ISBLANK(Design!$B$33),Design!$B$32,Design!$B$33)*1000000/2+$B80/(Constants!$C$27*1000000000)*IF(ISBLANK(Design!$B$33),Design!$B$32,Design!$B$33)*1000000/2)</f>
        <v>4.1782872945205468E-2</v>
      </c>
      <c r="AM80" s="195">
        <f t="shared" ca="1" si="15"/>
        <v>7.386374178029205E-2</v>
      </c>
      <c r="AN80" s="195">
        <f>Constants!$D$25/1000000000*Constants!$C$24*IF(ISBLANK(Design!$B$33),Design!$B$32,Design!$B$33)*1000000</f>
        <v>6.8250000000000005E-2</v>
      </c>
      <c r="AO80" s="195">
        <f t="shared" ca="1" si="24"/>
        <v>0.1973148647254975</v>
      </c>
      <c r="AP80" s="195">
        <f t="shared" ca="1" si="21"/>
        <v>1.4062725088899006E-2</v>
      </c>
      <c r="AQ80" s="196">
        <f ca="1">$A80+AP80*Design!$B$19</f>
        <v>85.703136254444956</v>
      </c>
      <c r="AR80" s="196">
        <f ca="1">AO80*Design!$C$12+$A80</f>
        <v>91.708705400666915</v>
      </c>
      <c r="AS80" s="196">
        <f ca="1">Constants!$D$22+Constants!$D$22*Constants!$C$23/100*(AR80-25)</f>
        <v>178.36696432053353</v>
      </c>
      <c r="AT80" s="195">
        <f ca="1">IF(100*(Design!$C$29+AH80+AG80*IF(ISBLANK(Design!$B$43),Constants!$C$6,Design!$B$43)/1000*(1+Constants!$C$36/100*(AR80-25)))/($B80+AH80-AG80*AS80/1000)&gt;Design!$B$36,   (1-Constants!$D$20/1000000000*IF(ISBLANK(Design!$B$33),Design!$B$32/4,Design!$B$33/4)*1000000) * ($B80+AH80-AG80*AS80/1000) - (AH80+AG80*(1+($A80-25)*Constants!$C$36/100)*IF(ISBLANK(Design!$B$43),Constants!$C$6/1000,Design!$B$43/1000)),  (1-Constants!$D$20/1000000000*IF(ISBLANK(Design!$B$33),Design!$B$32,Design!$B$33)*1000000) * ($B80+AH80-AG80*AS80/1000) - (AH80+AG80*(1+($A80-25)*Constants!$C$36/100)*IF(ISBLANK(Design!$B$43),Constants!$C$6/1000,Design!$B$43/1000)))</f>
        <v>4.4053893830295454</v>
      </c>
      <c r="AU80" s="119">
        <f ca="1">IF(AT80&gt;Design!$C$29,Design!$C$29,AT80)</f>
        <v>4.4053893830295454</v>
      </c>
    </row>
    <row r="81" spans="1:47" ht="12.75" customHeight="1" x14ac:dyDescent="0.3">
      <c r="A81" s="112">
        <f>Design!$D$13</f>
        <v>85</v>
      </c>
      <c r="B81" s="113">
        <f t="shared" si="12"/>
        <v>4.6899999999999995</v>
      </c>
      <c r="C81" s="114">
        <f>Design!$D$7</f>
        <v>2</v>
      </c>
      <c r="D81" s="114">
        <f ca="1">FORECAST(C81, OFFSET(Design!$C$15:$C$17,MATCH(C81,Design!$B$15:$B$17,1)-1,0,2), OFFSET(Design!$B$15:$B$17,MATCH(C81,Design!$B$15:$B$17,1)-1,0,2))+(M81-25)*Design!$B$18/1000</f>
        <v>0.40352136998486798</v>
      </c>
      <c r="E81" s="173">
        <f ca="1">IF(100*(Design!$C$29+D81+C81*IF(ISBLANK(Design!$B$43),Constants!$C$6,Design!$B$43)/1000*(1+Constants!$C$36/100*(N81-25)))/($B81+D81-C81*O81/1000)&gt;Design!$B$36,Design!$B$37,100*(Design!$C$29+D81+C81*IF(ISBLANK(Design!$B$43),Constants!$C$6,Design!$B$43)/1000*(1+Constants!$C$36/100*(N81-25)))/($B81+D81-C81*O81/1000))</f>
        <v>93.174999999999997</v>
      </c>
      <c r="F81" s="115">
        <f ca="1">IF(($B81-C81*IF(ISBLANK(Design!$B$43),Constants!$C$6,Design!$B$43)/1000*(1+Constants!$C$36/100*(N81-25))-Design!$C$29)/(IF(ISBLANK(Design!$B$42),Design!$B$40,Design!$B$42)/1000000)*E81/100/(IF(ISBLANK(Design!$B$33),Design!$B$32,Design!$B$33)*1000000)&lt;0,0,($B81-C81*IF(ISBLANK(Design!$B$43),Constants!$C$6,Design!$B$43)/1000*(1+Constants!$C$36/100*(N81-25))-Design!$C$29)/(IF(ISBLANK(Design!$B$42),Design!$B$40,Design!$B$42)/1000000)*E81/100/(IF(ISBLANK(Design!$B$33),Design!$B$32,Design!$B$33)*1000000))</f>
        <v>0</v>
      </c>
      <c r="G81" s="165">
        <f>B81*Constants!$C$21/1000+IF(ISBLANK(Design!$B$33),Design!$B$32,Design!$B$33)*1000000*Constants!$D$25/1000000000*(B81-Constants!$C$24)</f>
        <v>9.8384999999999931E-3</v>
      </c>
      <c r="H81" s="165">
        <f>B81*C81*(B81/(Constants!$C$26*1000000000)*IF(ISBLANK(Design!$B$33),Design!$B$32,Design!$B$33)*1000000/2+B81/(Constants!$C$27*1000000000)*IF(ISBLANK(Design!$B$33),Design!$B$32,Design!$B$33)*1000000/2)</f>
        <v>0.11460068538812783</v>
      </c>
      <c r="I81" s="165">
        <f t="shared" ca="1" si="13"/>
        <v>0.73924529921605864</v>
      </c>
      <c r="J81" s="165">
        <f>Constants!$D$25/1000000000*Constants!$C$24*IF(ISBLANK(Design!$B$33),Design!$B$32,Design!$B$33)*1000000</f>
        <v>6.8250000000000005E-2</v>
      </c>
      <c r="K81" s="165">
        <f t="shared" ca="1" si="22"/>
        <v>0.93193448460418649</v>
      </c>
      <c r="L81" s="165">
        <f t="shared" ca="1" si="17"/>
        <v>5.5080667002934507E-2</v>
      </c>
      <c r="M81" s="166">
        <f ca="1">$A81+L81*Design!$B$19</f>
        <v>87.754033350146727</v>
      </c>
      <c r="N81" s="166">
        <f ca="1">K81*Design!$C$12+A81</f>
        <v>116.68577247654234</v>
      </c>
      <c r="O81" s="166">
        <f ca="1">Constants!$D$22+Constants!$D$22*Constants!$C$23/100*(N81-25)</f>
        <v>198.34861798123387</v>
      </c>
      <c r="P81" s="165">
        <f ca="1">IF(100*(Design!$C$29+D81+C81*IF(ISBLANK(Design!$B$43),Constants!$C$6,Design!$B$43)/1000*(1+Constants!$C$36/100*(N81-25)))/($B81+D81-C81*O81/1000)&gt;Design!$B$36,   (1-Constants!$D$20/1000000000*IF(ISBLANK(Design!$B$33),Design!$B$32/4,Design!$B$33/4)*1000000) * ($B81+D81-C81*O81/1000) - (D81+C81*(1+($A81-25)*Constants!$C$36/100)*IF(ISBLANK(Design!$B$43),Constants!$C$6/1000,Design!$B$43/1000)),  (1-Constants!$D$20/1000000000*IF(ISBLANK(Design!$B$33),Design!$B$32,Design!$B$33)*1000000) * ($B81+D81-C81*O81/1000) - (D81+C81*(1+($A81-25)*Constants!$C$36/100)*IF(ISBLANK(Design!$B$43),Constants!$C$6/1000,Design!$B$43/1000)))</f>
        <v>3.8738805168905026</v>
      </c>
      <c r="Q81" s="115">
        <f ca="1">IF(P81&gt;Design!$C$29,Design!$C$29,P81)</f>
        <v>3.8738805168905026</v>
      </c>
      <c r="R81" s="116">
        <f>2*Design!$D$7/3</f>
        <v>1.3333333333333333</v>
      </c>
      <c r="S81" s="116">
        <f ca="1">FORECAST(R81, OFFSET(Design!$C$15:$C$17,MATCH(R81,Design!$B$15:$B$17,1)-1,0,2), OFFSET(Design!$B$15:$B$17,MATCH(R81,Design!$B$15:$B$17,1)-1,0,2))+(AB81-25)*Design!$B$18/1000</f>
        <v>0.35639242487200101</v>
      </c>
      <c r="T81" s="182">
        <f ca="1">IF(100*(Design!$C$29+S81+R81*IF(ISBLANK(Design!$B$43),Constants!$C$6,Design!$B$43)/1000*(1+Constants!$C$36/100*(AC81-25)))/($B81+S81-R81*AD81/1000)&gt;Design!$B$36,Design!$B$37,100*(Design!$C$29+S81+R81*IF(ISBLANK(Design!$B$43),Constants!$C$6,Design!$B$43)/1000*(1+Constants!$C$36/100*(AC81-25)))/($B81+S81-R81*AD81/1000))</f>
        <v>93.174999999999997</v>
      </c>
      <c r="U81" s="117">
        <f ca="1">IF(($B81-R81*IF(ISBLANK(Design!$B$43),Constants!$C$6,Design!$B$43)/1000*(1+Constants!$C$36/100*(AC81-25))-Design!$C$29)/(IF(ISBLANK(Design!$B$42),Design!$B$40,Design!$B$42)/1000000)*T81/100/(IF(ISBLANK(Design!$B$33),Design!$B$32,Design!$B$33)*1000000)&lt;0,0,($B81-R81*IF(ISBLANK(Design!$B$43),Constants!$C$6,Design!$B$43)/1000*(1+Constants!$C$36/100*(AC81-25))-Design!$C$29)/(IF(ISBLANK(Design!$B$42),Design!$B$40,Design!$B$42)/1000000)*T81/100/(IF(ISBLANK(Design!$B$33),Design!$B$32,Design!$B$33)*1000000))</f>
        <v>0</v>
      </c>
      <c r="V81" s="183">
        <f>$B81*Constants!$C$21/1000+IF(ISBLANK(Design!$B$33),Design!$B$32,Design!$B$33)*1000000*Constants!$D$25/1000000000*($B81-Constants!$C$24)</f>
        <v>9.8384999999999931E-3</v>
      </c>
      <c r="W81" s="183">
        <f>$B81*R81*($B81/(Constants!$C$26*1000000000)*IF(ISBLANK(Design!$B$33),Design!$B$32,Design!$B$33)*1000000/2+$B81/(Constants!$C$27*1000000000)*IF(ISBLANK(Design!$B$33),Design!$B$32,Design!$B$33)*1000000/2)</f>
        <v>7.6400456925418553E-2</v>
      </c>
      <c r="X81" s="183">
        <f t="shared" ca="1" si="14"/>
        <v>0.3073742700054119</v>
      </c>
      <c r="Y81" s="183">
        <f>Constants!$D$25/1000000000*Constants!$C$24*IF(ISBLANK(Design!$B$33),Design!$B$32,Design!$B$33)*1000000</f>
        <v>6.8250000000000005E-2</v>
      </c>
      <c r="Z81" s="183">
        <f t="shared" ca="1" si="23"/>
        <v>0.46186322693083048</v>
      </c>
      <c r="AA81" s="183">
        <f t="shared" ca="1" si="19"/>
        <v>3.2431710663352105E-2</v>
      </c>
      <c r="AB81" s="184">
        <f ca="1">$A81+AA81*Design!$B$19</f>
        <v>86.621585533167604</v>
      </c>
      <c r="AC81" s="184">
        <f ca="1">Z81*Design!$C$12+$A81</f>
        <v>100.70334971564824</v>
      </c>
      <c r="AD81" s="184">
        <f ca="1">Constants!$D$22+Constants!$D$22*Constants!$C$23/100*(AC81-25)</f>
        <v>185.56267977251861</v>
      </c>
      <c r="AE81" s="183">
        <f ca="1">IF(100*(Design!$C$29+S81+R81*IF(ISBLANK(Design!$B$43),Constants!$C$6,Design!$B$43)/1000*(1+Constants!$C$36/100*(AC81-25)))/($B81+S81-R81*AD81/1000)&gt;Design!$B$36,   (1-Constants!$D$20/1000000000*IF(ISBLANK(Design!$B$33),Design!$B$32/4,Design!$B$33/4)*1000000) * ($B81+S81-R81*AD81/1000) - (S81+R81*(1+($A81-25)*Constants!$C$36/100)*IF(ISBLANK(Design!$B$43),Constants!$C$6/1000,Design!$B$43/1000)),  (1-Constants!$D$20/1000000000*IF(ISBLANK(Design!$B$33),Design!$B$32,Design!$B$33)*1000000) * ($B81+S81-R81*AD81/1000) - (S81+R81*(1+($A81-25)*Constants!$C$36/100)*IF(ISBLANK(Design!$B$43),Constants!$C$6/1000,Design!$B$43/1000)))</f>
        <v>4.0491436811650932</v>
      </c>
      <c r="AF81" s="117">
        <f ca="1">IF(AE81&gt;Design!$C$29,Design!$C$29,AE81)</f>
        <v>4.0491436811650932</v>
      </c>
      <c r="AG81" s="118">
        <f>Design!$D$7/3</f>
        <v>0.66666666666666663</v>
      </c>
      <c r="AH81" s="118">
        <f ca="1">FORECAST(AG81, OFFSET(Design!$C$15:$C$17,MATCH(AG81,Design!$B$15:$B$17,1)-1,0,2), OFFSET(Design!$B$15:$B$17,MATCH(AG81,Design!$B$15:$B$17,1)-1,0,2))+(AQ81-25)*Design!$B$18/1000</f>
        <v>0.30907088107470326</v>
      </c>
      <c r="AI81" s="194">
        <f ca="1">IF(100*(Design!$C$29+AH81+AG81*IF(ISBLANK(Design!$B$43),Constants!$C$6,Design!$B$43)/1000*(1+Constants!$C$36/100*(AR81-25)))/($B81+AH81-AG81*AS81/1000)&gt;Design!$B$36,Design!$B$37,100*(Design!$C$29+AH81+AG81*IF(ISBLANK(Design!$B$43),Constants!$C$6,Design!$B$43)/1000*(1+Constants!$C$36/100*(AR81-25)))/($B81+AH81-AG81*AS81/1000))</f>
        <v>93.174999999999997</v>
      </c>
      <c r="AJ81" s="119">
        <f ca="1">IF(($B81-AG81*IF(ISBLANK(Design!$B$43),Constants!$C$6,Design!$B$43)/1000*(1+Constants!$C$36/100*(AR81-25))-Design!$C$29)/(IF(ISBLANK(Design!$B$42),Design!$B$40,Design!$B$42)/1000000)*AI81/100/(IF(ISBLANK(Design!$B$33),Design!$B$32,Design!$B$33)*1000000)&lt;0,0,($B81-AG81*IF(ISBLANK(Design!$B$43),Constants!$C$6,Design!$B$43)/1000*(1+Constants!$C$36/100*(AR81-25))-Design!$C$29)/(IF(ISBLANK(Design!$B$42),Design!$B$40,Design!$B$42)/1000000)*AI81/100/(IF(ISBLANK(Design!$B$33),Design!$B$32,Design!$B$33)*1000000))</f>
        <v>0</v>
      </c>
      <c r="AK81" s="195">
        <f>$B81*Constants!$C$21/1000+IF(ISBLANK(Design!$B$33),Design!$B$32,Design!$B$33)*1000000*Constants!$D$25/1000000000*($B81-Constants!$C$24)</f>
        <v>9.8384999999999931E-3</v>
      </c>
      <c r="AL81" s="195">
        <f>$B81*AG81*($B81/(Constants!$C$26*1000000000)*IF(ISBLANK(Design!$B$33),Design!$B$32,Design!$B$33)*1000000/2+$B81/(Constants!$C$27*1000000000)*IF(ISBLANK(Design!$B$33),Design!$B$32,Design!$B$33)*1000000/2)</f>
        <v>3.8200228462709276E-2</v>
      </c>
      <c r="AM81" s="195">
        <f t="shared" ca="1" si="15"/>
        <v>7.3782146770470944E-2</v>
      </c>
      <c r="AN81" s="195">
        <f>Constants!$D$25/1000000000*Constants!$C$24*IF(ISBLANK(Design!$B$33),Design!$B$32,Design!$B$33)*1000000</f>
        <v>6.8250000000000005E-2</v>
      </c>
      <c r="AO81" s="195">
        <f t="shared" ca="1" si="24"/>
        <v>0.19007087523318023</v>
      </c>
      <c r="AP81" s="195">
        <f t="shared" ca="1" si="21"/>
        <v>1.4062725088899006E-2</v>
      </c>
      <c r="AQ81" s="196">
        <f ca="1">$A81+AP81*Design!$B$19</f>
        <v>85.703136254444956</v>
      </c>
      <c r="AR81" s="196">
        <f ca="1">AO81*Design!$C$12+$A81</f>
        <v>91.462409757928128</v>
      </c>
      <c r="AS81" s="196">
        <f ca="1">Constants!$D$22+Constants!$D$22*Constants!$C$23/100*(AR81-25)</f>
        <v>178.16992780634251</v>
      </c>
      <c r="AT81" s="195">
        <f ca="1">IF(100*(Design!$C$29+AH81+AG81*IF(ISBLANK(Design!$B$43),Constants!$C$6,Design!$B$43)/1000*(1+Constants!$C$36/100*(AR81-25)))/($B81+AH81-AG81*AS81/1000)&gt;Design!$B$36,   (1-Constants!$D$20/1000000000*IF(ISBLANK(Design!$B$33),Design!$B$32/4,Design!$B$33/4)*1000000) * ($B81+AH81-AG81*AS81/1000) - (AH81+AG81*(1+($A81-25)*Constants!$C$36/100)*IF(ISBLANK(Design!$B$43),Constants!$C$6/1000,Design!$B$43/1000)),  (1-Constants!$D$20/1000000000*IF(ISBLANK(Design!$B$33),Design!$B$32,Design!$B$33)*1000000) * ($B81+AH81-AG81*AS81/1000) - (AH81+AG81*(1+($A81-25)*Constants!$C$36/100)*IF(ISBLANK(Design!$B$43),Constants!$C$6/1000,Design!$B$43/1000)))</f>
        <v>4.2051855255442776</v>
      </c>
      <c r="AU81" s="119">
        <f ca="1">IF(AT81&gt;Design!$C$29,Design!$C$29,AT81)</f>
        <v>4.2051855255442776</v>
      </c>
    </row>
    <row r="82" spans="1:47" ht="12.75" customHeight="1" x14ac:dyDescent="0.3">
      <c r="A82" s="112">
        <f>Design!$D$13</f>
        <v>85</v>
      </c>
      <c r="B82" s="113">
        <f t="shared" si="12"/>
        <v>4.4749999999999996</v>
      </c>
      <c r="C82" s="114">
        <f>Design!$D$7</f>
        <v>2</v>
      </c>
      <c r="D82" s="114">
        <f ca="1">FORECAST(C82, OFFSET(Design!$C$15:$C$17,MATCH(C82,Design!$B$15:$B$17,1)-1,0,2), OFFSET(Design!$B$15:$B$17,MATCH(C82,Design!$B$15:$B$17,1)-1,0,2))+(M82-25)*Design!$B$18/1000</f>
        <v>0.40352136998486798</v>
      </c>
      <c r="E82" s="173">
        <f ca="1">IF(100*(Design!$C$29+D82+C82*IF(ISBLANK(Design!$B$43),Constants!$C$6,Design!$B$43)/1000*(1+Constants!$C$36/100*(N82-25)))/($B82+D82-C82*O82/1000)&gt;Design!$B$36,Design!$B$37,100*(Design!$C$29+D82+C82*IF(ISBLANK(Design!$B$43),Constants!$C$6,Design!$B$43)/1000*(1+Constants!$C$36/100*(N82-25)))/($B82+D82-C82*O82/1000))</f>
        <v>93.174999999999997</v>
      </c>
      <c r="F82" s="115">
        <f ca="1">IF(($B82-C82*IF(ISBLANK(Design!$B$43),Constants!$C$6,Design!$B$43)/1000*(1+Constants!$C$36/100*(N82-25))-Design!$C$29)/(IF(ISBLANK(Design!$B$42),Design!$B$40,Design!$B$42)/1000000)*E82/100/(IF(ISBLANK(Design!$B$33),Design!$B$32,Design!$B$33)*1000000)&lt;0,0,($B82-C82*IF(ISBLANK(Design!$B$43),Constants!$C$6,Design!$B$43)/1000*(1+Constants!$C$36/100*(N82-25))-Design!$C$29)/(IF(ISBLANK(Design!$B$42),Design!$B$40,Design!$B$42)/1000000)*E82/100/(IF(ISBLANK(Design!$B$33),Design!$B$32,Design!$B$33)*1000000))</f>
        <v>0</v>
      </c>
      <c r="G82" s="165">
        <f>B82*Constants!$C$21/1000+IF(ISBLANK(Design!$B$33),Design!$B$32,Design!$B$33)*1000000*Constants!$D$25/1000000000*(B82-Constants!$C$24)</f>
        <v>6.2587499999999944E-3</v>
      </c>
      <c r="H82" s="165">
        <f>B82*C82*(B82/(Constants!$C$26*1000000000)*IF(ISBLANK(Design!$B$33),Design!$B$32,Design!$B$33)*1000000/2+B82/(Constants!$C$27*1000000000)*IF(ISBLANK(Design!$B$33),Design!$B$32,Design!$B$33)*1000000/2)</f>
        <v>0.10433442066210044</v>
      </c>
      <c r="I82" s="165">
        <f t="shared" ca="1" si="13"/>
        <v>0.7376833234218656</v>
      </c>
      <c r="J82" s="165">
        <f>Constants!$D$25/1000000000*Constants!$C$24*IF(ISBLANK(Design!$B$33),Design!$B$32,Design!$B$33)*1000000</f>
        <v>6.8250000000000005E-2</v>
      </c>
      <c r="K82" s="165">
        <f t="shared" ca="1" si="22"/>
        <v>0.91652649408396603</v>
      </c>
      <c r="L82" s="165">
        <f t="shared" ca="1" si="17"/>
        <v>5.5080667002934507E-2</v>
      </c>
      <c r="M82" s="166">
        <f ca="1">$A82+L82*Design!$B$19</f>
        <v>87.754033350146727</v>
      </c>
      <c r="N82" s="166">
        <f ca="1">K82*Design!$C$12+A82</f>
        <v>116.16190079885484</v>
      </c>
      <c r="O82" s="166">
        <f ca="1">Constants!$D$22+Constants!$D$22*Constants!$C$23/100*(N82-25)</f>
        <v>197.92952063908388</v>
      </c>
      <c r="P82" s="165">
        <f ca="1">IF(100*(Design!$C$29+D82+C82*IF(ISBLANK(Design!$B$43),Constants!$C$6,Design!$B$43)/1000*(1+Constants!$C$36/100*(N82-25)))/($B82+D82-C82*O82/1000)&gt;Design!$B$36,   (1-Constants!$D$20/1000000000*IF(ISBLANK(Design!$B$33),Design!$B$32/4,Design!$B$33/4)*1000000) * ($B82+D82-C82*O82/1000) - (D82+C82*(1+($A82-25)*Constants!$C$36/100)*IF(ISBLANK(Design!$B$43),Constants!$C$6/1000,Design!$B$43/1000)),  (1-Constants!$D$20/1000000000*IF(ISBLANK(Design!$B$33),Design!$B$32,Design!$B$33)*1000000) * ($B82+D82-C82*O82/1000) - (D82+C82*(1+($A82-25)*Constants!$C$36/100)*IF(ISBLANK(Design!$B$43),Constants!$C$6/1000,Design!$B$43/1000)))</f>
        <v>3.6743352547876</v>
      </c>
      <c r="Q82" s="115">
        <f ca="1">IF(P82&gt;Design!$C$29,Design!$C$29,P82)</f>
        <v>3.6743352547876</v>
      </c>
      <c r="R82" s="116">
        <f>2*Design!$D$7/3</f>
        <v>1.3333333333333333</v>
      </c>
      <c r="S82" s="116">
        <f ca="1">FORECAST(R82, OFFSET(Design!$C$15:$C$17,MATCH(R82,Design!$B$15:$B$17,1)-1,0,2), OFFSET(Design!$B$15:$B$17,MATCH(R82,Design!$B$15:$B$17,1)-1,0,2))+(AB82-25)*Design!$B$18/1000</f>
        <v>0.35639242487200101</v>
      </c>
      <c r="T82" s="182">
        <f ca="1">IF(100*(Design!$C$29+S82+R82*IF(ISBLANK(Design!$B$43),Constants!$C$6,Design!$B$43)/1000*(1+Constants!$C$36/100*(AC82-25)))/($B82+S82-R82*AD82/1000)&gt;Design!$B$36,Design!$B$37,100*(Design!$C$29+S82+R82*IF(ISBLANK(Design!$B$43),Constants!$C$6,Design!$B$43)/1000*(1+Constants!$C$36/100*(AC82-25)))/($B82+S82-R82*AD82/1000))</f>
        <v>93.174999999999997</v>
      </c>
      <c r="U82" s="117">
        <f ca="1">IF(($B82-R82*IF(ISBLANK(Design!$B$43),Constants!$C$6,Design!$B$43)/1000*(1+Constants!$C$36/100*(AC82-25))-Design!$C$29)/(IF(ISBLANK(Design!$B$42),Design!$B$40,Design!$B$42)/1000000)*T82/100/(IF(ISBLANK(Design!$B$33),Design!$B$32,Design!$B$33)*1000000)&lt;0,0,($B82-R82*IF(ISBLANK(Design!$B$43),Constants!$C$6,Design!$B$43)/1000*(1+Constants!$C$36/100*(AC82-25))-Design!$C$29)/(IF(ISBLANK(Design!$B$42),Design!$B$40,Design!$B$42)/1000000)*T82/100/(IF(ISBLANK(Design!$B$33),Design!$B$32,Design!$B$33)*1000000))</f>
        <v>0</v>
      </c>
      <c r="V82" s="183">
        <f>$B82*Constants!$C$21/1000+IF(ISBLANK(Design!$B$33),Design!$B$32,Design!$B$33)*1000000*Constants!$D$25/1000000000*($B82-Constants!$C$24)</f>
        <v>6.2587499999999944E-3</v>
      </c>
      <c r="W82" s="183">
        <f>$B82*R82*($B82/(Constants!$C$26*1000000000)*IF(ISBLANK(Design!$B$33),Design!$B$32,Design!$B$33)*1000000/2+$B82/(Constants!$C$27*1000000000)*IF(ISBLANK(Design!$B$33),Design!$B$32,Design!$B$33)*1000000/2)</f>
        <v>6.9556280441400289E-2</v>
      </c>
      <c r="X82" s="183">
        <f t="shared" ca="1" si="14"/>
        <v>0.30688245826633481</v>
      </c>
      <c r="Y82" s="183">
        <f>Constants!$D$25/1000000000*Constants!$C$24*IF(ISBLANK(Design!$B$33),Design!$B$32,Design!$B$33)*1000000</f>
        <v>6.8250000000000005E-2</v>
      </c>
      <c r="Z82" s="183">
        <f t="shared" ca="1" si="23"/>
        <v>0.45094748870773516</v>
      </c>
      <c r="AA82" s="183">
        <f t="shared" ca="1" si="19"/>
        <v>3.2431710663352105E-2</v>
      </c>
      <c r="AB82" s="184">
        <f ca="1">$A82+AA82*Design!$B$19</f>
        <v>86.621585533167604</v>
      </c>
      <c r="AC82" s="184">
        <f ca="1">Z82*Design!$C$12+$A82</f>
        <v>100.332214616063</v>
      </c>
      <c r="AD82" s="184">
        <f ca="1">Constants!$D$22+Constants!$D$22*Constants!$C$23/100*(AC82-25)</f>
        <v>185.26577169285039</v>
      </c>
      <c r="AE82" s="183">
        <f ca="1">IF(100*(Design!$C$29+S82+R82*IF(ISBLANK(Design!$B$43),Constants!$C$6,Design!$B$43)/1000*(1+Constants!$C$36/100*(AC82-25)))/($B82+S82-R82*AD82/1000)&gt;Design!$B$36,   (1-Constants!$D$20/1000000000*IF(ISBLANK(Design!$B$33),Design!$B$32/4,Design!$B$33/4)*1000000) * ($B82+S82-R82*AD82/1000) - (S82+R82*(1+($A82-25)*Constants!$C$36/100)*IF(ISBLANK(Design!$B$43),Constants!$C$6/1000,Design!$B$43/1000)),  (1-Constants!$D$20/1000000000*IF(ISBLANK(Design!$B$33),Design!$B$32,Design!$B$33)*1000000) * ($B82+S82-R82*AD82/1000) - (S82+R82*(1+($A82-25)*Constants!$C$36/100)*IF(ISBLANK(Design!$B$43),Constants!$C$6/1000,Design!$B$43/1000)))</f>
        <v>3.8491862899694018</v>
      </c>
      <c r="AF82" s="117">
        <f ca="1">IF(AE82&gt;Design!$C$29,Design!$C$29,AE82)</f>
        <v>3.8491862899694018</v>
      </c>
      <c r="AG82" s="118">
        <f>Design!$D$7/3</f>
        <v>0.66666666666666663</v>
      </c>
      <c r="AH82" s="118">
        <f ca="1">FORECAST(AG82, OFFSET(Design!$C$15:$C$17,MATCH(AG82,Design!$B$15:$B$17,1)-1,0,2), OFFSET(Design!$B$15:$B$17,MATCH(AG82,Design!$B$15:$B$17,1)-1,0,2))+(AQ82-25)*Design!$B$18/1000</f>
        <v>0.30907088107470326</v>
      </c>
      <c r="AI82" s="194">
        <f ca="1">IF(100*(Design!$C$29+AH82+AG82*IF(ISBLANK(Design!$B$43),Constants!$C$6,Design!$B$43)/1000*(1+Constants!$C$36/100*(AR82-25)))/($B82+AH82-AG82*AS82/1000)&gt;Design!$B$36,Design!$B$37,100*(Design!$C$29+AH82+AG82*IF(ISBLANK(Design!$B$43),Constants!$C$6,Design!$B$43)/1000*(1+Constants!$C$36/100*(AR82-25)))/($B82+AH82-AG82*AS82/1000))</f>
        <v>93.174999999999997</v>
      </c>
      <c r="AJ82" s="119">
        <f ca="1">IF(($B82-AG82*IF(ISBLANK(Design!$B$43),Constants!$C$6,Design!$B$43)/1000*(1+Constants!$C$36/100*(AR82-25))-Design!$C$29)/(IF(ISBLANK(Design!$B$42),Design!$B$40,Design!$B$42)/1000000)*AI82/100/(IF(ISBLANK(Design!$B$33),Design!$B$32,Design!$B$33)*1000000)&lt;0,0,($B82-AG82*IF(ISBLANK(Design!$B$43),Constants!$C$6,Design!$B$43)/1000*(1+Constants!$C$36/100*(AR82-25))-Design!$C$29)/(IF(ISBLANK(Design!$B$42),Design!$B$40,Design!$B$42)/1000000)*AI82/100/(IF(ISBLANK(Design!$B$33),Design!$B$32,Design!$B$33)*1000000))</f>
        <v>0</v>
      </c>
      <c r="AK82" s="195">
        <f>$B82*Constants!$C$21/1000+IF(ISBLANK(Design!$B$33),Design!$B$32,Design!$B$33)*1000000*Constants!$D$25/1000000000*($B82-Constants!$C$24)</f>
        <v>6.2587499999999944E-3</v>
      </c>
      <c r="AL82" s="195">
        <f>$B82*AG82*($B82/(Constants!$C$26*1000000000)*IF(ISBLANK(Design!$B$33),Design!$B$32,Design!$B$33)*1000000/2+$B82/(Constants!$C$27*1000000000)*IF(ISBLANK(Design!$B$33),Design!$B$32,Design!$B$33)*1000000/2)</f>
        <v>3.4778140220700145E-2</v>
      </c>
      <c r="AM82" s="195">
        <f t="shared" ca="1" si="15"/>
        <v>7.3702380840024243E-2</v>
      </c>
      <c r="AN82" s="195">
        <f>Constants!$D$25/1000000000*Constants!$C$24*IF(ISBLANK(Design!$B$33),Design!$B$32,Design!$B$33)*1000000</f>
        <v>6.8250000000000005E-2</v>
      </c>
      <c r="AO82" s="195">
        <f t="shared" ca="1" si="24"/>
        <v>0.18298927106072438</v>
      </c>
      <c r="AP82" s="195">
        <f t="shared" ca="1" si="21"/>
        <v>1.4062725088899006E-2</v>
      </c>
      <c r="AQ82" s="196">
        <f ca="1">$A82+AP82*Design!$B$19</f>
        <v>85.703136254444956</v>
      </c>
      <c r="AR82" s="196">
        <f ca="1">AO82*Design!$C$12+$A82</f>
        <v>91.221635216064627</v>
      </c>
      <c r="AS82" s="196">
        <f ca="1">Constants!$D$22+Constants!$D$22*Constants!$C$23/100*(AR82-25)</f>
        <v>177.97730817285171</v>
      </c>
      <c r="AT82" s="195">
        <f ca="1">IF(100*(Design!$C$29+AH82+AG82*IF(ISBLANK(Design!$B$43),Constants!$C$6,Design!$B$43)/1000*(1+Constants!$C$36/100*(AR82-25)))/($B82+AH82-AG82*AS82/1000)&gt;Design!$B$36,   (1-Constants!$D$20/1000000000*IF(ISBLANK(Design!$B$33),Design!$B$32/4,Design!$B$33/4)*1000000) * ($B82+AH82-AG82*AS82/1000) - (AH82+AG82*(1+($A82-25)*Constants!$C$36/100)*IF(ISBLANK(Design!$B$43),Constants!$C$6/1000,Design!$B$43/1000)),  (1-Constants!$D$20/1000000000*IF(ISBLANK(Design!$B$33),Design!$B$32,Design!$B$33)*1000000) * ($B82+AH82-AG82*AS82/1000) - (AH82+AG82*(1+($A82-25)*Constants!$C$36/100)*IF(ISBLANK(Design!$B$43),Constants!$C$6/1000,Design!$B$43/1000)))</f>
        <v>4.0049789244399481</v>
      </c>
      <c r="AU82" s="119">
        <f ca="1">IF(AT82&gt;Design!$C$29,Design!$C$29,AT82)</f>
        <v>4.0049789244399481</v>
      </c>
    </row>
    <row r="83" spans="1:47" ht="12.75" customHeight="1" x14ac:dyDescent="0.3">
      <c r="A83" s="112">
        <f>Design!$D$13</f>
        <v>85</v>
      </c>
      <c r="B83" s="113">
        <f t="shared" si="12"/>
        <v>4.26</v>
      </c>
      <c r="C83" s="114">
        <f>Design!$D$7</f>
        <v>2</v>
      </c>
      <c r="D83" s="114">
        <f ca="1">FORECAST(C83, OFFSET(Design!$C$15:$C$17,MATCH(C83,Design!$B$15:$B$17,1)-1,0,2), OFFSET(Design!$B$15:$B$17,MATCH(C83,Design!$B$15:$B$17,1)-1,0,2))+(M83-25)*Design!$B$18/1000</f>
        <v>0.40352136998486798</v>
      </c>
      <c r="E83" s="173">
        <f ca="1">IF(100*(Design!$C$29+D83+C83*IF(ISBLANK(Design!$B$43),Constants!$C$6,Design!$B$43)/1000*(1+Constants!$C$36/100*(N83-25)))/($B83+D83-C83*O83/1000)&gt;Design!$B$36,Design!$B$37,100*(Design!$C$29+D83+C83*IF(ISBLANK(Design!$B$43),Constants!$C$6,Design!$B$43)/1000*(1+Constants!$C$36/100*(N83-25)))/($B83+D83-C83*O83/1000))</f>
        <v>93.174999999999997</v>
      </c>
      <c r="F83" s="115">
        <f ca="1">IF(($B83-C83*IF(ISBLANK(Design!$B$43),Constants!$C$6,Design!$B$43)/1000*(1+Constants!$C$36/100*(N83-25))-Design!$C$29)/(IF(ISBLANK(Design!$B$42),Design!$B$40,Design!$B$42)/1000000)*E83/100/(IF(ISBLANK(Design!$B$33),Design!$B$32,Design!$B$33)*1000000)&lt;0,0,($B83-C83*IF(ISBLANK(Design!$B$43),Constants!$C$6,Design!$B$43)/1000*(1+Constants!$C$36/100*(N83-25))-Design!$C$29)/(IF(ISBLANK(Design!$B$42),Design!$B$40,Design!$B$42)/1000000)*E83/100/(IF(ISBLANK(Design!$B$33),Design!$B$32,Design!$B$33)*1000000))</f>
        <v>0</v>
      </c>
      <c r="G83" s="165">
        <f>B83*Constants!$C$21/1000+IF(ISBLANK(Design!$B$33),Design!$B$32,Design!$B$33)*1000000*Constants!$D$25/1000000000*(B83-Constants!$C$24)</f>
        <v>2.6789999999999956E-3</v>
      </c>
      <c r="H83" s="165">
        <f>B83*C83*(B83/(Constants!$C$26*1000000000)*IF(ISBLANK(Design!$B$33),Design!$B$32,Design!$B$33)*1000000/2+B83/(Constants!$C$27*1000000000)*IF(ISBLANK(Design!$B$33),Design!$B$32,Design!$B$33)*1000000/2)</f>
        <v>9.454982465753424E-2</v>
      </c>
      <c r="I83" s="165">
        <f t="shared" ca="1" si="13"/>
        <v>0.73617568491523366</v>
      </c>
      <c r="J83" s="165">
        <f>Constants!$D$25/1000000000*Constants!$C$24*IF(ISBLANK(Design!$B$33),Design!$B$32,Design!$B$33)*1000000</f>
        <v>6.8250000000000005E-2</v>
      </c>
      <c r="K83" s="165">
        <f ca="1">SUM(G83:J83)</f>
        <v>0.90165450957276794</v>
      </c>
      <c r="L83" s="165">
        <f t="shared" ca="1" si="17"/>
        <v>5.5080667002934507E-2</v>
      </c>
      <c r="M83" s="166">
        <f ca="1">$A83+L83*Design!$B$19</f>
        <v>87.754033350146727</v>
      </c>
      <c r="N83" s="166">
        <f ca="1">K83*Design!$C$12+A83</f>
        <v>115.65625332547411</v>
      </c>
      <c r="O83" s="166">
        <f ca="1">Constants!$D$22+Constants!$D$22*Constants!$C$23/100*(N83-25)</f>
        <v>197.5250026603793</v>
      </c>
      <c r="P83" s="165">
        <f ca="1">IF(100*(Design!$C$29+D83+C83*IF(ISBLANK(Design!$B$43),Constants!$C$6,Design!$B$43)/1000*(1+Constants!$C$36/100*(N83-25)))/($B83+D83-C83*O83/1000)&gt;Design!$B$36,   (1-Constants!$D$20/1000000000*IF(ISBLANK(Design!$B$33),Design!$B$32/4,Design!$B$33/4)*1000000) * ($B83+D83-C83*O83/1000) - (D83+C83*(1+($A83-25)*Constants!$C$36/100)*IF(ISBLANK(Design!$B$43),Constants!$C$6/1000,Design!$B$43/1000)),  (1-Constants!$D$20/1000000000*IF(ISBLANK(Design!$B$33),Design!$B$32,Design!$B$33)*1000000) * ($B83+D83-C83*O83/1000) - (D83+C83*(1+($A83-25)*Constants!$C$36/100)*IF(ISBLANK(Design!$B$43),Constants!$C$6/1000,Design!$B$43/1000)))</f>
        <v>3.4747628240409161</v>
      </c>
      <c r="Q83" s="115">
        <f ca="1">IF(P83&gt;Design!$C$29,Design!$C$29,P83)</f>
        <v>3.4747628240409161</v>
      </c>
      <c r="R83" s="116">
        <f>2*Design!$D$7/3</f>
        <v>1.3333333333333333</v>
      </c>
      <c r="S83" s="116">
        <f ca="1">FORECAST(R83, OFFSET(Design!$C$15:$C$17,MATCH(R83,Design!$B$15:$B$17,1)-1,0,2), OFFSET(Design!$B$15:$B$17,MATCH(R83,Design!$B$15:$B$17,1)-1,0,2))+(AB83-25)*Design!$B$18/1000</f>
        <v>0.35639242487200101</v>
      </c>
      <c r="T83" s="182">
        <f ca="1">IF(100*(Design!$C$29+S83+R83*IF(ISBLANK(Design!$B$43),Constants!$C$6,Design!$B$43)/1000*(1+Constants!$C$36/100*(AC83-25)))/($B83+S83-R83*AD83/1000)&gt;Design!$B$36,Design!$B$37,100*(Design!$C$29+S83+R83*IF(ISBLANK(Design!$B$43),Constants!$C$6,Design!$B$43)/1000*(1+Constants!$C$36/100*(AC83-25)))/($B83+S83-R83*AD83/1000))</f>
        <v>93.174999999999997</v>
      </c>
      <c r="U83" s="117">
        <f ca="1">IF(($B83-R83*IF(ISBLANK(Design!$B$43),Constants!$C$6,Design!$B$43)/1000*(1+Constants!$C$36/100*(AC83-25))-Design!$C$29)/(IF(ISBLANK(Design!$B$42),Design!$B$40,Design!$B$42)/1000000)*T83/100/(IF(ISBLANK(Design!$B$33),Design!$B$32,Design!$B$33)*1000000)&lt;0,0,($B83-R83*IF(ISBLANK(Design!$B$43),Constants!$C$6,Design!$B$43)/1000*(1+Constants!$C$36/100*(AC83-25))-Design!$C$29)/(IF(ISBLANK(Design!$B$42),Design!$B$40,Design!$B$42)/1000000)*T83/100/(IF(ISBLANK(Design!$B$33),Design!$B$32,Design!$B$33)*1000000))</f>
        <v>0</v>
      </c>
      <c r="V83" s="183">
        <f>$B83*Constants!$C$21/1000+IF(ISBLANK(Design!$B$33),Design!$B$32,Design!$B$33)*1000000*Constants!$D$25/1000000000*($B83-Constants!$C$24)</f>
        <v>2.6789999999999956E-3</v>
      </c>
      <c r="W83" s="183">
        <f>$B83*R83*($B83/(Constants!$C$26*1000000000)*IF(ISBLANK(Design!$B$33),Design!$B$32,Design!$B$33)*1000000/2+$B83/(Constants!$C$27*1000000000)*IF(ISBLANK(Design!$B$33),Design!$B$32,Design!$B$33)*1000000/2)</f>
        <v>6.303321643835616E-2</v>
      </c>
      <c r="X83" s="183">
        <f t="shared" ca="1" si="14"/>
        <v>0.30640579694950509</v>
      </c>
      <c r="Y83" s="183">
        <f>Constants!$D$25/1000000000*Constants!$C$24*IF(ISBLANK(Design!$B$33),Design!$B$32,Design!$B$33)*1000000</f>
        <v>6.8250000000000005E-2</v>
      </c>
      <c r="Z83" s="183">
        <f t="shared" ca="1" si="23"/>
        <v>0.44036801338786125</v>
      </c>
      <c r="AA83" s="183">
        <f t="shared" ca="1" si="19"/>
        <v>3.2431710663352105E-2</v>
      </c>
      <c r="AB83" s="184">
        <f ca="1">$A83+AA83*Design!$B$19</f>
        <v>86.621585533167604</v>
      </c>
      <c r="AC83" s="184">
        <f ca="1">Z83*Design!$C$12+$A83</f>
        <v>99.972512455187285</v>
      </c>
      <c r="AD83" s="184">
        <f ca="1">Constants!$D$22+Constants!$D$22*Constants!$C$23/100*(AC83-25)</f>
        <v>184.97800996414983</v>
      </c>
      <c r="AE83" s="183">
        <f ca="1">IF(100*(Design!$C$29+S83+R83*IF(ISBLANK(Design!$B$43),Constants!$C$6,Design!$B$43)/1000*(1+Constants!$C$36/100*(AC83-25)))/($B83+S83-R83*AD83/1000)&gt;Design!$B$36,   (1-Constants!$D$20/1000000000*IF(ISBLANK(Design!$B$33),Design!$B$32/4,Design!$B$33/4)*1000000) * ($B83+S83-R83*AD83/1000) - (S83+R83*(1+($A83-25)*Constants!$C$36/100)*IF(ISBLANK(Design!$B$43),Constants!$C$6/1000,Design!$B$43/1000)),  (1-Constants!$D$20/1000000000*IF(ISBLANK(Design!$B$33),Design!$B$32,Design!$B$33)*1000000) * ($B83+S83-R83*AD83/1000) - (S83+R83*(1+($A83-25)*Constants!$C$36/100)*IF(ISBLANK(Design!$B$43),Constants!$C$6/1000,Design!$B$43/1000)))</f>
        <v>3.6492175359570238</v>
      </c>
      <c r="AF83" s="117">
        <f ca="1">IF(AE83&gt;Design!$C$29,Design!$C$29,AE83)</f>
        <v>3.6492175359570238</v>
      </c>
      <c r="AG83" s="118">
        <f>Design!$D$7/3</f>
        <v>0.66666666666666663</v>
      </c>
      <c r="AH83" s="118">
        <f ca="1">FORECAST(AG83, OFFSET(Design!$C$15:$C$17,MATCH(AG83,Design!$B$15:$B$17,1)-1,0,2), OFFSET(Design!$B$15:$B$17,MATCH(AG83,Design!$B$15:$B$17,1)-1,0,2))+(AQ83-25)*Design!$B$18/1000</f>
        <v>0.30907088107470326</v>
      </c>
      <c r="AI83" s="194">
        <f ca="1">IF(100*(Design!$C$29+AH83+AG83*IF(ISBLANK(Design!$B$43),Constants!$C$6,Design!$B$43)/1000*(1+Constants!$C$36/100*(AR83-25)))/($B83+AH83-AG83*AS83/1000)&gt;Design!$B$36,Design!$B$37,100*(Design!$C$29+AH83+AG83*IF(ISBLANK(Design!$B$43),Constants!$C$6,Design!$B$43)/1000*(1+Constants!$C$36/100*(AR83-25)))/($B83+AH83-AG83*AS83/1000))</f>
        <v>93.174999999999997</v>
      </c>
      <c r="AJ83" s="119">
        <f ca="1">IF(($B83-AG83*IF(ISBLANK(Design!$B$43),Constants!$C$6,Design!$B$43)/1000*(1+Constants!$C$36/100*(AR83-25))-Design!$C$29)/(IF(ISBLANK(Design!$B$42),Design!$B$40,Design!$B$42)/1000000)*AI83/100/(IF(ISBLANK(Design!$B$33),Design!$B$32,Design!$B$33)*1000000)&lt;0,0,($B83-AG83*IF(ISBLANK(Design!$B$43),Constants!$C$6,Design!$B$43)/1000*(1+Constants!$C$36/100*(AR83-25))-Design!$C$29)/(IF(ISBLANK(Design!$B$42),Design!$B$40,Design!$B$42)/1000000)*AI83/100/(IF(ISBLANK(Design!$B$33),Design!$B$32,Design!$B$33)*1000000))</f>
        <v>0</v>
      </c>
      <c r="AK83" s="195">
        <f>$B83*Constants!$C$21/1000+IF(ISBLANK(Design!$B$33),Design!$B$32,Design!$B$33)*1000000*Constants!$D$25/1000000000*($B83-Constants!$C$24)</f>
        <v>2.6789999999999956E-3</v>
      </c>
      <c r="AL83" s="195">
        <f>$B83*AG83*($B83/(Constants!$C$26*1000000000)*IF(ISBLANK(Design!$B$33),Design!$B$32,Design!$B$33)*1000000/2+$B83/(Constants!$C$27*1000000000)*IF(ISBLANK(Design!$B$33),Design!$B$32,Design!$B$33)*1000000/2)</f>
        <v>3.151660821917808E-2</v>
      </c>
      <c r="AM83" s="195">
        <f t="shared" ca="1" si="15"/>
        <v>7.3624443988951987E-2</v>
      </c>
      <c r="AN83" s="195">
        <f>Constants!$D$25/1000000000*Constants!$C$24*IF(ISBLANK(Design!$B$33),Design!$B$32,Design!$B$33)*1000000</f>
        <v>6.8250000000000005E-2</v>
      </c>
      <c r="AO83" s="195">
        <f t="shared" ca="1" si="24"/>
        <v>0.17607005220813007</v>
      </c>
      <c r="AP83" s="195">
        <f t="shared" ca="1" si="21"/>
        <v>1.4062725088899006E-2</v>
      </c>
      <c r="AQ83" s="196">
        <f ca="1">$A83+AP83*Design!$B$19</f>
        <v>85.703136254444956</v>
      </c>
      <c r="AR83" s="196">
        <f ca="1">AO83*Design!$C$12+$A83</f>
        <v>90.986381775076424</v>
      </c>
      <c r="AS83" s="196">
        <f ca="1">Constants!$D$22+Constants!$D$22*Constants!$C$23/100*(AR83-25)</f>
        <v>177.78910542006113</v>
      </c>
      <c r="AT83" s="195">
        <f ca="1">IF(100*(Design!$C$29+AH83+AG83*IF(ISBLANK(Design!$B$43),Constants!$C$6,Design!$B$43)/1000*(1+Constants!$C$36/100*(AR83-25)))/($B83+AH83-AG83*AS83/1000)&gt;Design!$B$36,   (1-Constants!$D$20/1000000000*IF(ISBLANK(Design!$B$33),Design!$B$32/4,Design!$B$33/4)*1000000) * ($B83+AH83-AG83*AS83/1000) - (AH83+AG83*(1+($A83-25)*Constants!$C$36/100)*IF(ISBLANK(Design!$B$43),Constants!$C$6/1000,Design!$B$43/1000)),  (1-Constants!$D$20/1000000000*IF(ISBLANK(Design!$B$33),Design!$B$32,Design!$B$33)*1000000) * ($B83+AH83-AG83*AS83/1000) - (AH83+AG83*(1+($A83-25)*Constants!$C$36/100)*IF(ISBLANK(Design!$B$43),Constants!$C$6/1000,Design!$B$43/1000)))</f>
        <v>3.8047695797165568</v>
      </c>
      <c r="AU83" s="119">
        <f ca="1">IF(AT83&gt;Design!$C$29,Design!$C$29,AT83)</f>
        <v>3.8047695797165568</v>
      </c>
    </row>
    <row r="84" spans="1:47" ht="12.75" customHeight="1" x14ac:dyDescent="0.3">
      <c r="A84" s="112">
        <f>Design!$D$13</f>
        <v>85</v>
      </c>
      <c r="B84" s="113">
        <f t="shared" si="12"/>
        <v>4.0449999999999999</v>
      </c>
      <c r="C84" s="114">
        <f>Design!$D$7</f>
        <v>2</v>
      </c>
      <c r="D84" s="114">
        <f ca="1">FORECAST(C84, OFFSET(Design!$C$15:$C$17,MATCH(C84,Design!$B$15:$B$17,1)-1,0,2), OFFSET(Design!$B$15:$B$17,MATCH(C84,Design!$B$15:$B$17,1)-1,0,2))+(M84-25)*Design!$B$18/1000</f>
        <v>0.40352136998486798</v>
      </c>
      <c r="E84" s="173">
        <f ca="1">IF(100*(Design!$C$29+D84+C84*IF(ISBLANK(Design!$B$43),Constants!$C$6,Design!$B$43)/1000*(1+Constants!$C$36/100*(N84-25)))/($B84+D84-C84*O84/1000)&gt;Design!$B$36,Design!$B$37,100*(Design!$C$29+D84+C84*IF(ISBLANK(Design!$B$43),Constants!$C$6,Design!$B$43)/1000*(1+Constants!$C$36/100*(N84-25)))/($B84+D84-C84*O84/1000))</f>
        <v>93.174999999999997</v>
      </c>
      <c r="F84" s="115">
        <f ca="1">IF(($B84-C84*IF(ISBLANK(Design!$B$43),Constants!$C$6,Design!$B$43)/1000*(1+Constants!$C$36/100*(N84-25))-Design!$C$29)/(IF(ISBLANK(Design!$B$42),Design!$B$40,Design!$B$42)/1000000)*E84/100/(IF(ISBLANK(Design!$B$33),Design!$B$32,Design!$B$33)*1000000)&lt;0,0,($B84-C84*IF(ISBLANK(Design!$B$43),Constants!$C$6,Design!$B$43)/1000*(1+Constants!$C$36/100*(N84-25))-Design!$C$29)/(IF(ISBLANK(Design!$B$42),Design!$B$40,Design!$B$42)/1000000)*E84/100/(IF(ISBLANK(Design!$B$33),Design!$B$32,Design!$B$33)*1000000))</f>
        <v>0</v>
      </c>
      <c r="G84" s="165">
        <f>B84*Constants!$C$21/1000+IF(ISBLANK(Design!$B$33),Design!$B$32,Design!$B$33)*1000000*Constants!$D$25/1000000000*(B84-Constants!$C$24)</f>
        <v>-9.0075000000000224E-4</v>
      </c>
      <c r="H84" s="165">
        <f>B84*C84*(B84/(Constants!$C$26*1000000000)*IF(ISBLANK(Design!$B$33),Design!$B$32,Design!$B$33)*1000000/2+B84/(Constants!$C$27*1000000000)*IF(ISBLANK(Design!$B$33),Design!$B$32,Design!$B$33)*1000000/2)</f>
        <v>8.5246897374429226E-2</v>
      </c>
      <c r="I84" s="165">
        <f t="shared" ca="1" si="13"/>
        <v>0.7347223836961625</v>
      </c>
      <c r="J84" s="165">
        <f>Constants!$D$25/1000000000*Constants!$C$24*IF(ISBLANK(Design!$B$33),Design!$B$32,Design!$B$33)*1000000</f>
        <v>6.8250000000000005E-2</v>
      </c>
      <c r="K84" s="165">
        <f t="shared" ca="1" si="22"/>
        <v>0.88731853107059178</v>
      </c>
      <c r="L84" s="165">
        <f t="shared" ca="1" si="17"/>
        <v>5.5080667002934507E-2</v>
      </c>
      <c r="M84" s="166">
        <f ca="1">$A84+L84*Design!$B$19</f>
        <v>87.754033350146727</v>
      </c>
      <c r="N84" s="166">
        <f ca="1">K84*Design!$C$12+A84</f>
        <v>115.16883005640013</v>
      </c>
      <c r="O84" s="166">
        <f ca="1">Constants!$D$22+Constants!$D$22*Constants!$C$23/100*(N84-25)</f>
        <v>197.13506404512009</v>
      </c>
      <c r="P84" s="165">
        <f ca="1">IF(100*(Design!$C$29+D84+C84*IF(ISBLANK(Design!$B$43),Constants!$C$6,Design!$B$43)/1000*(1+Constants!$C$36/100*(N84-25)))/($B84+D84-C84*O84/1000)&gt;Design!$B$36,   (1-Constants!$D$20/1000000000*IF(ISBLANK(Design!$B$33),Design!$B$32/4,Design!$B$33/4)*1000000) * ($B84+D84-C84*O84/1000) - (D84+C84*(1+($A84-25)*Constants!$C$36/100)*IF(ISBLANK(Design!$B$43),Constants!$C$6/1000,Design!$B$43/1000)),  (1-Constants!$D$20/1000000000*IF(ISBLANK(Design!$B$33),Design!$B$32,Design!$B$33)*1000000) * ($B84+D84-C84*O84/1000) - (D84+C84*(1+($A84-25)*Constants!$C$36/100)*IF(ISBLANK(Design!$B$43),Constants!$C$6/1000,Design!$B$43/1000)))</f>
        <v>3.2751632246504512</v>
      </c>
      <c r="Q84" s="115">
        <f ca="1">IF(P84&gt;Design!$C$29,Design!$C$29,P84)</f>
        <v>3.2751632246504512</v>
      </c>
      <c r="R84" s="116">
        <f>2*Design!$D$7/3</f>
        <v>1.3333333333333333</v>
      </c>
      <c r="S84" s="116">
        <f ca="1">FORECAST(R84, OFFSET(Design!$C$15:$C$17,MATCH(R84,Design!$B$15:$B$17,1)-1,0,2), OFFSET(Design!$B$15:$B$17,MATCH(R84,Design!$B$15:$B$17,1)-1,0,2))+(AB84-25)*Design!$B$18/1000</f>
        <v>0.35639242487200101</v>
      </c>
      <c r="T84" s="182">
        <f ca="1">IF(100*(Design!$C$29+S84+R84*IF(ISBLANK(Design!$B$43),Constants!$C$6,Design!$B$43)/1000*(1+Constants!$C$36/100*(AC84-25)))/($B84+S84-R84*AD84/1000)&gt;Design!$B$36,Design!$B$37,100*(Design!$C$29+S84+R84*IF(ISBLANK(Design!$B$43),Constants!$C$6,Design!$B$43)/1000*(1+Constants!$C$36/100*(AC84-25)))/($B84+S84-R84*AD84/1000))</f>
        <v>93.174999999999997</v>
      </c>
      <c r="U84" s="117">
        <f ca="1">IF(($B84-R84*IF(ISBLANK(Design!$B$43),Constants!$C$6,Design!$B$43)/1000*(1+Constants!$C$36/100*(AC84-25))-Design!$C$29)/(IF(ISBLANK(Design!$B$42),Design!$B$40,Design!$B$42)/1000000)*T84/100/(IF(ISBLANK(Design!$B$33),Design!$B$32,Design!$B$33)*1000000)&lt;0,0,($B84-R84*IF(ISBLANK(Design!$B$43),Constants!$C$6,Design!$B$43)/1000*(1+Constants!$C$36/100*(AC84-25))-Design!$C$29)/(IF(ISBLANK(Design!$B$42),Design!$B$40,Design!$B$42)/1000000)*T84/100/(IF(ISBLANK(Design!$B$33),Design!$B$32,Design!$B$33)*1000000))</f>
        <v>0</v>
      </c>
      <c r="V84" s="183">
        <f>$B84*Constants!$C$21/1000+IF(ISBLANK(Design!$B$33),Design!$B$32,Design!$B$33)*1000000*Constants!$D$25/1000000000*($B84-Constants!$C$24)</f>
        <v>-9.0075000000000224E-4</v>
      </c>
      <c r="W84" s="183">
        <f>$B84*R84*($B84/(Constants!$C$26*1000000000)*IF(ISBLANK(Design!$B$33),Design!$B$32,Design!$B$33)*1000000/2+$B84/(Constants!$C$27*1000000000)*IF(ISBLANK(Design!$B$33),Design!$B$32,Design!$B$33)*1000000/2)</f>
        <v>5.6831264916286144E-2</v>
      </c>
      <c r="X84" s="183">
        <f t="shared" ca="1" si="14"/>
        <v>0.30594428605492252</v>
      </c>
      <c r="Y84" s="183">
        <f>Constants!$D$25/1000000000*Constants!$C$24*IF(ISBLANK(Design!$B$33),Design!$B$32,Design!$B$33)*1000000</f>
        <v>6.8250000000000005E-2</v>
      </c>
      <c r="Z84" s="183">
        <f t="shared" ca="1" si="23"/>
        <v>0.43012480097120864</v>
      </c>
      <c r="AA84" s="183">
        <f t="shared" ca="1" si="19"/>
        <v>3.2431710663352105E-2</v>
      </c>
      <c r="AB84" s="184">
        <f ca="1">$A84+AA84*Design!$B$19</f>
        <v>86.621585533167604</v>
      </c>
      <c r="AC84" s="184">
        <f ca="1">Z84*Design!$C$12+$A84</f>
        <v>99.62424323302109</v>
      </c>
      <c r="AD84" s="184">
        <f ca="1">Constants!$D$22+Constants!$D$22*Constants!$C$23/100*(AC84-25)</f>
        <v>184.69939458641687</v>
      </c>
      <c r="AE84" s="183">
        <f ca="1">IF(100*(Design!$C$29+S84+R84*IF(ISBLANK(Design!$B$43),Constants!$C$6,Design!$B$43)/1000*(1+Constants!$C$36/100*(AC84-25)))/($B84+S84-R84*AD84/1000)&gt;Design!$B$36,   (1-Constants!$D$20/1000000000*IF(ISBLANK(Design!$B$33),Design!$B$32/4,Design!$B$33/4)*1000000) * ($B84+S84-R84*AD84/1000) - (S84+R84*(1+($A84-25)*Constants!$C$36/100)*IF(ISBLANK(Design!$B$43),Constants!$C$6/1000,Design!$B$43/1000)),  (1-Constants!$D$20/1000000000*IF(ISBLANK(Design!$B$33),Design!$B$32,Design!$B$33)*1000000) * ($B84+S84-R84*AD84/1000) - (S84+R84*(1+($A84-25)*Constants!$C$36/100)*IF(ISBLANK(Design!$B$43),Constants!$C$6/1000,Design!$B$43/1000)))</f>
        <v>3.4492374191279609</v>
      </c>
      <c r="AF84" s="117">
        <f ca="1">IF(AE84&gt;Design!$C$29,Design!$C$29,AE84)</f>
        <v>3.4492374191279609</v>
      </c>
      <c r="AG84" s="118">
        <f>Design!$D$7/3</f>
        <v>0.66666666666666663</v>
      </c>
      <c r="AH84" s="118">
        <f ca="1">FORECAST(AG84, OFFSET(Design!$C$15:$C$17,MATCH(AG84,Design!$B$15:$B$17,1)-1,0,2), OFFSET(Design!$B$15:$B$17,MATCH(AG84,Design!$B$15:$B$17,1)-1,0,2))+(AQ84-25)*Design!$B$18/1000</f>
        <v>0.30907088107470326</v>
      </c>
      <c r="AI84" s="194">
        <f ca="1">IF(100*(Design!$C$29+AH84+AG84*IF(ISBLANK(Design!$B$43),Constants!$C$6,Design!$B$43)/1000*(1+Constants!$C$36/100*(AR84-25)))/($B84+AH84-AG84*AS84/1000)&gt;Design!$B$36,Design!$B$37,100*(Design!$C$29+AH84+AG84*IF(ISBLANK(Design!$B$43),Constants!$C$6,Design!$B$43)/1000*(1+Constants!$C$36/100*(AR84-25)))/($B84+AH84-AG84*AS84/1000))</f>
        <v>93.174999999999997</v>
      </c>
      <c r="AJ84" s="119">
        <f ca="1">IF(($B84-AG84*IF(ISBLANK(Design!$B$43),Constants!$C$6,Design!$B$43)/1000*(1+Constants!$C$36/100*(AR84-25))-Design!$C$29)/(IF(ISBLANK(Design!$B$42),Design!$B$40,Design!$B$42)/1000000)*AI84/100/(IF(ISBLANK(Design!$B$33),Design!$B$32,Design!$B$33)*1000000)&lt;0,0,($B84-AG84*IF(ISBLANK(Design!$B$43),Constants!$C$6,Design!$B$43)/1000*(1+Constants!$C$36/100*(AR84-25))-Design!$C$29)/(IF(ISBLANK(Design!$B$42),Design!$B$40,Design!$B$42)/1000000)*AI84/100/(IF(ISBLANK(Design!$B$33),Design!$B$32,Design!$B$33)*1000000))</f>
        <v>0</v>
      </c>
      <c r="AK84" s="195">
        <f>$B84*Constants!$C$21/1000+IF(ISBLANK(Design!$B$33),Design!$B$32,Design!$B$33)*1000000*Constants!$D$25/1000000000*($B84-Constants!$C$24)</f>
        <v>-9.0075000000000224E-4</v>
      </c>
      <c r="AL84" s="195">
        <f>$B84*AG84*($B84/(Constants!$C$26*1000000000)*IF(ISBLANK(Design!$B$33),Design!$B$32,Design!$B$33)*1000000/2+$B84/(Constants!$C$27*1000000000)*IF(ISBLANK(Design!$B$33),Design!$B$32,Design!$B$33)*1000000/2)</f>
        <v>2.8415632458143072E-2</v>
      </c>
      <c r="AM84" s="195">
        <f t="shared" ca="1" si="15"/>
        <v>7.3548336217254137E-2</v>
      </c>
      <c r="AN84" s="195">
        <f>Constants!$D$25/1000000000*Constants!$C$24*IF(ISBLANK(Design!$B$33),Design!$B$32,Design!$B$33)*1000000</f>
        <v>6.8250000000000005E-2</v>
      </c>
      <c r="AO84" s="195">
        <f t="shared" ca="1" si="24"/>
        <v>0.16931321867539723</v>
      </c>
      <c r="AP84" s="195">
        <f t="shared" ca="1" si="21"/>
        <v>1.4062725088899006E-2</v>
      </c>
      <c r="AQ84" s="196">
        <f ca="1">$A84+AP84*Design!$B$19</f>
        <v>85.703136254444956</v>
      </c>
      <c r="AR84" s="196">
        <f ca="1">AO84*Design!$C$12+$A84</f>
        <v>90.756649434963506</v>
      </c>
      <c r="AS84" s="196">
        <f ca="1">Constants!$D$22+Constants!$D$22*Constants!$C$23/100*(AR84-25)</f>
        <v>177.60531954797079</v>
      </c>
      <c r="AT84" s="195">
        <f ca="1">IF(100*(Design!$C$29+AH84+AG84*IF(ISBLANK(Design!$B$43),Constants!$C$6,Design!$B$43)/1000*(1+Constants!$C$36/100*(AR84-25)))/($B84+AH84-AG84*AS84/1000)&gt;Design!$B$36,   (1-Constants!$D$20/1000000000*IF(ISBLANK(Design!$B$33),Design!$B$32/4,Design!$B$33/4)*1000000) * ($B84+AH84-AG84*AS84/1000) - (AH84+AG84*(1+($A84-25)*Constants!$C$36/100)*IF(ISBLANK(Design!$B$43),Constants!$C$6/1000,Design!$B$43/1000)),  (1-Constants!$D$20/1000000000*IF(ISBLANK(Design!$B$33),Design!$B$32,Design!$B$33)*1000000) * ($B84+AH84-AG84*AS84/1000) - (AH84+AG84*(1+($A84-25)*Constants!$C$36/100)*IF(ISBLANK(Design!$B$43),Constants!$C$6/1000,Design!$B$43/1000)))</f>
        <v>3.6045574913741034</v>
      </c>
      <c r="AU84" s="119">
        <f ca="1">IF(AT84&gt;Design!$C$29,Design!$C$29,AT84)</f>
        <v>3.6045574913741034</v>
      </c>
    </row>
    <row r="85" spans="1:47" ht="12.75" customHeight="1" x14ac:dyDescent="0.3">
      <c r="A85" s="112">
        <f>Design!$D$13</f>
        <v>85</v>
      </c>
      <c r="B85" s="113">
        <f t="shared" si="12"/>
        <v>3.8299999999999996</v>
      </c>
      <c r="C85" s="114">
        <f>Design!$D$7</f>
        <v>2</v>
      </c>
      <c r="D85" s="114">
        <f ca="1">FORECAST(C85, OFFSET(Design!$C$15:$C$17,MATCH(C85,Design!$B$15:$B$17,1)-1,0,2), OFFSET(Design!$B$15:$B$17,MATCH(C85,Design!$B$15:$B$17,1)-1,0,2))+(M85-25)*Design!$B$18/1000</f>
        <v>0.40352136998486798</v>
      </c>
      <c r="E85" s="173">
        <f ca="1">IF(100*(Design!$C$29+D85+C85*IF(ISBLANK(Design!$B$43),Constants!$C$6,Design!$B$43)/1000*(1+Constants!$C$36/100*(N85-25)))/($B85+D85-C85*O85/1000)&gt;Design!$B$36,Design!$B$37,100*(Design!$C$29+D85+C85*IF(ISBLANK(Design!$B$43),Constants!$C$6,Design!$B$43)/1000*(1+Constants!$C$36/100*(N85-25)))/($B85+D85-C85*O85/1000))</f>
        <v>93.174999999999997</v>
      </c>
      <c r="F85" s="115">
        <f ca="1">IF(($B85-C85*IF(ISBLANK(Design!$B$43),Constants!$C$6,Design!$B$43)/1000*(1+Constants!$C$36/100*(N85-25))-Design!$C$29)/(IF(ISBLANK(Design!$B$42),Design!$B$40,Design!$B$42)/1000000)*E85/100/(IF(ISBLANK(Design!$B$33),Design!$B$32,Design!$B$33)*1000000)&lt;0,0,($B85-C85*IF(ISBLANK(Design!$B$43),Constants!$C$6,Design!$B$43)/1000*(1+Constants!$C$36/100*(N85-25))-Design!$C$29)/(IF(ISBLANK(Design!$B$42),Design!$B$40,Design!$B$42)/1000000)*E85/100/(IF(ISBLANK(Design!$B$33),Design!$B$32,Design!$B$33)*1000000))</f>
        <v>0</v>
      </c>
      <c r="G85" s="165">
        <f>B85*Constants!$C$21/1000+IF(ISBLANK(Design!$B$33),Design!$B$32,Design!$B$33)*1000000*Constants!$D$25/1000000000*(B85-Constants!$C$24)</f>
        <v>-4.480500000000007E-3</v>
      </c>
      <c r="H85" s="165">
        <f>B85*C85*(B85/(Constants!$C$26*1000000000)*IF(ISBLANK(Design!$B$33),Design!$B$32,Design!$B$33)*1000000/2+B85/(Constants!$C$27*1000000000)*IF(ISBLANK(Design!$B$33),Design!$B$32,Design!$B$33)*1000000/2)</f>
        <v>7.6425638812785371E-2</v>
      </c>
      <c r="I85" s="165">
        <f t="shared" ca="1" si="13"/>
        <v>0.73332341976465254</v>
      </c>
      <c r="J85" s="165">
        <f>Constants!$D$25/1000000000*Constants!$C$24*IF(ISBLANK(Design!$B$33),Design!$B$32,Design!$B$33)*1000000</f>
        <v>6.8250000000000005E-2</v>
      </c>
      <c r="K85" s="165">
        <f t="shared" ca="1" si="22"/>
        <v>0.87351855857743799</v>
      </c>
      <c r="L85" s="165">
        <f t="shared" ca="1" si="17"/>
        <v>5.5080667002934507E-2</v>
      </c>
      <c r="M85" s="166">
        <f ca="1">$A85+L85*Design!$B$19</f>
        <v>87.754033350146727</v>
      </c>
      <c r="N85" s="166">
        <f ca="1">K85*Design!$C$12+A85</f>
        <v>114.69963099163289</v>
      </c>
      <c r="O85" s="166">
        <f ca="1">Constants!$D$22+Constants!$D$22*Constants!$C$23/100*(N85-25)</f>
        <v>196.7597047933063</v>
      </c>
      <c r="P85" s="165">
        <f ca="1">IF(100*(Design!$C$29+D85+C85*IF(ISBLANK(Design!$B$43),Constants!$C$6,Design!$B$43)/1000*(1+Constants!$C$36/100*(N85-25)))/($B85+D85-C85*O85/1000)&gt;Design!$B$36,   (1-Constants!$D$20/1000000000*IF(ISBLANK(Design!$B$33),Design!$B$32/4,Design!$B$33/4)*1000000) * ($B85+D85-C85*O85/1000) - (D85+C85*(1+($A85-25)*Constants!$C$36/100)*IF(ISBLANK(Design!$B$43),Constants!$C$6/1000,Design!$B$43/1000)),  (1-Constants!$D$20/1000000000*IF(ISBLANK(Design!$B$33),Design!$B$32,Design!$B$33)*1000000) * ($B85+D85-C85*O85/1000) - (D85+C85*(1+($A85-25)*Constants!$C$36/100)*IF(ISBLANK(Design!$B$43),Constants!$C$6/1000,Design!$B$43/1000)))</f>
        <v>3.0755364566162058</v>
      </c>
      <c r="Q85" s="115">
        <f ca="1">IF(P85&gt;Design!$C$29,Design!$C$29,P85)</f>
        <v>3.0755364566162058</v>
      </c>
      <c r="R85" s="116">
        <f>2*Design!$D$7/3</f>
        <v>1.3333333333333333</v>
      </c>
      <c r="S85" s="116">
        <f ca="1">FORECAST(R85, OFFSET(Design!$C$15:$C$17,MATCH(R85,Design!$B$15:$B$17,1)-1,0,2), OFFSET(Design!$B$15:$B$17,MATCH(R85,Design!$B$15:$B$17,1)-1,0,2))+(AB85-25)*Design!$B$18/1000</f>
        <v>0.35639242487200101</v>
      </c>
      <c r="T85" s="182">
        <f ca="1">IF(100*(Design!$C$29+S85+R85*IF(ISBLANK(Design!$B$43),Constants!$C$6,Design!$B$43)/1000*(1+Constants!$C$36/100*(AC85-25)))/($B85+S85-R85*AD85/1000)&gt;Design!$B$36,Design!$B$37,100*(Design!$C$29+S85+R85*IF(ISBLANK(Design!$B$43),Constants!$C$6,Design!$B$43)/1000*(1+Constants!$C$36/100*(AC85-25)))/($B85+S85-R85*AD85/1000))</f>
        <v>93.174999999999997</v>
      </c>
      <c r="U85" s="117">
        <f ca="1">IF(($B85-R85*IF(ISBLANK(Design!$B$43),Constants!$C$6,Design!$B$43)/1000*(1+Constants!$C$36/100*(AC85-25))-Design!$C$29)/(IF(ISBLANK(Design!$B$42),Design!$B$40,Design!$B$42)/1000000)*T85/100/(IF(ISBLANK(Design!$B$33),Design!$B$32,Design!$B$33)*1000000)&lt;0,0,($B85-R85*IF(ISBLANK(Design!$B$43),Constants!$C$6,Design!$B$43)/1000*(1+Constants!$C$36/100*(AC85-25))-Design!$C$29)/(IF(ISBLANK(Design!$B$42),Design!$B$40,Design!$B$42)/1000000)*T85/100/(IF(ISBLANK(Design!$B$33),Design!$B$32,Design!$B$33)*1000000))</f>
        <v>0</v>
      </c>
      <c r="V85" s="183">
        <f>$B85*Constants!$C$21/1000+IF(ISBLANK(Design!$B$33),Design!$B$32,Design!$B$33)*1000000*Constants!$D$25/1000000000*($B85-Constants!$C$24)</f>
        <v>-4.480500000000007E-3</v>
      </c>
      <c r="W85" s="183">
        <f>$B85*R85*($B85/(Constants!$C$26*1000000000)*IF(ISBLANK(Design!$B$33),Design!$B$32,Design!$B$33)*1000000/2+$B85/(Constants!$C$27*1000000000)*IF(ISBLANK(Design!$B$33),Design!$B$32,Design!$B$33)*1000000/2)</f>
        <v>5.0950425875190247E-2</v>
      </c>
      <c r="X85" s="183">
        <f t="shared" ca="1" si="14"/>
        <v>0.30549792558258726</v>
      </c>
      <c r="Y85" s="183">
        <f>Constants!$D$25/1000000000*Constants!$C$24*IF(ISBLANK(Design!$B$33),Design!$B$32,Design!$B$33)*1000000</f>
        <v>6.8250000000000005E-2</v>
      </c>
      <c r="Z85" s="183">
        <f t="shared" ca="1" si="23"/>
        <v>0.42021785145777746</v>
      </c>
      <c r="AA85" s="183">
        <f t="shared" ca="1" si="19"/>
        <v>3.2431710663352105E-2</v>
      </c>
      <c r="AB85" s="184">
        <f ca="1">$A85+AA85*Design!$B$19</f>
        <v>86.621585533167604</v>
      </c>
      <c r="AC85" s="184">
        <f ca="1">Z85*Design!$C$12+$A85</f>
        <v>99.287406949564428</v>
      </c>
      <c r="AD85" s="184">
        <f ca="1">Constants!$D$22+Constants!$D$22*Constants!$C$23/100*(AC85-25)</f>
        <v>184.42992555965154</v>
      </c>
      <c r="AE85" s="183">
        <f ca="1">IF(100*(Design!$C$29+S85+R85*IF(ISBLANK(Design!$B$43),Constants!$C$6,Design!$B$43)/1000*(1+Constants!$C$36/100*(AC85-25)))/($B85+S85-R85*AD85/1000)&gt;Design!$B$36,   (1-Constants!$D$20/1000000000*IF(ISBLANK(Design!$B$33),Design!$B$32/4,Design!$B$33/4)*1000000) * ($B85+S85-R85*AD85/1000) - (S85+R85*(1+($A85-25)*Constants!$C$36/100)*IF(ISBLANK(Design!$B$43),Constants!$C$6/1000,Design!$B$43/1000)),  (1-Constants!$D$20/1000000000*IF(ISBLANK(Design!$B$33),Design!$B$32,Design!$B$33)*1000000) * ($B85+S85-R85*AD85/1000) - (S85+R85*(1+($A85-25)*Constants!$C$36/100)*IF(ISBLANK(Design!$B$43),Constants!$C$6/1000,Design!$B$43/1000)))</f>
        <v>3.2492459394822113</v>
      </c>
      <c r="AF85" s="117">
        <f ca="1">IF(AE85&gt;Design!$C$29,Design!$C$29,AE85)</f>
        <v>3.2492459394822113</v>
      </c>
      <c r="AG85" s="118">
        <f>Design!$D$7/3</f>
        <v>0.66666666666666663</v>
      </c>
      <c r="AH85" s="118">
        <f ca="1">FORECAST(AG85, OFFSET(Design!$C$15:$C$17,MATCH(AG85,Design!$B$15:$B$17,1)-1,0,2), OFFSET(Design!$B$15:$B$17,MATCH(AG85,Design!$B$15:$B$17,1)-1,0,2))+(AQ85-25)*Design!$B$18/1000</f>
        <v>0.30907088107470326</v>
      </c>
      <c r="AI85" s="194">
        <f ca="1">IF(100*(Design!$C$29+AH85+AG85*IF(ISBLANK(Design!$B$43),Constants!$C$6,Design!$B$43)/1000*(1+Constants!$C$36/100*(AR85-25)))/($B85+AH85-AG85*AS85/1000)&gt;Design!$B$36,Design!$B$37,100*(Design!$C$29+AH85+AG85*IF(ISBLANK(Design!$B$43),Constants!$C$6,Design!$B$43)/1000*(1+Constants!$C$36/100*(AR85-25)))/($B85+AH85-AG85*AS85/1000))</f>
        <v>93.174999999999997</v>
      </c>
      <c r="AJ85" s="119">
        <f ca="1">IF(($B85-AG85*IF(ISBLANK(Design!$B$43),Constants!$C$6,Design!$B$43)/1000*(1+Constants!$C$36/100*(AR85-25))-Design!$C$29)/(IF(ISBLANK(Design!$B$42),Design!$B$40,Design!$B$42)/1000000)*AI85/100/(IF(ISBLANK(Design!$B$33),Design!$B$32,Design!$B$33)*1000000)&lt;0,0,($B85-AG85*IF(ISBLANK(Design!$B$43),Constants!$C$6,Design!$B$43)/1000*(1+Constants!$C$36/100*(AR85-25))-Design!$C$29)/(IF(ISBLANK(Design!$B$42),Design!$B$40,Design!$B$42)/1000000)*AI85/100/(IF(ISBLANK(Design!$B$33),Design!$B$32,Design!$B$33)*1000000))</f>
        <v>0</v>
      </c>
      <c r="AK85" s="195">
        <f>$B85*Constants!$C$21/1000+IF(ISBLANK(Design!$B$33),Design!$B$32,Design!$B$33)*1000000*Constants!$D$25/1000000000*($B85-Constants!$C$24)</f>
        <v>-4.480500000000007E-3</v>
      </c>
      <c r="AL85" s="195">
        <f>$B85*AG85*($B85/(Constants!$C$26*1000000000)*IF(ISBLANK(Design!$B$33),Design!$B$32,Design!$B$33)*1000000/2+$B85/(Constants!$C$27*1000000000)*IF(ISBLANK(Design!$B$33),Design!$B$32,Design!$B$33)*1000000/2)</f>
        <v>2.5475212937595124E-2</v>
      </c>
      <c r="AM85" s="195">
        <f t="shared" ca="1" si="15"/>
        <v>7.3474057524930692E-2</v>
      </c>
      <c r="AN85" s="195">
        <f>Constants!$D$25/1000000000*Constants!$C$24*IF(ISBLANK(Design!$B$33),Design!$B$32,Design!$B$33)*1000000</f>
        <v>6.8250000000000005E-2</v>
      </c>
      <c r="AO85" s="195">
        <f t="shared" ca="1" si="24"/>
        <v>0.16271877046252581</v>
      </c>
      <c r="AP85" s="195">
        <f t="shared" ca="1" si="21"/>
        <v>1.4062725088899006E-2</v>
      </c>
      <c r="AQ85" s="196">
        <f ca="1">$A85+AP85*Design!$B$19</f>
        <v>85.703136254444956</v>
      </c>
      <c r="AR85" s="196">
        <f ca="1">AO85*Design!$C$12+$A85</f>
        <v>90.532438195725874</v>
      </c>
      <c r="AS85" s="196">
        <f ca="1">Constants!$D$22+Constants!$D$22*Constants!$C$23/100*(AR85-25)</f>
        <v>177.42595055658069</v>
      </c>
      <c r="AT85" s="195">
        <f ca="1">IF(100*(Design!$C$29+AH85+AG85*IF(ISBLANK(Design!$B$43),Constants!$C$6,Design!$B$43)/1000*(1+Constants!$C$36/100*(AR85-25)))/($B85+AH85-AG85*AS85/1000)&gt;Design!$B$36,   (1-Constants!$D$20/1000000000*IF(ISBLANK(Design!$B$33),Design!$B$32/4,Design!$B$33/4)*1000000) * ($B85+AH85-AG85*AS85/1000) - (AH85+AG85*(1+($A85-25)*Constants!$C$36/100)*IF(ISBLANK(Design!$B$43),Constants!$C$6/1000,Design!$B$43/1000)),  (1-Constants!$D$20/1000000000*IF(ISBLANK(Design!$B$33),Design!$B$32,Design!$B$33)*1000000) * ($B85+AH85-AG85*AS85/1000) - (AH85+AG85*(1+($A85-25)*Constants!$C$36/100)*IF(ISBLANK(Design!$B$43),Constants!$C$6/1000,Design!$B$43/1000)))</f>
        <v>3.4043426594125887</v>
      </c>
      <c r="AU85" s="119">
        <f ca="1">IF(AT85&gt;Design!$C$29,Design!$C$29,AT85)</f>
        <v>3.4043426594125887</v>
      </c>
    </row>
    <row r="86" spans="1:47" ht="12.75" customHeight="1" x14ac:dyDescent="0.3">
      <c r="A86" s="112">
        <f>Design!$D$13</f>
        <v>85</v>
      </c>
      <c r="B86" s="113">
        <f t="shared" si="12"/>
        <v>3.6149999999999998</v>
      </c>
      <c r="C86" s="114">
        <f>Design!$D$7</f>
        <v>2</v>
      </c>
      <c r="D86" s="114">
        <f ca="1">FORECAST(C86, OFFSET(Design!$C$15:$C$17,MATCH(C86,Design!$B$15:$B$17,1)-1,0,2), OFFSET(Design!$B$15:$B$17,MATCH(C86,Design!$B$15:$B$17,1)-1,0,2))+(M86-25)*Design!$B$18/1000</f>
        <v>0.40352136998486798</v>
      </c>
      <c r="E86" s="173">
        <f ca="1">IF(100*(Design!$C$29+D86+C86*IF(ISBLANK(Design!$B$43),Constants!$C$6,Design!$B$43)/1000*(1+Constants!$C$36/100*(N86-25)))/($B86+D86-C86*O86/1000)&gt;Design!$B$36,Design!$B$37,100*(Design!$C$29+D86+C86*IF(ISBLANK(Design!$B$43),Constants!$C$6,Design!$B$43)/1000*(1+Constants!$C$36/100*(N86-25)))/($B86+D86-C86*O86/1000))</f>
        <v>93.174999999999997</v>
      </c>
      <c r="F86" s="115">
        <f ca="1">IF(($B86-C86*IF(ISBLANK(Design!$B$43),Constants!$C$6,Design!$B$43)/1000*(1+Constants!$C$36/100*(N86-25))-Design!$C$29)/(IF(ISBLANK(Design!$B$42),Design!$B$40,Design!$B$42)/1000000)*E86/100/(IF(ISBLANK(Design!$B$33),Design!$B$32,Design!$B$33)*1000000)&lt;0,0,($B86-C86*IF(ISBLANK(Design!$B$43),Constants!$C$6,Design!$B$43)/1000*(1+Constants!$C$36/100*(N86-25))-Design!$C$29)/(IF(ISBLANK(Design!$B$42),Design!$B$40,Design!$B$42)/1000000)*E86/100/(IF(ISBLANK(Design!$B$33),Design!$B$32,Design!$B$33)*1000000))</f>
        <v>0</v>
      </c>
      <c r="G86" s="165">
        <f>B86*Constants!$C$21/1000+IF(ISBLANK(Design!$B$33),Design!$B$32,Design!$B$33)*1000000*Constants!$D$25/1000000000*(B86-Constants!$C$24)</f>
        <v>-8.0602500000000066E-3</v>
      </c>
      <c r="H86" s="165">
        <f>B86*C86*(B86/(Constants!$C$26*1000000000)*IF(ISBLANK(Design!$B$33),Design!$B$32,Design!$B$33)*1000000/2+B86/(Constants!$C$27*1000000000)*IF(ISBLANK(Design!$B$33),Design!$B$32,Design!$B$33)*1000000/2)</f>
        <v>6.8086048972602745E-2</v>
      </c>
      <c r="I86" s="165">
        <f t="shared" ca="1" si="13"/>
        <v>0.73197879312070357</v>
      </c>
      <c r="J86" s="165">
        <f>Constants!$D$25/1000000000*Constants!$C$24*IF(ISBLANK(Design!$B$33),Design!$B$32,Design!$B$33)*1000000</f>
        <v>6.8250000000000005E-2</v>
      </c>
      <c r="K86" s="165">
        <f t="shared" ca="1" si="22"/>
        <v>0.86025459209330635</v>
      </c>
      <c r="L86" s="165">
        <f t="shared" ca="1" si="17"/>
        <v>5.5080667002934507E-2</v>
      </c>
      <c r="M86" s="166">
        <f ca="1">$A86+L86*Design!$B$19</f>
        <v>87.754033350146727</v>
      </c>
      <c r="N86" s="166">
        <f ca="1">K86*Design!$C$12+A86</f>
        <v>114.24865613117242</v>
      </c>
      <c r="O86" s="166">
        <f ca="1">Constants!$D$22+Constants!$D$22*Constants!$C$23/100*(N86-25)</f>
        <v>196.39892490493793</v>
      </c>
      <c r="P86" s="165">
        <f ca="1">IF(100*(Design!$C$29+D86+C86*IF(ISBLANK(Design!$B$43),Constants!$C$6,Design!$B$43)/1000*(1+Constants!$C$36/100*(N86-25)))/($B86+D86-C86*O86/1000)&gt;Design!$B$36,   (1-Constants!$D$20/1000000000*IF(ISBLANK(Design!$B$33),Design!$B$32/4,Design!$B$33/4)*1000000) * ($B86+D86-C86*O86/1000) - (D86+C86*(1+($A86-25)*Constants!$C$36/100)*IF(ISBLANK(Design!$B$43),Constants!$C$6/1000,Design!$B$43/1000)),  (1-Constants!$D$20/1000000000*IF(ISBLANK(Design!$B$33),Design!$B$32,Design!$B$33)*1000000) * ($B86+D86-C86*O86/1000) - (D86+C86*(1+($A86-25)*Constants!$C$36/100)*IF(ISBLANK(Design!$B$43),Constants!$C$6/1000,Design!$B$43/1000)))</f>
        <v>2.8758825199381803</v>
      </c>
      <c r="Q86" s="115">
        <f ca="1">IF(P86&gt;Design!$C$29,Design!$C$29,P86)</f>
        <v>2.8758825199381803</v>
      </c>
      <c r="R86" s="116">
        <f>2*Design!$D$7/3</f>
        <v>1.3333333333333333</v>
      </c>
      <c r="S86" s="116">
        <f ca="1">FORECAST(R86, OFFSET(Design!$C$15:$C$17,MATCH(R86,Design!$B$15:$B$17,1)-1,0,2), OFFSET(Design!$B$15:$B$17,MATCH(R86,Design!$B$15:$B$17,1)-1,0,2))+(AB86-25)*Design!$B$18/1000</f>
        <v>0.35639242487200101</v>
      </c>
      <c r="T86" s="182">
        <f ca="1">IF(100*(Design!$C$29+S86+R86*IF(ISBLANK(Design!$B$43),Constants!$C$6,Design!$B$43)/1000*(1+Constants!$C$36/100*(AC86-25)))/($B86+S86-R86*AD86/1000)&gt;Design!$B$36,Design!$B$37,100*(Design!$C$29+S86+R86*IF(ISBLANK(Design!$B$43),Constants!$C$6,Design!$B$43)/1000*(1+Constants!$C$36/100*(AC86-25)))/($B86+S86-R86*AD86/1000))</f>
        <v>93.174999999999997</v>
      </c>
      <c r="U86" s="117">
        <f ca="1">IF(($B86-R86*IF(ISBLANK(Design!$B$43),Constants!$C$6,Design!$B$43)/1000*(1+Constants!$C$36/100*(AC86-25))-Design!$C$29)/(IF(ISBLANK(Design!$B$42),Design!$B$40,Design!$B$42)/1000000)*T86/100/(IF(ISBLANK(Design!$B$33),Design!$B$32,Design!$B$33)*1000000)&lt;0,0,($B86-R86*IF(ISBLANK(Design!$B$43),Constants!$C$6,Design!$B$43)/1000*(1+Constants!$C$36/100*(AC86-25))-Design!$C$29)/(IF(ISBLANK(Design!$B$42),Design!$B$40,Design!$B$42)/1000000)*T86/100/(IF(ISBLANK(Design!$B$33),Design!$B$32,Design!$B$33)*1000000))</f>
        <v>0</v>
      </c>
      <c r="V86" s="183">
        <f>$B86*Constants!$C$21/1000+IF(ISBLANK(Design!$B$33),Design!$B$32,Design!$B$33)*1000000*Constants!$D$25/1000000000*($B86-Constants!$C$24)</f>
        <v>-8.0602500000000066E-3</v>
      </c>
      <c r="W86" s="183">
        <f>$B86*R86*($B86/(Constants!$C$26*1000000000)*IF(ISBLANK(Design!$B$33),Design!$B$32,Design!$B$33)*1000000/2+$B86/(Constants!$C$27*1000000000)*IF(ISBLANK(Design!$B$33),Design!$B$32,Design!$B$33)*1000000/2)</f>
        <v>4.5390699315068492E-2</v>
      </c>
      <c r="X86" s="183">
        <f t="shared" ca="1" si="14"/>
        <v>0.30506671553249926</v>
      </c>
      <c r="Y86" s="183">
        <f>Constants!$D$25/1000000000*Constants!$C$24*IF(ISBLANK(Design!$B$33),Design!$B$32,Design!$B$33)*1000000</f>
        <v>6.8250000000000005E-2</v>
      </c>
      <c r="Z86" s="183">
        <f t="shared" ca="1" si="23"/>
        <v>0.4106471648475678</v>
      </c>
      <c r="AA86" s="183">
        <f t="shared" ca="1" si="19"/>
        <v>3.2431710663352105E-2</v>
      </c>
      <c r="AB86" s="184">
        <f ca="1">$A86+AA86*Design!$B$19</f>
        <v>86.621585533167604</v>
      </c>
      <c r="AC86" s="184">
        <f ca="1">Z86*Design!$C$12+$A86</f>
        <v>98.962003604817312</v>
      </c>
      <c r="AD86" s="184">
        <f ca="1">Constants!$D$22+Constants!$D$22*Constants!$C$23/100*(AC86-25)</f>
        <v>184.16960288385386</v>
      </c>
      <c r="AE86" s="183">
        <f ca="1">IF(100*(Design!$C$29+S86+R86*IF(ISBLANK(Design!$B$43),Constants!$C$6,Design!$B$43)/1000*(1+Constants!$C$36/100*(AC86-25)))/($B86+S86-R86*AD86/1000)&gt;Design!$B$36,   (1-Constants!$D$20/1000000000*IF(ISBLANK(Design!$B$33),Design!$B$32/4,Design!$B$33/4)*1000000) * ($B86+S86-R86*AD86/1000) - (S86+R86*(1+($A86-25)*Constants!$C$36/100)*IF(ISBLANK(Design!$B$43),Constants!$C$6/1000,Design!$B$43/1000)),  (1-Constants!$D$20/1000000000*IF(ISBLANK(Design!$B$33),Design!$B$32,Design!$B$33)*1000000) * ($B86+S86-R86*AD86/1000) - (S86+R86*(1+($A86-25)*Constants!$C$36/100)*IF(ISBLANK(Design!$B$43),Constants!$C$6/1000,Design!$B$43/1000)))</f>
        <v>3.0492430970197777</v>
      </c>
      <c r="AF86" s="117">
        <f ca="1">IF(AE86&gt;Design!$C$29,Design!$C$29,AE86)</f>
        <v>3.0492430970197777</v>
      </c>
      <c r="AG86" s="118">
        <f>Design!$D$7/3</f>
        <v>0.66666666666666663</v>
      </c>
      <c r="AH86" s="118">
        <f ca="1">FORECAST(AG86, OFFSET(Design!$C$15:$C$17,MATCH(AG86,Design!$B$15:$B$17,1)-1,0,2), OFFSET(Design!$B$15:$B$17,MATCH(AG86,Design!$B$15:$B$17,1)-1,0,2))+(AQ86-25)*Design!$B$18/1000</f>
        <v>0.30907088107470326</v>
      </c>
      <c r="AI86" s="194">
        <f ca="1">IF(100*(Design!$C$29+AH86+AG86*IF(ISBLANK(Design!$B$43),Constants!$C$6,Design!$B$43)/1000*(1+Constants!$C$36/100*(AR86-25)))/($B86+AH86-AG86*AS86/1000)&gt;Design!$B$36,Design!$B$37,100*(Design!$C$29+AH86+AG86*IF(ISBLANK(Design!$B$43),Constants!$C$6,Design!$B$43)/1000*(1+Constants!$C$36/100*(AR86-25)))/($B86+AH86-AG86*AS86/1000))</f>
        <v>93.174999999999997</v>
      </c>
      <c r="AJ86" s="119">
        <f ca="1">IF(($B86-AG86*IF(ISBLANK(Design!$B$43),Constants!$C$6,Design!$B$43)/1000*(1+Constants!$C$36/100*(AR86-25))-Design!$C$29)/(IF(ISBLANK(Design!$B$42),Design!$B$40,Design!$B$42)/1000000)*AI86/100/(IF(ISBLANK(Design!$B$33),Design!$B$32,Design!$B$33)*1000000)&lt;0,0,($B86-AG86*IF(ISBLANK(Design!$B$43),Constants!$C$6,Design!$B$43)/1000*(1+Constants!$C$36/100*(AR86-25))-Design!$C$29)/(IF(ISBLANK(Design!$B$42),Design!$B$40,Design!$B$42)/1000000)*AI86/100/(IF(ISBLANK(Design!$B$33),Design!$B$32,Design!$B$33)*1000000))</f>
        <v>0</v>
      </c>
      <c r="AK86" s="195">
        <f>$B86*Constants!$C$21/1000+IF(ISBLANK(Design!$B$33),Design!$B$32,Design!$B$33)*1000000*Constants!$D$25/1000000000*($B86-Constants!$C$24)</f>
        <v>-8.0602500000000066E-3</v>
      </c>
      <c r="AL86" s="195">
        <f>$B86*AG86*($B86/(Constants!$C$26*1000000000)*IF(ISBLANK(Design!$B$33),Design!$B$32,Design!$B$33)*1000000/2+$B86/(Constants!$C$27*1000000000)*IF(ISBLANK(Design!$B$33),Design!$B$32,Design!$B$33)*1000000/2)</f>
        <v>2.2695349657534246E-2</v>
      </c>
      <c r="AM86" s="195">
        <f t="shared" ca="1" si="15"/>
        <v>7.3401607911981678E-2</v>
      </c>
      <c r="AN86" s="195">
        <f>Constants!$D$25/1000000000*Constants!$C$24*IF(ISBLANK(Design!$B$33),Design!$B$32,Design!$B$33)*1000000</f>
        <v>6.8250000000000005E-2</v>
      </c>
      <c r="AO86" s="195">
        <f t="shared" ca="1" si="24"/>
        <v>0.1562867075695159</v>
      </c>
      <c r="AP86" s="195">
        <f t="shared" ca="1" si="21"/>
        <v>1.4062725088899006E-2</v>
      </c>
      <c r="AQ86" s="196">
        <f ca="1">$A86+AP86*Design!$B$19</f>
        <v>85.703136254444956</v>
      </c>
      <c r="AR86" s="196">
        <f ca="1">AO86*Design!$C$12+$A86</f>
        <v>90.31374805736354</v>
      </c>
      <c r="AS86" s="196">
        <f ca="1">Constants!$D$22+Constants!$D$22*Constants!$C$23/100*(AR86-25)</f>
        <v>177.25099844589084</v>
      </c>
      <c r="AT86" s="195">
        <f ca="1">IF(100*(Design!$C$29+AH86+AG86*IF(ISBLANK(Design!$B$43),Constants!$C$6,Design!$B$43)/1000*(1+Constants!$C$36/100*(AR86-25)))/($B86+AH86-AG86*AS86/1000)&gt;Design!$B$36,   (1-Constants!$D$20/1000000000*IF(ISBLANK(Design!$B$33),Design!$B$32/4,Design!$B$33/4)*1000000) * ($B86+AH86-AG86*AS86/1000) - (AH86+AG86*(1+($A86-25)*Constants!$C$36/100)*IF(ISBLANK(Design!$B$43),Constants!$C$6/1000,Design!$B$43/1000)),  (1-Constants!$D$20/1000000000*IF(ISBLANK(Design!$B$33),Design!$B$32,Design!$B$33)*1000000) * ($B86+AH86-AG86*AS86/1000) - (AH86+AG86*(1+($A86-25)*Constants!$C$36/100)*IF(ISBLANK(Design!$B$43),Constants!$C$6/1000,Design!$B$43/1000)))</f>
        <v>3.2041250838320119</v>
      </c>
      <c r="AU86" s="119">
        <f ca="1">IF(AT86&gt;Design!$C$29,Design!$C$29,AT86)</f>
        <v>3.2041250838320119</v>
      </c>
    </row>
    <row r="87" spans="1:47" ht="12.75" customHeight="1" thickBot="1" x14ac:dyDescent="0.35">
      <c r="A87" s="121">
        <f>Design!$D$13</f>
        <v>85</v>
      </c>
      <c r="B87" s="122">
        <f>Constants!$C$7</f>
        <v>3.4</v>
      </c>
      <c r="C87" s="123">
        <f>Design!$D$7</f>
        <v>2</v>
      </c>
      <c r="D87" s="123">
        <f ca="1">FORECAST(C87, OFFSET(Design!$C$15:$C$17,MATCH(C87,Design!$B$15:$B$17,1)-1,0,2), OFFSET(Design!$B$15:$B$17,MATCH(C87,Design!$B$15:$B$17,1)-1,0,2))+(M87-25)*Design!$B$18/1000</f>
        <v>0.40352136998486798</v>
      </c>
      <c r="E87" s="174">
        <f ca="1">IF(100*(Design!$C$29+D87+C87*IF(ISBLANK(Design!$B$43),Constants!$C$6,Design!$B$43)/1000*(1+Constants!$C$36/100*(N87-25)))/($B87+D87-C87*O87/1000)&gt;Design!$B$36,Design!$B$37,100*(Design!$C$29+D87+C87*IF(ISBLANK(Design!$B$43),Constants!$C$6,Design!$B$43)/1000*(1+Constants!$C$36/100*(N87-25)))/($B87+D87-C87*O87/1000))</f>
        <v>93.174999999999997</v>
      </c>
      <c r="F87" s="124">
        <f ca="1">IF(($B87-C87*IF(ISBLANK(Design!$B$43),Constants!$C$6,Design!$B$43)/1000*(1+Constants!$C$36/100*(N87-25))-Design!$C$29)/(IF(ISBLANK(Design!$B$42),Design!$B$40,Design!$B$42)/1000000)*E87/100/(IF(ISBLANK(Design!$B$33),Design!$B$32,Design!$B$33)*1000000)&lt;0,0,($B87-C87*IF(ISBLANK(Design!$B$43),Constants!$C$6,Design!$B$43)/1000*(1+Constants!$C$36/100*(N87-25))-Design!$C$29)/(IF(ISBLANK(Design!$B$42),Design!$B$40,Design!$B$42)/1000000)*E87/100/(IF(ISBLANK(Design!$B$33),Design!$B$32,Design!$B$33)*1000000))</f>
        <v>0</v>
      </c>
      <c r="G87" s="167">
        <f>B87*Constants!$C$21/1000+IF(ISBLANK(Design!$B$33),Design!$B$32,Design!$B$33)*1000000*Constants!$D$25/1000000000*(B87-Constants!$C$24)</f>
        <v>-1.1640000000000003E-2</v>
      </c>
      <c r="H87" s="167">
        <f>B87*C87*(B87/(Constants!$C$26*1000000000)*IF(ISBLANK(Design!$B$33),Design!$B$32,Design!$B$33)*1000000/2+B87/(Constants!$C$27*1000000000)*IF(ISBLANK(Design!$B$33),Design!$B$32,Design!$B$33)*1000000/2)</f>
        <v>6.0228127853881284E-2</v>
      </c>
      <c r="I87" s="167">
        <f t="shared" ca="1" si="13"/>
        <v>0.73068850376431582</v>
      </c>
      <c r="J87" s="167">
        <f>Constants!$D$25/1000000000*Constants!$C$24*IF(ISBLANK(Design!$B$33),Design!$B$32,Design!$B$33)*1000000</f>
        <v>6.8250000000000005E-2</v>
      </c>
      <c r="K87" s="167">
        <f t="shared" ca="1" si="22"/>
        <v>0.84752663161819719</v>
      </c>
      <c r="L87" s="167">
        <f t="shared" ca="1" si="17"/>
        <v>5.5080667002934507E-2</v>
      </c>
      <c r="M87" s="168">
        <f ca="1">$A87+L87*Design!$B$19</f>
        <v>87.754033350146727</v>
      </c>
      <c r="N87" s="168">
        <f ca="1">K87*Design!$C$12+A87</f>
        <v>113.81590547501871</v>
      </c>
      <c r="O87" s="168">
        <f ca="1">Constants!$D$22+Constants!$D$22*Constants!$C$23/100*(N87-25)</f>
        <v>196.05272438001498</v>
      </c>
      <c r="P87" s="167">
        <f ca="1">IF(100*(Design!$C$29+D87+C87*IF(ISBLANK(Design!$B$43),Constants!$C$6,Design!$B$43)/1000*(1+Constants!$C$36/100*(N87-25)))/($B87+D87-C87*O87/1000)&gt;Design!$B$36,   (1-Constants!$D$20/1000000000*IF(ISBLANK(Design!$B$33),Design!$B$32/4,Design!$B$33/4)*1000000) * ($B87+D87-C87*O87/1000) - (D87+C87*(1+($A87-25)*Constants!$C$36/100)*IF(ISBLANK(Design!$B$43),Constants!$C$6/1000,Design!$B$43/1000)),  (1-Constants!$D$20/1000000000*IF(ISBLANK(Design!$B$33),Design!$B$32,Design!$B$33)*1000000) * ($B87+D87-C87*O87/1000) - (D87+C87*(1+($A87-25)*Constants!$C$36/100)*IF(ISBLANK(Design!$B$43),Constants!$C$6/1000,Design!$B$43/1000)))</f>
        <v>2.6762014146163748</v>
      </c>
      <c r="Q87" s="124">
        <f ca="1">IF(P87&gt;Design!$C$29,Design!$C$29,P87)</f>
        <v>2.6762014146163748</v>
      </c>
      <c r="R87" s="125">
        <f>2*Design!$D$7/3</f>
        <v>1.3333333333333333</v>
      </c>
      <c r="S87" s="125">
        <f ca="1">FORECAST(R87, OFFSET(Design!$C$15:$C$17,MATCH(R87,Design!$B$15:$B$17,1)-1,0,2), OFFSET(Design!$B$15:$B$17,MATCH(R87,Design!$B$15:$B$17,1)-1,0,2))+(AB87-25)*Design!$B$18/1000</f>
        <v>0.35639242487200101</v>
      </c>
      <c r="T87" s="186">
        <f ca="1">IF(100*(Design!$C$29+S87+R87*IF(ISBLANK(Design!$B$43),Constants!$C$6,Design!$B$43)/1000*(1+Constants!$C$36/100*(AC87-25)))/($B87+S87-R87*AD87/1000)&gt;Design!$B$36,Design!$B$37,100*(Design!$C$29+S87+R87*IF(ISBLANK(Design!$B$43),Constants!$C$6,Design!$B$43)/1000*(1+Constants!$C$36/100*(AC87-25)))/($B87+S87-R87*AD87/1000))</f>
        <v>93.174999999999997</v>
      </c>
      <c r="U87" s="126">
        <f ca="1">IF(($B87-R87*IF(ISBLANK(Design!$B$43),Constants!$C$6,Design!$B$43)/1000*(1+Constants!$C$36/100*(AC87-25))-Design!$C$29)/(IF(ISBLANK(Design!$B$42),Design!$B$40,Design!$B$42)/1000000)*T87/100/(IF(ISBLANK(Design!$B$33),Design!$B$32,Design!$B$33)*1000000)&lt;0,0,($B87-R87*IF(ISBLANK(Design!$B$43),Constants!$C$6,Design!$B$43)/1000*(1+Constants!$C$36/100*(AC87-25))-Design!$C$29)/(IF(ISBLANK(Design!$B$42),Design!$B$40,Design!$B$42)/1000000)*T87/100/(IF(ISBLANK(Design!$B$33),Design!$B$32,Design!$B$33)*1000000))</f>
        <v>0</v>
      </c>
      <c r="V87" s="187">
        <f>$B87*Constants!$C$21/1000+IF(ISBLANK(Design!$B$33),Design!$B$32,Design!$B$33)*1000000*Constants!$D$25/1000000000*($B87-Constants!$C$24)</f>
        <v>-1.1640000000000003E-2</v>
      </c>
      <c r="W87" s="187">
        <f>$B87*R87*($B87/(Constants!$C$26*1000000000)*IF(ISBLANK(Design!$B$33),Design!$B$32,Design!$B$33)*1000000/2+$B87/(Constants!$C$27*1000000000)*IF(ISBLANK(Design!$B$33),Design!$B$32,Design!$B$33)*1000000/2)</f>
        <v>4.0152085235920856E-2</v>
      </c>
      <c r="X87" s="187">
        <f t="shared" ca="1" si="14"/>
        <v>0.30465065590465851</v>
      </c>
      <c r="Y87" s="187">
        <f>Constants!$D$25/1000000000*Constants!$C$24*IF(ISBLANK(Design!$B$33),Design!$B$32,Design!$B$33)*1000000</f>
        <v>6.8250000000000005E-2</v>
      </c>
      <c r="Z87" s="187">
        <f t="shared" ca="1" si="23"/>
        <v>0.40141274114057934</v>
      </c>
      <c r="AA87" s="187">
        <f t="shared" ca="1" si="19"/>
        <v>3.2431710663352105E-2</v>
      </c>
      <c r="AB87" s="188">
        <f ca="1">$A87+AA87*Design!$B$19</f>
        <v>86.621585533167604</v>
      </c>
      <c r="AC87" s="188">
        <f ca="1">Z87*Design!$C$12+$A87</f>
        <v>98.6480331987797</v>
      </c>
      <c r="AD87" s="188">
        <f ca="1">Constants!$D$22+Constants!$D$22*Constants!$C$23/100*(AC87-25)</f>
        <v>183.91842655902377</v>
      </c>
      <c r="AE87" s="187">
        <f ca="1">IF(100*(Design!$C$29+S87+R87*IF(ISBLANK(Design!$B$43),Constants!$C$6,Design!$B$43)/1000*(1+Constants!$C$36/100*(AC87-25)))/($B87+S87-R87*AD87/1000)&gt;Design!$B$36,   (1-Constants!$D$20/1000000000*IF(ISBLANK(Design!$B$33),Design!$B$32/4,Design!$B$33/4)*1000000) * ($B87+S87-R87*AD87/1000) - (S87+R87*(1+($A87-25)*Constants!$C$36/100)*IF(ISBLANK(Design!$B$43),Constants!$C$6/1000,Design!$B$43/1000)),  (1-Constants!$D$20/1000000000*IF(ISBLANK(Design!$B$33),Design!$B$32,Design!$B$33)*1000000) * ($B87+S87-R87*AD87/1000) - (S87+R87*(1+($A87-25)*Constants!$C$36/100)*IF(ISBLANK(Design!$B$43),Constants!$C$6/1000,Design!$B$43/1000)))</f>
        <v>2.8492288917406592</v>
      </c>
      <c r="AF87" s="126">
        <f ca="1">IF(AE87&gt;Design!$C$29,Design!$C$29,AE87)</f>
        <v>2.8492288917406592</v>
      </c>
      <c r="AG87" s="127">
        <f>Design!$D$7/3</f>
        <v>0.66666666666666663</v>
      </c>
      <c r="AH87" s="127">
        <f ca="1">FORECAST(AG87, OFFSET(Design!$C$15:$C$17,MATCH(AG87,Design!$B$15:$B$17,1)-1,0,2), OFFSET(Design!$B$15:$B$17,MATCH(AG87,Design!$B$15:$B$17,1)-1,0,2))+(AQ87-25)*Design!$B$18/1000</f>
        <v>0.30907088107470326</v>
      </c>
      <c r="AI87" s="197">
        <f ca="1">IF(100*(Design!$C$29+AH87+AG87*IF(ISBLANK(Design!$B$43),Constants!$C$6,Design!$B$43)/1000*(1+Constants!$C$36/100*(AR87-25)))/($B87+AH87-AG87*AS87/1000)&gt;Design!$B$36,Design!$B$37,100*(Design!$C$29+AH87+AG87*IF(ISBLANK(Design!$B$43),Constants!$C$6,Design!$B$43)/1000*(1+Constants!$C$36/100*(AR87-25)))/($B87+AH87-AG87*AS87/1000))</f>
        <v>93.174999999999997</v>
      </c>
      <c r="AJ87" s="128">
        <f ca="1">IF(($B87-AG87*IF(ISBLANK(Design!$B$43),Constants!$C$6,Design!$B$43)/1000*(1+Constants!$C$36/100*(AR87-25))-Design!$C$29)/(IF(ISBLANK(Design!$B$42),Design!$B$40,Design!$B$42)/1000000)*AI87/100/(IF(ISBLANK(Design!$B$33),Design!$B$32,Design!$B$33)*1000000)&lt;0,0,($B87-AG87*IF(ISBLANK(Design!$B$43),Constants!$C$6,Design!$B$43)/1000*(1+Constants!$C$36/100*(AR87-25))-Design!$C$29)/(IF(ISBLANK(Design!$B$42),Design!$B$40,Design!$B$42)/1000000)*AI87/100/(IF(ISBLANK(Design!$B$33),Design!$B$32,Design!$B$33)*1000000))</f>
        <v>0</v>
      </c>
      <c r="AK87" s="198">
        <f>$B87*Constants!$C$21/1000+IF(ISBLANK(Design!$B$33),Design!$B$32,Design!$B$33)*1000000*Constants!$D$25/1000000000*($B87-Constants!$C$24)</f>
        <v>-1.1640000000000003E-2</v>
      </c>
      <c r="AL87" s="198">
        <f>$B87*AG87*($B87/(Constants!$C$26*1000000000)*IF(ISBLANK(Design!$B$33),Design!$B$32,Design!$B$33)*1000000/2+$B87/(Constants!$C$27*1000000000)*IF(ISBLANK(Design!$B$33),Design!$B$32,Design!$B$33)*1000000/2)</f>
        <v>2.0076042617960428E-2</v>
      </c>
      <c r="AM87" s="198">
        <f t="shared" ca="1" si="15"/>
        <v>7.3330987378407084E-2</v>
      </c>
      <c r="AN87" s="198">
        <f>Constants!$D$25/1000000000*Constants!$C$24*IF(ISBLANK(Design!$B$33),Design!$B$32,Design!$B$33)*1000000</f>
        <v>6.8250000000000005E-2</v>
      </c>
      <c r="AO87" s="198">
        <f t="shared" ca="1" si="24"/>
        <v>0.15001702999636751</v>
      </c>
      <c r="AP87" s="198">
        <f t="shared" ca="1" si="21"/>
        <v>1.4062725088899006E-2</v>
      </c>
      <c r="AQ87" s="199">
        <f ca="1">$A87+AP87*Design!$B$19</f>
        <v>85.703136254444956</v>
      </c>
      <c r="AR87" s="199">
        <f ca="1">AO87*Design!$C$12+$A87</f>
        <v>90.100579019876491</v>
      </c>
      <c r="AS87" s="199">
        <f ca="1">Constants!$D$22+Constants!$D$22*Constants!$C$23/100*(AR87-25)</f>
        <v>177.0804632159012</v>
      </c>
      <c r="AT87" s="198">
        <f ca="1">IF(100*(Design!$C$29+AH87+AG87*IF(ISBLANK(Design!$B$43),Constants!$C$6,Design!$B$43)/1000*(1+Constants!$C$36/100*(AR87-25)))/($B87+AH87-AG87*AS87/1000)&gt;Design!$B$36,   (1-Constants!$D$20/1000000000*IF(ISBLANK(Design!$B$33),Design!$B$32/4,Design!$B$33/4)*1000000) * ($B87+AH87-AG87*AS87/1000) - (AH87+AG87*(1+($A87-25)*Constants!$C$36/100)*IF(ISBLANK(Design!$B$43),Constants!$C$6/1000,Design!$B$43/1000)),  (1-Constants!$D$20/1000000000*IF(ISBLANK(Design!$B$33),Design!$B$32,Design!$B$33)*1000000) * ($B87+AH87-AG87*AS87/1000) - (AH87+AG87*(1+($A87-25)*Constants!$C$36/100)*IF(ISBLANK(Design!$B$43),Constants!$C$6/1000,Design!$B$43/1000)))</f>
        <v>3.0039047646323738</v>
      </c>
      <c r="AU87" s="128">
        <f ca="1">IF(AT87&gt;Design!$C$29,Design!$C$29,AT87)</f>
        <v>3.0039047646323738</v>
      </c>
    </row>
    <row r="88" spans="1:47" x14ac:dyDescent="0.3">
      <c r="AT88" s="130" t="s">
        <v>197</v>
      </c>
      <c r="AU88" s="130">
        <f>(Design!C4-Constants!C7)/40</f>
        <v>0.215</v>
      </c>
    </row>
    <row r="112" ht="15" thickBot="1" x14ac:dyDescent="0.35"/>
    <row r="113" spans="2:9" x14ac:dyDescent="0.3">
      <c r="B113" s="203" t="s">
        <v>199</v>
      </c>
      <c r="C113" s="153"/>
      <c r="D113" s="153"/>
      <c r="E113" s="148"/>
      <c r="F113" s="148"/>
      <c r="H113" s="239">
        <f>Design!B4</f>
        <v>8</v>
      </c>
      <c r="I113" s="240">
        <v>1</v>
      </c>
    </row>
    <row r="114" spans="2:9" ht="15" thickBot="1" x14ac:dyDescent="0.35">
      <c r="B114" s="201" t="s">
        <v>224</v>
      </c>
      <c r="C114" s="154"/>
      <c r="D114" s="154"/>
      <c r="E114" s="149"/>
      <c r="F114" s="152"/>
      <c r="H114" s="241">
        <f>Design!B4</f>
        <v>8</v>
      </c>
      <c r="I114" s="242">
        <v>8</v>
      </c>
    </row>
    <row r="115" spans="2:9" x14ac:dyDescent="0.3">
      <c r="B115" s="457" t="s">
        <v>200</v>
      </c>
      <c r="C115" s="457"/>
      <c r="D115" s="129">
        <v>0</v>
      </c>
      <c r="F115" s="11"/>
    </row>
  </sheetData>
  <sheetProtection password="83AF" sheet="1" objects="1" scenarios="1"/>
  <mergeCells count="2">
    <mergeCell ref="A1:AU1"/>
    <mergeCell ref="B115:C115"/>
  </mergeCell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68"/>
  <sheetViews>
    <sheetView zoomScale="102" zoomScaleNormal="102" workbookViewId="0">
      <selection sqref="A1:I1"/>
    </sheetView>
  </sheetViews>
  <sheetFormatPr defaultRowHeight="14.4" x14ac:dyDescent="0.3"/>
  <cols>
    <col min="1" max="1" width="20.6640625" style="1" customWidth="1"/>
    <col min="2" max="5" width="9.109375" style="1"/>
    <col min="6" max="6" width="18.6640625" customWidth="1"/>
  </cols>
  <sheetData>
    <row r="1" spans="1:9" ht="24" customHeight="1" thickBot="1" x14ac:dyDescent="0.35">
      <c r="A1" s="456" t="s">
        <v>171</v>
      </c>
      <c r="B1" s="456"/>
      <c r="C1" s="456"/>
      <c r="D1" s="456"/>
      <c r="E1" s="456"/>
      <c r="F1" s="456"/>
      <c r="G1" s="456"/>
      <c r="H1" s="456"/>
      <c r="I1" s="456"/>
    </row>
    <row r="2" spans="1:9" s="2" customFormat="1" ht="18" customHeight="1" x14ac:dyDescent="0.35">
      <c r="A2" s="25" t="s">
        <v>1</v>
      </c>
      <c r="B2" s="26" t="s">
        <v>32</v>
      </c>
      <c r="C2" s="26" t="s">
        <v>33</v>
      </c>
      <c r="D2" s="26" t="s">
        <v>34</v>
      </c>
      <c r="E2" s="26" t="s">
        <v>35</v>
      </c>
      <c r="F2" s="459" t="s">
        <v>37</v>
      </c>
      <c r="G2" s="459"/>
      <c r="H2" s="459"/>
      <c r="I2" s="460"/>
    </row>
    <row r="3" spans="1:9" ht="18" customHeight="1" x14ac:dyDescent="0.3">
      <c r="A3" s="267" t="s">
        <v>21</v>
      </c>
      <c r="B3" s="268">
        <v>0.79200000000000004</v>
      </c>
      <c r="C3" s="268">
        <v>0.8</v>
      </c>
      <c r="D3" s="268">
        <v>0.80800000000000005</v>
      </c>
      <c r="E3" s="269" t="s">
        <v>2</v>
      </c>
      <c r="F3" s="280" t="s">
        <v>279</v>
      </c>
      <c r="G3" s="28"/>
      <c r="H3" s="28"/>
      <c r="I3" s="29"/>
    </row>
    <row r="4" spans="1:9" ht="18" customHeight="1" x14ac:dyDescent="0.3">
      <c r="A4" s="267" t="s">
        <v>26</v>
      </c>
      <c r="B4" s="270">
        <f>100*(B3-C3)/C3</f>
        <v>-1.0000000000000009</v>
      </c>
      <c r="C4" s="65" t="s">
        <v>23</v>
      </c>
      <c r="D4" s="270">
        <f>100*(D3-C3)/C3</f>
        <v>1.0000000000000009</v>
      </c>
      <c r="E4" s="271" t="s">
        <v>25</v>
      </c>
      <c r="F4" s="280" t="s">
        <v>49</v>
      </c>
      <c r="G4" s="28"/>
      <c r="H4" s="28"/>
      <c r="I4" s="29"/>
    </row>
    <row r="5" spans="1:9" ht="18" customHeight="1" x14ac:dyDescent="0.3">
      <c r="A5" s="267" t="s">
        <v>77</v>
      </c>
      <c r="B5" s="65" t="s">
        <v>23</v>
      </c>
      <c r="C5" s="65">
        <v>35.6</v>
      </c>
      <c r="D5" s="65" t="s">
        <v>23</v>
      </c>
      <c r="E5" s="271" t="s">
        <v>66</v>
      </c>
      <c r="F5" s="280" t="s">
        <v>99</v>
      </c>
      <c r="G5" s="28"/>
      <c r="H5" s="28"/>
      <c r="I5" s="29"/>
    </row>
    <row r="6" spans="1:9" ht="18" customHeight="1" x14ac:dyDescent="0.3">
      <c r="A6" s="267" t="s">
        <v>195</v>
      </c>
      <c r="B6" s="65" t="s">
        <v>23</v>
      </c>
      <c r="C6" s="65">
        <v>35</v>
      </c>
      <c r="D6" s="65" t="s">
        <v>23</v>
      </c>
      <c r="E6" s="271" t="s">
        <v>117</v>
      </c>
      <c r="F6" s="280" t="s">
        <v>196</v>
      </c>
      <c r="G6" s="28"/>
      <c r="H6" s="28"/>
      <c r="I6" s="29"/>
    </row>
    <row r="7" spans="1:9" ht="18" customHeight="1" x14ac:dyDescent="0.3">
      <c r="A7" s="267" t="s">
        <v>190</v>
      </c>
      <c r="B7" s="65" t="s">
        <v>23</v>
      </c>
      <c r="C7" s="65">
        <v>3.4</v>
      </c>
      <c r="D7" s="272">
        <v>3.6</v>
      </c>
      <c r="E7" s="271" t="s">
        <v>2</v>
      </c>
      <c r="F7" s="280" t="s">
        <v>57</v>
      </c>
      <c r="G7" s="28"/>
      <c r="H7" s="28"/>
      <c r="I7" s="29"/>
    </row>
    <row r="8" spans="1:9" ht="18" customHeight="1" x14ac:dyDescent="0.3">
      <c r="A8" s="267" t="s">
        <v>36</v>
      </c>
      <c r="B8" s="273">
        <v>400</v>
      </c>
      <c r="C8" s="65" t="s">
        <v>23</v>
      </c>
      <c r="D8" s="65" t="s">
        <v>23</v>
      </c>
      <c r="E8" s="271" t="s">
        <v>20</v>
      </c>
      <c r="F8" s="280" t="s">
        <v>57</v>
      </c>
      <c r="G8" s="28"/>
      <c r="H8" s="28"/>
      <c r="I8" s="29"/>
    </row>
    <row r="9" spans="1:9" ht="18" customHeight="1" x14ac:dyDescent="0.3">
      <c r="A9" s="267" t="s">
        <v>152</v>
      </c>
      <c r="B9" s="65" t="s">
        <v>23</v>
      </c>
      <c r="C9" s="65">
        <v>0.5</v>
      </c>
      <c r="D9" s="65" t="s">
        <v>23</v>
      </c>
      <c r="E9" s="65" t="s">
        <v>23</v>
      </c>
      <c r="F9" s="280" t="s">
        <v>153</v>
      </c>
      <c r="G9" s="28"/>
      <c r="H9" s="28"/>
      <c r="I9" s="29"/>
    </row>
    <row r="10" spans="1:9" ht="18" customHeight="1" x14ac:dyDescent="0.3">
      <c r="A10" s="267" t="s">
        <v>10</v>
      </c>
      <c r="B10" s="65" t="s">
        <v>23</v>
      </c>
      <c r="C10" s="269">
        <v>65</v>
      </c>
      <c r="D10" s="65" t="s">
        <v>23</v>
      </c>
      <c r="E10" s="271" t="s">
        <v>11</v>
      </c>
      <c r="F10" s="280" t="s">
        <v>57</v>
      </c>
      <c r="G10" s="28"/>
      <c r="H10" s="28"/>
      <c r="I10" s="29"/>
    </row>
    <row r="11" spans="1:9" ht="18" customHeight="1" x14ac:dyDescent="0.3">
      <c r="A11" s="267" t="s">
        <v>12</v>
      </c>
      <c r="B11" s="269">
        <v>550</v>
      </c>
      <c r="C11" s="269">
        <v>750</v>
      </c>
      <c r="D11" s="269">
        <v>1000</v>
      </c>
      <c r="E11" s="271" t="s">
        <v>111</v>
      </c>
      <c r="F11" s="280" t="s">
        <v>57</v>
      </c>
      <c r="G11" s="28"/>
      <c r="H11" s="28"/>
      <c r="I11" s="29"/>
    </row>
    <row r="12" spans="1:9" ht="18" customHeight="1" x14ac:dyDescent="0.3">
      <c r="A12" s="267" t="s">
        <v>83</v>
      </c>
      <c r="B12" s="270">
        <f>POWER(10,$C$10/20)/(D11/1000000)/1000000</f>
        <v>1.7782794100389243</v>
      </c>
      <c r="C12" s="270">
        <f>POWER(10,$C$10/20)/(C11/1000000)/1000000</f>
        <v>2.3710392133852327</v>
      </c>
      <c r="D12" s="270">
        <f>POWER(10,$C$10/20)/(B11/1000000)/1000000</f>
        <v>3.2332352909798621</v>
      </c>
      <c r="E12" s="271" t="s">
        <v>84</v>
      </c>
      <c r="F12" s="280" t="s">
        <v>49</v>
      </c>
      <c r="G12" s="28"/>
      <c r="H12" s="28"/>
      <c r="I12" s="29"/>
    </row>
    <row r="13" spans="1:9" ht="18" customHeight="1" x14ac:dyDescent="0.3">
      <c r="A13" s="267" t="s">
        <v>0</v>
      </c>
      <c r="B13" s="65" t="s">
        <v>23</v>
      </c>
      <c r="C13" s="274">
        <v>2.85</v>
      </c>
      <c r="D13" s="65" t="s">
        <v>23</v>
      </c>
      <c r="E13" s="271" t="s">
        <v>3</v>
      </c>
      <c r="F13" s="280" t="s">
        <v>57</v>
      </c>
      <c r="G13" s="28"/>
      <c r="H13" s="28"/>
      <c r="I13" s="29"/>
    </row>
    <row r="14" spans="1:9" ht="18" customHeight="1" x14ac:dyDescent="0.3">
      <c r="A14" s="465" t="s">
        <v>300</v>
      </c>
      <c r="B14" s="289">
        <v>0.15</v>
      </c>
      <c r="C14" s="274">
        <v>0.2</v>
      </c>
      <c r="D14" s="289">
        <v>0.25</v>
      </c>
      <c r="E14" s="467" t="s">
        <v>333</v>
      </c>
      <c r="F14" s="280" t="s">
        <v>301</v>
      </c>
      <c r="G14" s="294">
        <v>0.249</v>
      </c>
      <c r="H14" s="68" t="s">
        <v>16</v>
      </c>
      <c r="I14" s="29"/>
    </row>
    <row r="15" spans="1:9" ht="18" customHeight="1" x14ac:dyDescent="0.3">
      <c r="A15" s="470"/>
      <c r="B15" s="289">
        <v>0.68</v>
      </c>
      <c r="C15" s="274">
        <v>0.91</v>
      </c>
      <c r="D15" s="289">
        <v>1.1299999999999999</v>
      </c>
      <c r="E15" s="468"/>
      <c r="F15" s="280" t="s">
        <v>301</v>
      </c>
      <c r="G15" s="294">
        <v>1</v>
      </c>
      <c r="H15" s="68" t="s">
        <v>16</v>
      </c>
      <c r="I15" s="29"/>
    </row>
    <row r="16" spans="1:9" ht="18" customHeight="1" x14ac:dyDescent="0.3">
      <c r="A16" s="466"/>
      <c r="B16" s="289">
        <v>2.2400000000000002</v>
      </c>
      <c r="C16" s="274">
        <v>2.99</v>
      </c>
      <c r="D16" s="289">
        <v>3.73</v>
      </c>
      <c r="E16" s="469"/>
      <c r="F16" s="280" t="s">
        <v>301</v>
      </c>
      <c r="G16" s="294">
        <v>2.46</v>
      </c>
      <c r="H16" s="68" t="s">
        <v>16</v>
      </c>
      <c r="I16" s="29"/>
    </row>
    <row r="17" spans="1:9" ht="18" customHeight="1" x14ac:dyDescent="0.3">
      <c r="A17" s="267" t="s">
        <v>188</v>
      </c>
      <c r="B17" s="275">
        <v>0.25</v>
      </c>
      <c r="C17" s="65" t="s">
        <v>23</v>
      </c>
      <c r="D17" s="275">
        <v>2.4500000000000002</v>
      </c>
      <c r="E17" s="271" t="s">
        <v>16</v>
      </c>
      <c r="F17" s="280" t="s">
        <v>55</v>
      </c>
      <c r="G17" s="28"/>
      <c r="H17" s="28"/>
      <c r="I17" s="29"/>
    </row>
    <row r="18" spans="1:9" ht="18" customHeight="1" x14ac:dyDescent="0.3">
      <c r="A18" s="267" t="s">
        <v>40</v>
      </c>
      <c r="B18" s="65">
        <v>-10</v>
      </c>
      <c r="C18" s="65" t="s">
        <v>23</v>
      </c>
      <c r="D18" s="65">
        <v>10</v>
      </c>
      <c r="E18" s="271" t="s">
        <v>25</v>
      </c>
      <c r="F18" s="280" t="s">
        <v>55</v>
      </c>
      <c r="G18" s="28"/>
      <c r="H18" s="28"/>
      <c r="I18" s="29"/>
    </row>
    <row r="19" spans="1:9" ht="18" customHeight="1" x14ac:dyDescent="0.3">
      <c r="A19" s="267" t="s">
        <v>106</v>
      </c>
      <c r="B19" s="65" t="s">
        <v>23</v>
      </c>
      <c r="C19" s="65">
        <v>85</v>
      </c>
      <c r="D19" s="269">
        <v>120</v>
      </c>
      <c r="E19" s="271" t="s">
        <v>4</v>
      </c>
      <c r="F19" s="280" t="s">
        <v>104</v>
      </c>
      <c r="G19" s="28"/>
      <c r="H19" s="28"/>
      <c r="I19" s="29"/>
    </row>
    <row r="20" spans="1:9" ht="18" customHeight="1" x14ac:dyDescent="0.3">
      <c r="A20" s="267" t="s">
        <v>107</v>
      </c>
      <c r="B20" s="65" t="s">
        <v>23</v>
      </c>
      <c r="C20" s="65">
        <v>85</v>
      </c>
      <c r="D20" s="269">
        <v>130</v>
      </c>
      <c r="E20" s="271" t="s">
        <v>4</v>
      </c>
      <c r="F20" s="280" t="s">
        <v>105</v>
      </c>
      <c r="G20" s="28"/>
      <c r="H20" s="28"/>
      <c r="I20" s="29"/>
    </row>
    <row r="21" spans="1:9" ht="18" customHeight="1" x14ac:dyDescent="0.3">
      <c r="A21" s="267" t="s">
        <v>185</v>
      </c>
      <c r="B21" s="65" t="s">
        <v>23</v>
      </c>
      <c r="C21" s="276">
        <v>3</v>
      </c>
      <c r="D21" s="65" t="s">
        <v>23</v>
      </c>
      <c r="E21" s="271" t="s">
        <v>5</v>
      </c>
      <c r="F21" s="280" t="s">
        <v>57</v>
      </c>
      <c r="G21" s="28"/>
      <c r="H21" s="28"/>
      <c r="I21" s="29"/>
    </row>
    <row r="22" spans="1:9" ht="18" customHeight="1" x14ac:dyDescent="0.3">
      <c r="A22" s="267" t="s">
        <v>101</v>
      </c>
      <c r="B22" s="65" t="s">
        <v>23</v>
      </c>
      <c r="C22" s="65" t="s">
        <v>23</v>
      </c>
      <c r="D22" s="65">
        <v>125</v>
      </c>
      <c r="E22" s="271" t="s">
        <v>100</v>
      </c>
      <c r="F22" s="280" t="s">
        <v>56</v>
      </c>
      <c r="G22" s="28"/>
      <c r="H22" s="28"/>
      <c r="I22" s="29"/>
    </row>
    <row r="23" spans="1:9" ht="18" customHeight="1" x14ac:dyDescent="0.3">
      <c r="A23" s="267" t="s">
        <v>109</v>
      </c>
      <c r="B23" s="65" t="s">
        <v>23</v>
      </c>
      <c r="C23" s="65">
        <v>0.64</v>
      </c>
      <c r="D23" s="65" t="s">
        <v>23</v>
      </c>
      <c r="E23" s="271" t="s">
        <v>110</v>
      </c>
      <c r="F23" s="280" t="s">
        <v>56</v>
      </c>
      <c r="G23" s="28"/>
      <c r="H23" s="28"/>
      <c r="I23" s="29"/>
    </row>
    <row r="24" spans="1:9" ht="18" customHeight="1" x14ac:dyDescent="0.3">
      <c r="A24" s="267" t="s">
        <v>172</v>
      </c>
      <c r="B24" s="65" t="s">
        <v>23</v>
      </c>
      <c r="C24" s="271">
        <v>5</v>
      </c>
      <c r="D24" s="65" t="s">
        <v>23</v>
      </c>
      <c r="E24" s="271" t="s">
        <v>2</v>
      </c>
      <c r="F24" s="280" t="s">
        <v>56</v>
      </c>
      <c r="G24" s="28"/>
      <c r="H24" s="28"/>
      <c r="I24" s="29"/>
    </row>
    <row r="25" spans="1:9" ht="18" customHeight="1" x14ac:dyDescent="0.3">
      <c r="A25" s="267" t="s">
        <v>22</v>
      </c>
      <c r="B25" s="65" t="s">
        <v>23</v>
      </c>
      <c r="C25" s="65" t="s">
        <v>23</v>
      </c>
      <c r="D25" s="271">
        <v>6.5</v>
      </c>
      <c r="E25" s="271" t="s">
        <v>9</v>
      </c>
      <c r="F25" s="280" t="s">
        <v>56</v>
      </c>
      <c r="G25" s="28"/>
      <c r="H25" s="28"/>
      <c r="I25" s="29"/>
    </row>
    <row r="26" spans="1:9" ht="18" customHeight="1" x14ac:dyDescent="0.3">
      <c r="A26" s="267" t="s">
        <v>7</v>
      </c>
      <c r="B26" s="65" t="s">
        <v>23</v>
      </c>
      <c r="C26" s="277">
        <v>0.9</v>
      </c>
      <c r="D26" s="65" t="s">
        <v>23</v>
      </c>
      <c r="E26" s="271" t="s">
        <v>6</v>
      </c>
      <c r="F26" s="280" t="s">
        <v>173</v>
      </c>
      <c r="G26" s="28"/>
      <c r="H26" s="28"/>
      <c r="I26" s="29"/>
    </row>
    <row r="27" spans="1:9" ht="18" customHeight="1" x14ac:dyDescent="0.3">
      <c r="A27" s="267" t="s">
        <v>8</v>
      </c>
      <c r="B27" s="65" t="s">
        <v>23</v>
      </c>
      <c r="C27" s="277">
        <v>0.73</v>
      </c>
      <c r="D27" s="65" t="s">
        <v>23</v>
      </c>
      <c r="E27" s="271" t="s">
        <v>6</v>
      </c>
      <c r="F27" s="280" t="s">
        <v>173</v>
      </c>
      <c r="G27" s="28"/>
      <c r="H27" s="28"/>
      <c r="I27" s="29"/>
    </row>
    <row r="28" spans="1:9" ht="18" customHeight="1" x14ac:dyDescent="0.3">
      <c r="A28" s="267" t="s">
        <v>39</v>
      </c>
      <c r="B28" s="65" t="s">
        <v>23</v>
      </c>
      <c r="C28" s="271">
        <v>20</v>
      </c>
      <c r="D28" s="65" t="s">
        <v>23</v>
      </c>
      <c r="E28" s="271" t="s">
        <v>112</v>
      </c>
      <c r="F28" s="280" t="s">
        <v>57</v>
      </c>
      <c r="G28" s="28"/>
      <c r="H28" s="28"/>
      <c r="I28" s="29"/>
    </row>
    <row r="29" spans="1:9" ht="18" customHeight="1" x14ac:dyDescent="0.3">
      <c r="A29" s="267" t="s">
        <v>60</v>
      </c>
      <c r="B29" s="65" t="s">
        <v>23</v>
      </c>
      <c r="C29" s="271">
        <v>330</v>
      </c>
      <c r="D29" s="65" t="s">
        <v>23</v>
      </c>
      <c r="E29" s="271" t="s">
        <v>20</v>
      </c>
      <c r="F29" s="280" t="s">
        <v>57</v>
      </c>
      <c r="G29" s="28"/>
      <c r="H29" s="28"/>
      <c r="I29" s="29"/>
    </row>
    <row r="30" spans="1:9" ht="18" customHeight="1" x14ac:dyDescent="0.3">
      <c r="A30" s="465" t="s">
        <v>285</v>
      </c>
      <c r="B30" s="65" t="s">
        <v>23</v>
      </c>
      <c r="C30" s="271">
        <v>750</v>
      </c>
      <c r="D30" s="65">
        <v>850</v>
      </c>
      <c r="E30" s="271" t="s">
        <v>5</v>
      </c>
      <c r="F30" s="280" t="s">
        <v>329</v>
      </c>
      <c r="G30" s="28"/>
      <c r="H30" s="28"/>
      <c r="I30" s="29"/>
    </row>
    <row r="31" spans="1:9" ht="18" customHeight="1" x14ac:dyDescent="0.3">
      <c r="A31" s="466"/>
      <c r="B31" s="65" t="s">
        <v>23</v>
      </c>
      <c r="C31" s="271">
        <v>850</v>
      </c>
      <c r="D31" s="65">
        <v>950</v>
      </c>
      <c r="E31" s="271" t="s">
        <v>5</v>
      </c>
      <c r="F31" s="280" t="s">
        <v>330</v>
      </c>
      <c r="G31" s="28"/>
      <c r="H31" s="28"/>
      <c r="I31" s="29"/>
    </row>
    <row r="32" spans="1:9" ht="18" customHeight="1" x14ac:dyDescent="0.3">
      <c r="A32" s="331" t="s">
        <v>328</v>
      </c>
      <c r="B32" s="65" t="s">
        <v>23</v>
      </c>
      <c r="C32" s="271">
        <v>750</v>
      </c>
      <c r="D32" s="65" t="s">
        <v>23</v>
      </c>
      <c r="E32" s="271" t="s">
        <v>19</v>
      </c>
      <c r="F32" s="280" t="s">
        <v>56</v>
      </c>
      <c r="G32" s="28"/>
      <c r="H32" s="28"/>
      <c r="I32" s="29"/>
    </row>
    <row r="33" spans="1:17" ht="18" customHeight="1" x14ac:dyDescent="0.3">
      <c r="A33" s="282" t="s">
        <v>286</v>
      </c>
      <c r="B33" s="65" t="s">
        <v>23</v>
      </c>
      <c r="C33" s="271">
        <v>4.0999999999999996</v>
      </c>
      <c r="D33" s="65" t="s">
        <v>23</v>
      </c>
      <c r="E33" s="65" t="s">
        <v>287</v>
      </c>
      <c r="F33" s="280" t="s">
        <v>56</v>
      </c>
      <c r="G33" s="28"/>
      <c r="H33" s="28"/>
      <c r="I33" s="29"/>
    </row>
    <row r="34" spans="1:17" ht="18" customHeight="1" x14ac:dyDescent="0.3">
      <c r="A34" s="267">
        <v>5</v>
      </c>
      <c r="B34" s="277">
        <v>3.8</v>
      </c>
      <c r="C34" s="65" t="s">
        <v>23</v>
      </c>
      <c r="D34" s="65" t="s">
        <v>23</v>
      </c>
      <c r="E34" s="271" t="s">
        <v>13</v>
      </c>
      <c r="F34" s="280" t="s">
        <v>340</v>
      </c>
      <c r="G34" s="28"/>
      <c r="H34" s="28"/>
      <c r="I34" s="29"/>
    </row>
    <row r="35" spans="1:17" ht="18" customHeight="1" x14ac:dyDescent="0.3">
      <c r="A35" s="267">
        <v>90</v>
      </c>
      <c r="B35" s="277">
        <f ca="1">B34-I60*(A35-A34)/100/(IF(ISBLANK(Design!B33),Design!B32,Design!B33))</f>
        <v>2.5497292889758638</v>
      </c>
      <c r="C35" s="65" t="s">
        <v>23</v>
      </c>
      <c r="D35" s="65" t="s">
        <v>23</v>
      </c>
      <c r="E35" s="271" t="s">
        <v>13</v>
      </c>
      <c r="F35" s="280" t="s">
        <v>339</v>
      </c>
      <c r="G35" s="28"/>
      <c r="H35" s="28"/>
      <c r="I35" s="29"/>
    </row>
    <row r="36" spans="1:17" ht="18" customHeight="1" thickBot="1" x14ac:dyDescent="0.35">
      <c r="A36" s="70" t="s">
        <v>219</v>
      </c>
      <c r="B36" s="71" t="s">
        <v>23</v>
      </c>
      <c r="C36" s="278">
        <v>0.39300000000000002</v>
      </c>
      <c r="D36" s="71" t="s">
        <v>23</v>
      </c>
      <c r="E36" s="279" t="s">
        <v>220</v>
      </c>
      <c r="F36" s="281" t="s">
        <v>227</v>
      </c>
      <c r="G36" s="34"/>
      <c r="H36" s="34"/>
      <c r="I36" s="35"/>
    </row>
    <row r="37" spans="1:17" ht="15" thickBot="1" x14ac:dyDescent="0.35"/>
    <row r="38" spans="1:17" s="12" customFormat="1" ht="18" customHeight="1" x14ac:dyDescent="0.3">
      <c r="A38" s="462" t="s">
        <v>127</v>
      </c>
      <c r="B38" s="463"/>
      <c r="C38" s="463"/>
      <c r="D38" s="463"/>
      <c r="E38" s="463"/>
      <c r="F38" s="463"/>
      <c r="G38" s="464"/>
    </row>
    <row r="39" spans="1:17" x14ac:dyDescent="0.3">
      <c r="A39" s="27" t="s">
        <v>114</v>
      </c>
      <c r="B39" s="31">
        <v>3.3</v>
      </c>
      <c r="C39" s="31" t="s">
        <v>2</v>
      </c>
      <c r="D39" s="36" t="s">
        <v>128</v>
      </c>
      <c r="E39" s="31"/>
      <c r="F39" s="28"/>
      <c r="G39" s="29"/>
    </row>
    <row r="40" spans="1:17" ht="15.6" x14ac:dyDescent="0.35">
      <c r="A40" s="27" t="s">
        <v>154</v>
      </c>
      <c r="B40" s="31">
        <v>2</v>
      </c>
      <c r="C40" s="31" t="s">
        <v>13</v>
      </c>
      <c r="D40" s="36" t="s">
        <v>155</v>
      </c>
      <c r="E40" s="31"/>
      <c r="F40" s="28"/>
      <c r="G40" s="29"/>
      <c r="Q40" s="155"/>
    </row>
    <row r="41" spans="1:17" x14ac:dyDescent="0.3">
      <c r="A41" s="27" t="s">
        <v>119</v>
      </c>
      <c r="B41" s="31">
        <v>1.1000000000000001</v>
      </c>
      <c r="C41" s="31" t="s">
        <v>13</v>
      </c>
      <c r="D41" s="36" t="s">
        <v>148</v>
      </c>
      <c r="E41" s="31"/>
      <c r="F41" s="28"/>
      <c r="G41" s="29"/>
    </row>
    <row r="42" spans="1:17" ht="15.6" x14ac:dyDescent="0.35">
      <c r="A42" s="27" t="s">
        <v>156</v>
      </c>
      <c r="B42" s="89">
        <f>100*B41/B40</f>
        <v>55.000000000000007</v>
      </c>
      <c r="C42" s="31" t="s">
        <v>25</v>
      </c>
      <c r="D42" s="36" t="s">
        <v>159</v>
      </c>
      <c r="E42" s="31"/>
      <c r="F42" s="28"/>
      <c r="G42" s="29"/>
    </row>
    <row r="43" spans="1:17" x14ac:dyDescent="0.3">
      <c r="A43" s="27" t="s">
        <v>115</v>
      </c>
      <c r="B43" s="31">
        <v>1</v>
      </c>
      <c r="C43" s="30" t="s">
        <v>23</v>
      </c>
      <c r="D43" s="36" t="s">
        <v>160</v>
      </c>
      <c r="E43" s="31"/>
      <c r="F43" s="28"/>
      <c r="G43" s="29"/>
    </row>
    <row r="44" spans="1:17" ht="15.6" x14ac:dyDescent="0.35">
      <c r="A44" s="27" t="s">
        <v>130</v>
      </c>
      <c r="B44" s="31">
        <v>2</v>
      </c>
      <c r="C44" s="31" t="s">
        <v>16</v>
      </c>
      <c r="D44" s="36" t="s">
        <v>131</v>
      </c>
      <c r="E44" s="31"/>
      <c r="F44" s="28"/>
      <c r="G44" s="29"/>
    </row>
    <row r="45" spans="1:17" x14ac:dyDescent="0.3">
      <c r="A45" s="27" t="s">
        <v>120</v>
      </c>
      <c r="B45" s="31">
        <v>128</v>
      </c>
      <c r="C45" s="31" t="s">
        <v>20</v>
      </c>
      <c r="D45" s="36" t="s">
        <v>277</v>
      </c>
      <c r="E45" s="31"/>
      <c r="F45" s="28"/>
      <c r="G45" s="29"/>
    </row>
    <row r="46" spans="1:17" x14ac:dyDescent="0.3">
      <c r="A46" s="27" t="s">
        <v>116</v>
      </c>
      <c r="B46" s="31">
        <v>10</v>
      </c>
      <c r="C46" s="31" t="s">
        <v>25</v>
      </c>
      <c r="D46" s="36" t="s">
        <v>129</v>
      </c>
      <c r="E46" s="31"/>
      <c r="F46" s="28"/>
      <c r="G46" s="29"/>
    </row>
    <row r="47" spans="1:17" x14ac:dyDescent="0.3">
      <c r="A47" s="27" t="s">
        <v>27</v>
      </c>
      <c r="B47" s="89">
        <v>6</v>
      </c>
      <c r="C47" s="31" t="s">
        <v>117</v>
      </c>
      <c r="D47" s="36" t="s">
        <v>121</v>
      </c>
      <c r="E47" s="31"/>
      <c r="F47" s="28"/>
      <c r="G47" s="29"/>
    </row>
    <row r="48" spans="1:17" x14ac:dyDescent="0.3">
      <c r="A48" s="27" t="s">
        <v>28</v>
      </c>
      <c r="B48" s="31">
        <v>1.8</v>
      </c>
      <c r="C48" s="31" t="s">
        <v>29</v>
      </c>
      <c r="D48" s="36" t="s">
        <v>121</v>
      </c>
      <c r="E48" s="31"/>
      <c r="F48" s="28"/>
      <c r="G48" s="29"/>
    </row>
    <row r="49" spans="1:12" x14ac:dyDescent="0.3">
      <c r="A49" s="27" t="s">
        <v>124</v>
      </c>
      <c r="B49" s="89">
        <v>0.8</v>
      </c>
      <c r="C49" s="32">
        <v>9.9600000000000009</v>
      </c>
      <c r="D49" s="30" t="s">
        <v>162</v>
      </c>
      <c r="E49" s="36" t="s">
        <v>122</v>
      </c>
      <c r="F49" s="28"/>
      <c r="G49" s="29"/>
    </row>
    <row r="50" spans="1:12" x14ac:dyDescent="0.3">
      <c r="A50" s="27" t="s">
        <v>124</v>
      </c>
      <c r="B50" s="89">
        <v>2</v>
      </c>
      <c r="C50" s="32">
        <v>9.8000000000000007</v>
      </c>
      <c r="D50" s="30" t="s">
        <v>162</v>
      </c>
      <c r="E50" s="36" t="s">
        <v>122</v>
      </c>
      <c r="F50" s="28"/>
      <c r="G50" s="29"/>
    </row>
    <row r="51" spans="1:12" x14ac:dyDescent="0.3">
      <c r="A51" s="27" t="s">
        <v>124</v>
      </c>
      <c r="B51" s="89">
        <v>3.3</v>
      </c>
      <c r="C51" s="32">
        <v>9.5</v>
      </c>
      <c r="D51" s="30" t="s">
        <v>162</v>
      </c>
      <c r="E51" s="36" t="s">
        <v>122</v>
      </c>
      <c r="F51" s="28"/>
      <c r="G51" s="29"/>
    </row>
    <row r="52" spans="1:12" x14ac:dyDescent="0.3">
      <c r="A52" s="27" t="s">
        <v>124</v>
      </c>
      <c r="B52" s="89">
        <v>5</v>
      </c>
      <c r="C52" s="32">
        <v>8.85</v>
      </c>
      <c r="D52" s="30" t="s">
        <v>162</v>
      </c>
      <c r="E52" s="36" t="s">
        <v>122</v>
      </c>
      <c r="F52" s="28"/>
      <c r="G52" s="29"/>
    </row>
    <row r="53" spans="1:12" x14ac:dyDescent="0.3">
      <c r="A53" s="27" t="s">
        <v>124</v>
      </c>
      <c r="B53" s="89">
        <v>8</v>
      </c>
      <c r="C53" s="32">
        <v>7.48</v>
      </c>
      <c r="D53" s="30" t="s">
        <v>162</v>
      </c>
      <c r="E53" s="36" t="s">
        <v>122</v>
      </c>
      <c r="F53" s="28"/>
      <c r="G53" s="29"/>
    </row>
    <row r="54" spans="1:12" ht="16.2" x14ac:dyDescent="0.3">
      <c r="A54" s="64" t="s">
        <v>125</v>
      </c>
      <c r="B54" s="65" t="s">
        <v>23</v>
      </c>
      <c r="C54" s="66">
        <v>3.3999999999999998E-3</v>
      </c>
      <c r="D54" s="65" t="s">
        <v>163</v>
      </c>
      <c r="E54" s="67" t="s">
        <v>145</v>
      </c>
      <c r="F54" s="68"/>
      <c r="G54" s="69"/>
    </row>
    <row r="55" spans="1:12" ht="16.2" x14ac:dyDescent="0.3">
      <c r="A55" s="64" t="s">
        <v>125</v>
      </c>
      <c r="B55" s="65" t="s">
        <v>23</v>
      </c>
      <c r="C55" s="66">
        <v>-7.4300000000000005E-2</v>
      </c>
      <c r="D55" s="65" t="s">
        <v>165</v>
      </c>
      <c r="E55" s="67" t="s">
        <v>146</v>
      </c>
      <c r="F55" s="68"/>
      <c r="G55" s="69"/>
    </row>
    <row r="56" spans="1:12" x14ac:dyDescent="0.3">
      <c r="A56" s="64" t="s">
        <v>125</v>
      </c>
      <c r="B56" s="65" t="s">
        <v>23</v>
      </c>
      <c r="C56" s="66">
        <v>6.83E-2</v>
      </c>
      <c r="D56" s="65" t="s">
        <v>164</v>
      </c>
      <c r="E56" s="67" t="s">
        <v>147</v>
      </c>
      <c r="F56" s="68"/>
      <c r="G56" s="69"/>
    </row>
    <row r="57" spans="1:12" ht="15" thickBot="1" x14ac:dyDescent="0.35">
      <c r="A57" s="70" t="s">
        <v>125</v>
      </c>
      <c r="B57" s="71" t="s">
        <v>23</v>
      </c>
      <c r="C57" s="72">
        <v>9.9469999999999992</v>
      </c>
      <c r="D57" s="71" t="s">
        <v>118</v>
      </c>
      <c r="E57" s="73" t="s">
        <v>166</v>
      </c>
      <c r="F57" s="74"/>
      <c r="G57" s="75"/>
    </row>
    <row r="58" spans="1:12" ht="15" thickBot="1" x14ac:dyDescent="0.35"/>
    <row r="59" spans="1:12" ht="18" customHeight="1" x14ac:dyDescent="0.35">
      <c r="A59" s="458" t="s">
        <v>316</v>
      </c>
      <c r="B59" s="459"/>
      <c r="C59" s="460"/>
      <c r="F59" s="291" t="s">
        <v>323</v>
      </c>
    </row>
    <row r="60" spans="1:12" ht="15.6" x14ac:dyDescent="0.3">
      <c r="A60" s="264" t="s">
        <v>280</v>
      </c>
      <c r="B60" s="31">
        <v>15</v>
      </c>
      <c r="C60" s="265" t="s">
        <v>18</v>
      </c>
      <c r="F60" s="290" t="s">
        <v>324</v>
      </c>
      <c r="G60" s="293">
        <f ca="1">FORECAST((IF(ISBLANK(Design!B33),Design!B32,Design!B33)), OFFSET(B14:B16,MATCH((IF(ISBLANK(Design!B33),Design!B32,Design!B33)),G14:G16,1)-1,0,2), OFFSET(G14:G16,MATCH((IF(ISBLANK(Design!B33),Design!B32,Design!B33)),G14:G16,1)-1,0,2))</f>
        <v>1.8553424657534252</v>
      </c>
      <c r="H60" s="293">
        <f ca="1">FORECAST((IF(ISBLANK(Design!B33),Design!B32,Design!B33)), OFFSET(C14:C16,MATCH((IF(ISBLANK(Design!B33),Design!B32,Design!B33)),G14:G16,1)-1,0,2), OFFSET(G14:G16,MATCH((IF(ISBLANK(Design!B33),Design!B32,Design!B33)),G14:G16,1)-1,0,2))</f>
        <v>2.4771232876712332</v>
      </c>
      <c r="I60" s="293">
        <f ca="1">FORECAST((IF(ISBLANK(Design!B33),Design!B32,Design!B33)), OFFSET(D14:D16,MATCH((IF(ISBLANK(Design!B33),Design!B32,Design!B33)),G14:G16,1)-1,0,2), OFFSET(G14:G16,MATCH((IF(ISBLANK(Design!B33),Design!B32,Design!B33)),G14:G16,1)-1,0,2))</f>
        <v>3.0889041095890413</v>
      </c>
      <c r="J60" s="292" t="s">
        <v>333</v>
      </c>
      <c r="L60" s="155"/>
    </row>
    <row r="61" spans="1:12" ht="15" thickBot="1" x14ac:dyDescent="0.35">
      <c r="A61" s="147" t="s">
        <v>281</v>
      </c>
      <c r="B61" s="33">
        <v>25</v>
      </c>
      <c r="C61" s="266" t="s">
        <v>18</v>
      </c>
      <c r="F61" t="s">
        <v>326</v>
      </c>
      <c r="G61" s="1" t="str">
        <f>IF(1000*Design!B33&lt;Constants!C32,"YES","NO")</f>
        <v>NO</v>
      </c>
    </row>
    <row r="62" spans="1:12" ht="15" thickBot="1" x14ac:dyDescent="0.35"/>
    <row r="63" spans="1:12" ht="20.399999999999999" x14ac:dyDescent="0.45">
      <c r="A63" s="458" t="s">
        <v>288</v>
      </c>
      <c r="B63" s="459"/>
      <c r="C63" s="459"/>
      <c r="D63" s="460"/>
      <c r="F63" s="291" t="s">
        <v>322</v>
      </c>
    </row>
    <row r="64" spans="1:12" ht="18" customHeight="1" x14ac:dyDescent="0.35">
      <c r="A64" s="284" t="s">
        <v>290</v>
      </c>
      <c r="B64" s="461">
        <v>65</v>
      </c>
      <c r="C64" s="461"/>
      <c r="D64" s="285" t="s">
        <v>291</v>
      </c>
      <c r="F64" s="292" t="s">
        <v>293</v>
      </c>
      <c r="H64" s="293">
        <f ca="1">FORECAST(C30/1000, OFFSET(Design!$C$15:$C$17,MATCH(C30/1000,Design!$B$15:$B$17,1)-1,0,2), OFFSET(Design!$B$15:$B$17,MATCH(C30/1000,Design!$B$15:$B$17,1)-1,0,2))+(B64-25)*Design!$B$18/1000</f>
        <v>0.33372222222222225</v>
      </c>
      <c r="I64" s="290" t="s">
        <v>2</v>
      </c>
    </row>
    <row r="65" spans="1:9" ht="18" customHeight="1" x14ac:dyDescent="0.3">
      <c r="A65" s="332" t="s">
        <v>331</v>
      </c>
      <c r="B65" s="269">
        <f>IF(G61="YES",C30,C31)</f>
        <v>850</v>
      </c>
      <c r="C65" s="269">
        <f>IF(G61="YES",D30,D31)</f>
        <v>950</v>
      </c>
      <c r="D65" s="333" t="s">
        <v>5</v>
      </c>
      <c r="F65" s="292" t="s">
        <v>294</v>
      </c>
      <c r="H65" s="312">
        <f>1000*D22/1000*(1+(B64-25)*C23/100)</f>
        <v>157</v>
      </c>
      <c r="I65" s="290" t="s">
        <v>117</v>
      </c>
    </row>
    <row r="66" spans="1:9" ht="18" customHeight="1" x14ac:dyDescent="0.35">
      <c r="A66" s="264" t="s">
        <v>296</v>
      </c>
      <c r="B66" s="32">
        <f>IF(B65/1000*(IF(ISBLANK(Design!B42),Design!B40,Design!B42))/(Design!C4-Design!C6-B65/1000*(H65+H66)/1000)&lt;C33,B65/1000*(IF(ISBLANK(Design!B42),Design!B40,Design!B42))/(Design!C4-Design!C6-B65/1000*(H65+H66)/1000),C33)</f>
        <v>0.4108562607727097</v>
      </c>
      <c r="C66" s="32">
        <f>IF(C65/1000*(1+Design!D10/100)*(IF(ISBLANK(Design!B42),Design!B40,Design!B42))/(Design!B5-Design!C6-C65/1000*(H65+H66)/1000)&lt;C33,C65/1000*(1+Design!D10/100)*(IF(ISBLANK(Design!B42),Design!B40,Design!B42))/(Design!B5-Design!C6-C65/1000*(H65+H66)/1000),C33)</f>
        <v>1.4431063935367245</v>
      </c>
      <c r="D66" s="265" t="s">
        <v>289</v>
      </c>
      <c r="F66" s="290" t="s">
        <v>295</v>
      </c>
      <c r="H66" s="313">
        <f>(IF(ISBLANK(Design!B43),C6,Design!B43))*(1+(B64-25)*C36/100)</f>
        <v>46.287999999999997</v>
      </c>
      <c r="I66" s="290" t="s">
        <v>117</v>
      </c>
    </row>
    <row r="67" spans="1:9" ht="15.6" x14ac:dyDescent="0.35">
      <c r="A67" s="264" t="s">
        <v>297</v>
      </c>
      <c r="B67" s="32">
        <f ca="1">B65/1000*(IF(ISBLANK(Design!B42),Design!B40,Design!B42))/(Design!C6+H64)</f>
        <v>0.52589915318674674</v>
      </c>
      <c r="C67" s="32">
        <f ca="1">C65/1000*(1+Design!D10/100)*(IF(ISBLANK(Design!B42),Design!B40,Design!B42))/(Design!C6+H64)</f>
        <v>0.70532357015634262</v>
      </c>
      <c r="D67" s="265" t="s">
        <v>289</v>
      </c>
      <c r="F67" s="311" t="s">
        <v>327</v>
      </c>
      <c r="G67" s="228"/>
      <c r="H67" s="312" t="str">
        <f>IF((D30/1000*(1+Design!D10/100)*(IF(ISBLANK(Design!B42),Design!B40,Design!B42))/(Design!B5-Design!C6-D30/1000*(H65+H66)/1000)&lt;C33) * (D30/1000*(1+Design!D10/100)*(IF(ISBLANK(Design!B42),Design!B40,Design!B42))/(Design!B5-Design!C6-D30/1000*(H65+H66)/1000))&gt;0,"NO","YES")</f>
        <v>NO</v>
      </c>
      <c r="I67" s="311"/>
    </row>
    <row r="68" spans="1:9" s="228" customFormat="1" ht="18" customHeight="1" thickBot="1" x14ac:dyDescent="0.4">
      <c r="A68" s="33" t="s">
        <v>292</v>
      </c>
      <c r="B68" s="283">
        <f ca="1">B66+B67</f>
        <v>0.9367554139594565</v>
      </c>
      <c r="C68" s="283">
        <f ca="1">C66+C67</f>
        <v>2.1484299636930673</v>
      </c>
      <c r="D68" s="266" t="s">
        <v>287</v>
      </c>
      <c r="E68" s="286"/>
    </row>
  </sheetData>
  <sheetProtection algorithmName="SHA-512" hashValue="jfwGbPX+PAIH0EYqgR3IQYd83/fgv1KVJF57ueuY2XmIkwGJ9TnBXcMSBTpVQ2KxB206ke+QducfDwmhNsm8lw==" saltValue="zndUsJezYjq462gTmjCgtw==" spinCount="100000" sheet="1" objects="1" scenarios="1"/>
  <mergeCells count="9">
    <mergeCell ref="A63:D63"/>
    <mergeCell ref="B64:C64"/>
    <mergeCell ref="F2:I2"/>
    <mergeCell ref="A1:I1"/>
    <mergeCell ref="A59:C59"/>
    <mergeCell ref="A38:G38"/>
    <mergeCell ref="A30:A31"/>
    <mergeCell ref="E14:E16"/>
    <mergeCell ref="A14:A16"/>
  </mergeCells>
  <pageMargins left="0.7" right="0.7" top="0.75" bottom="0.75" header="0.3" footer="0.3"/>
  <ignoredErrors>
    <ignoredError sqref="G60:I6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Design</vt:lpstr>
      <vt:lpstr>Snubber</vt:lpstr>
      <vt:lpstr>Efficiency</vt:lpstr>
      <vt:lpstr>Dropout</vt:lpstr>
      <vt:lpstr>Constants</vt:lpstr>
      <vt:lpstr>Design!Print_Area</vt:lpstr>
      <vt:lpstr>Snubber!Print_Area</vt:lpstr>
    </vt:vector>
  </TitlesOfParts>
  <Company>Allegro MicroSystems,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Reicher</dc:creator>
  <cp:lastModifiedBy>Eric J Reicher</cp:lastModifiedBy>
  <cp:lastPrinted>2012-10-05T17:44:37Z</cp:lastPrinted>
  <dcterms:created xsi:type="dcterms:W3CDTF">2012-01-10T15:56:57Z</dcterms:created>
  <dcterms:modified xsi:type="dcterms:W3CDTF">2015-10-22T18:42:03Z</dcterms:modified>
</cp:coreProperties>
</file>